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ate1904="1" codeName="ThisWorkbook"/>
  <bookViews>
    <workbookView xWindow="1710" yWindow="1815" windowWidth="13815" windowHeight="8025" tabRatio="923" activeTab="1"/>
  </bookViews>
  <sheets>
    <sheet name="Paramètres" sheetId="40" r:id="rId1"/>
    <sheet name="Recherche" sheetId="48" r:id="rId2"/>
    <sheet name="Validation Rend. Imp." sheetId="53" r:id="rId3"/>
    <sheet name="A) Base RI" sheetId="42" r:id="rId4"/>
    <sheet name="B) D RI" sheetId="19" r:id="rId5"/>
    <sheet name="C) Prél. conj." sheetId="32" r:id="rId6"/>
    <sheet name="D) Ecrêtage" sheetId="33" r:id="rId7"/>
    <sheet name="E) Fact soc" sheetId="9" r:id="rId8"/>
    <sheet name="F) Population" sheetId="36" r:id="rId9"/>
    <sheet name="G) Solidarité" sheetId="37" r:id="rId10"/>
    <sheet name="H) Péréquation directe" sheetId="34" r:id="rId11"/>
    <sheet name="I) Dépenses thématiques" sheetId="11" r:id="rId12"/>
    <sheet name="J) Plafonnement effort" sheetId="12" r:id="rId13"/>
    <sheet name="K) Plafonnement aide" sheetId="39" r:id="rId14"/>
    <sheet name="L) Plafonnement taux" sheetId="13" r:id="rId15"/>
    <sheet name="M) Police" sheetId="49" r:id="rId16"/>
    <sheet name="Synthèse" sheetId="25" r:id="rId17"/>
    <sheet name="Acomptes vs Décompte" sheetId="54" r:id="rId18"/>
    <sheet name="Feuil1" sheetId="52" r:id="rId19"/>
    <sheet name="Feuil2" sheetId="55" r:id="rId20"/>
  </sheets>
  <externalReferences>
    <externalReference r:id="rId21"/>
    <externalReference r:id="rId22"/>
  </externalReferences>
  <definedNames>
    <definedName name="_xlnm._FilterDatabase" localSheetId="3" hidden="1">'A) Base RI'!$A$4:$AR$316</definedName>
    <definedName name="_xlnm._FilterDatabase" localSheetId="5" hidden="1">'C) Prél. conj.'!$A$3:$H$314</definedName>
    <definedName name="_xlnm._FilterDatabase" localSheetId="7" hidden="1">'E) Fact soc'!$A$9:$G$320</definedName>
    <definedName name="_xlnm._FilterDatabase" localSheetId="10" hidden="1">'H) Péréquation directe'!$A$14:$I$325</definedName>
    <definedName name="_xlnm._FilterDatabase" localSheetId="16" hidden="1">Synthèse!$A$4:$L$317</definedName>
    <definedName name="_xlnm.Database" localSheetId="2">#REF!</definedName>
    <definedName name="_xlnm.Database">#REF!</definedName>
    <definedName name="_xlnm.Print_Titles" localSheetId="5">'C) Prél. conj.'!$3:$4</definedName>
    <definedName name="_xlnm.Print_Titles" localSheetId="7">'E) Fact soc'!$9:$10</definedName>
    <definedName name="_xlnm.Print_Titles" localSheetId="11">'I) Dépenses thématiques'!$3:$4</definedName>
    <definedName name="_xlnm.Print_Titles" localSheetId="12">'J) Plafonnement effort'!$3:$4</definedName>
    <definedName name="_xlnm.Print_Titles" localSheetId="14">'L) Plafonnement taux'!$4:$5</definedName>
    <definedName name="_xlnm.Print_Titles" localSheetId="15">'M) Police'!$4:$4</definedName>
    <definedName name="_xlnm.Print_Titles" localSheetId="16">Synthèse!$4:$5</definedName>
    <definedName name="ind">2</definedName>
    <definedName name="_xlnm.Print_Area" localSheetId="10">'H) Péréquation directe'!$316:$347</definedName>
    <definedName name="_xlnm.Print_Area" localSheetId="14">'L) Plafonnement taux'!$A$1:$R$316</definedName>
    <definedName name="_xlnm.Print_Area" localSheetId="15">'M) Police'!$A$1:$O$315</definedName>
    <definedName name="_xlnm.Print_Area" localSheetId="1">Recherche!$B$6:$F$68</definedName>
    <definedName name="_xlnm.Print_Area" localSheetId="16">Synthèse!$A$1:$N$315</definedName>
    <definedName name="_xlnm.Print_Area" localSheetId="2">'Validation Rend. Imp.'!$B$6:$E$74</definedName>
  </definedNames>
  <calcPr calcId="145621"/>
</workbook>
</file>

<file path=xl/calcChain.xml><?xml version="1.0" encoding="utf-8"?>
<calcChain xmlns="http://schemas.openxmlformats.org/spreadsheetml/2006/main">
  <c r="E130" i="19" l="1"/>
  <c r="K7" i="49" l="1"/>
  <c r="K14" i="49"/>
  <c r="K112" i="49"/>
  <c r="K114" i="49"/>
  <c r="K117" i="49"/>
  <c r="K119" i="49"/>
  <c r="K120" i="49"/>
  <c r="K121" i="49"/>
  <c r="K122" i="49"/>
  <c r="K124" i="49"/>
  <c r="K126" i="49"/>
  <c r="K127" i="49"/>
  <c r="K128" i="49"/>
  <c r="K129" i="49"/>
  <c r="K130" i="49"/>
  <c r="K131" i="49"/>
  <c r="K134" i="49"/>
  <c r="K135" i="49"/>
  <c r="K137" i="49"/>
  <c r="K144" i="49"/>
  <c r="K149" i="49"/>
  <c r="K150" i="49"/>
  <c r="K151" i="49"/>
  <c r="K154" i="49"/>
  <c r="K155" i="49"/>
  <c r="K156" i="49"/>
  <c r="K158" i="49"/>
  <c r="K191" i="49"/>
  <c r="K202" i="49"/>
  <c r="K203" i="49"/>
  <c r="K224" i="49"/>
  <c r="K225" i="49"/>
  <c r="K275" i="49"/>
  <c r="K276" i="49"/>
  <c r="K277" i="49"/>
  <c r="K278" i="49"/>
  <c r="K279" i="49"/>
  <c r="K280" i="49"/>
  <c r="K281" i="49"/>
  <c r="K282" i="49"/>
  <c r="K283" i="49"/>
  <c r="K284" i="49"/>
  <c r="K287" i="49"/>
  <c r="K291" i="49"/>
  <c r="K296" i="49"/>
  <c r="K297" i="49"/>
  <c r="K303" i="49"/>
  <c r="K305" i="49"/>
  <c r="K306" i="49"/>
  <c r="K307" i="49"/>
  <c r="K313" i="49"/>
  <c r="G128" i="37"/>
  <c r="G179" i="37"/>
  <c r="G271" i="37"/>
  <c r="G272" i="37"/>
  <c r="AR316" i="42" l="1"/>
  <c r="F315" i="54" l="1"/>
  <c r="Z1" i="42" l="1"/>
  <c r="H7" i="13" l="1"/>
  <c r="H8" i="13"/>
  <c r="H9" i="13"/>
  <c r="H10" i="13"/>
  <c r="H11" i="13"/>
  <c r="H12" i="13"/>
  <c r="H13" i="13"/>
  <c r="H14" i="13"/>
  <c r="H15" i="13"/>
  <c r="H16" i="13"/>
  <c r="H17" i="13"/>
  <c r="H18" i="13"/>
  <c r="H19" i="13"/>
  <c r="H20" i="13"/>
  <c r="H21" i="13"/>
  <c r="H22" i="13"/>
  <c r="H23" i="13"/>
  <c r="H24" i="13"/>
  <c r="H25" i="13"/>
  <c r="H26" i="13"/>
  <c r="H27" i="13"/>
  <c r="H28" i="13"/>
  <c r="H29" i="13"/>
  <c r="H30" i="13"/>
  <c r="H31" i="13"/>
  <c r="H32" i="13"/>
  <c r="H33" i="13"/>
  <c r="H34" i="13"/>
  <c r="H35" i="13"/>
  <c r="H36" i="13"/>
  <c r="H37" i="13"/>
  <c r="H38" i="13"/>
  <c r="H39" i="13"/>
  <c r="H40" i="13"/>
  <c r="H41" i="13"/>
  <c r="H42" i="13"/>
  <c r="H43" i="13"/>
  <c r="H44" i="13"/>
  <c r="H45" i="13"/>
  <c r="H46" i="13"/>
  <c r="H47" i="13"/>
  <c r="H48" i="13"/>
  <c r="H49" i="13"/>
  <c r="H50" i="13"/>
  <c r="H51" i="13"/>
  <c r="H52" i="13"/>
  <c r="H53" i="13"/>
  <c r="H54" i="13"/>
  <c r="H55" i="13"/>
  <c r="H56" i="13"/>
  <c r="H57" i="13"/>
  <c r="H58" i="13"/>
  <c r="H59" i="13"/>
  <c r="H60" i="13"/>
  <c r="H61" i="13"/>
  <c r="H62" i="13"/>
  <c r="H63" i="13"/>
  <c r="H64" i="13"/>
  <c r="H65" i="13"/>
  <c r="H66" i="13"/>
  <c r="H67" i="13"/>
  <c r="H68" i="13"/>
  <c r="H69" i="13"/>
  <c r="H70" i="13"/>
  <c r="H71" i="13"/>
  <c r="H72" i="13"/>
  <c r="H73" i="13"/>
  <c r="H74" i="13"/>
  <c r="H75" i="13"/>
  <c r="H76" i="13"/>
  <c r="H77" i="13"/>
  <c r="H78" i="13"/>
  <c r="H79" i="13"/>
  <c r="H80" i="13"/>
  <c r="H81" i="13"/>
  <c r="H82" i="13"/>
  <c r="H83" i="13"/>
  <c r="H84" i="13"/>
  <c r="H85" i="13"/>
  <c r="H86" i="13"/>
  <c r="H87" i="13"/>
  <c r="H88" i="13"/>
  <c r="H89" i="13"/>
  <c r="H90" i="13"/>
  <c r="H91" i="13"/>
  <c r="H92" i="13"/>
  <c r="H93" i="13"/>
  <c r="H94" i="13"/>
  <c r="H95" i="13"/>
  <c r="H96" i="13"/>
  <c r="H97" i="13"/>
  <c r="H98" i="13"/>
  <c r="H99" i="13"/>
  <c r="H100" i="13"/>
  <c r="H101" i="13"/>
  <c r="H102" i="13"/>
  <c r="H103" i="13"/>
  <c r="H104" i="13"/>
  <c r="H105" i="13"/>
  <c r="H106" i="13"/>
  <c r="H107" i="13"/>
  <c r="H108" i="13"/>
  <c r="H109" i="13"/>
  <c r="H110" i="13"/>
  <c r="H111" i="13"/>
  <c r="H112" i="13"/>
  <c r="H113" i="13"/>
  <c r="H114" i="13"/>
  <c r="H115" i="13"/>
  <c r="H116" i="13"/>
  <c r="H117" i="13"/>
  <c r="H118" i="13"/>
  <c r="H119" i="13"/>
  <c r="H120" i="13"/>
  <c r="H121" i="13"/>
  <c r="H122" i="13"/>
  <c r="H123" i="13"/>
  <c r="H124" i="13"/>
  <c r="H125" i="13"/>
  <c r="H126" i="13"/>
  <c r="H127" i="13"/>
  <c r="H128" i="13"/>
  <c r="H129" i="13"/>
  <c r="H130" i="13"/>
  <c r="H131" i="13"/>
  <c r="H132" i="13"/>
  <c r="H133" i="13"/>
  <c r="H134" i="13"/>
  <c r="H135" i="13"/>
  <c r="H136" i="13"/>
  <c r="H137" i="13"/>
  <c r="H138" i="13"/>
  <c r="H139" i="13"/>
  <c r="H140" i="13"/>
  <c r="H141" i="13"/>
  <c r="H142" i="13"/>
  <c r="H143" i="13"/>
  <c r="H144" i="13"/>
  <c r="H145" i="13"/>
  <c r="H146" i="13"/>
  <c r="H147" i="13"/>
  <c r="H148" i="13"/>
  <c r="H149" i="13"/>
  <c r="H150" i="13"/>
  <c r="H151" i="13"/>
  <c r="H152" i="13"/>
  <c r="H153" i="13"/>
  <c r="H154" i="13"/>
  <c r="H155" i="13"/>
  <c r="H156" i="13"/>
  <c r="H157" i="13"/>
  <c r="H158" i="13"/>
  <c r="H159" i="13"/>
  <c r="H160" i="13"/>
  <c r="H161" i="13"/>
  <c r="H162" i="13"/>
  <c r="H163" i="13"/>
  <c r="H164" i="13"/>
  <c r="H165" i="13"/>
  <c r="H166" i="13"/>
  <c r="H167" i="13"/>
  <c r="H168" i="13"/>
  <c r="H169" i="13"/>
  <c r="H170" i="13"/>
  <c r="H171" i="13"/>
  <c r="H172" i="13"/>
  <c r="H173" i="13"/>
  <c r="H174" i="13"/>
  <c r="H175" i="13"/>
  <c r="H176" i="13"/>
  <c r="H177" i="13"/>
  <c r="H178" i="13"/>
  <c r="H179" i="13"/>
  <c r="H180" i="13"/>
  <c r="H181" i="13"/>
  <c r="H182" i="13"/>
  <c r="H183" i="13"/>
  <c r="H184" i="13"/>
  <c r="H185" i="13"/>
  <c r="H186" i="13"/>
  <c r="H187" i="13"/>
  <c r="H188" i="13"/>
  <c r="H189" i="13"/>
  <c r="H190" i="13"/>
  <c r="H191" i="13"/>
  <c r="H192" i="13"/>
  <c r="H193" i="13"/>
  <c r="H194" i="13"/>
  <c r="H195" i="13"/>
  <c r="H196" i="13"/>
  <c r="H197" i="13"/>
  <c r="H198" i="13"/>
  <c r="H199" i="13"/>
  <c r="H200" i="13"/>
  <c r="H201" i="13"/>
  <c r="H202" i="13"/>
  <c r="H203" i="13"/>
  <c r="H204" i="13"/>
  <c r="H205" i="13"/>
  <c r="H206" i="13"/>
  <c r="H207" i="13"/>
  <c r="H208" i="13"/>
  <c r="H209" i="13"/>
  <c r="H210" i="13"/>
  <c r="H211" i="13"/>
  <c r="H212" i="13"/>
  <c r="H213" i="13"/>
  <c r="H214" i="13"/>
  <c r="H215" i="13"/>
  <c r="H216" i="13"/>
  <c r="H217" i="13"/>
  <c r="H218" i="13"/>
  <c r="H219" i="13"/>
  <c r="H220" i="13"/>
  <c r="H221" i="13"/>
  <c r="H222" i="13"/>
  <c r="H223" i="13"/>
  <c r="H224" i="13"/>
  <c r="H225" i="13"/>
  <c r="H226" i="13"/>
  <c r="H227" i="13"/>
  <c r="H228" i="13"/>
  <c r="H229" i="13"/>
  <c r="H230" i="13"/>
  <c r="H231" i="13"/>
  <c r="H232" i="13"/>
  <c r="H233" i="13"/>
  <c r="H234" i="13"/>
  <c r="H235" i="13"/>
  <c r="H236" i="13"/>
  <c r="H237" i="13"/>
  <c r="H238" i="13"/>
  <c r="H239" i="13"/>
  <c r="H240" i="13"/>
  <c r="H241" i="13"/>
  <c r="H242" i="13"/>
  <c r="H243" i="13"/>
  <c r="H244" i="13"/>
  <c r="H245" i="13"/>
  <c r="H246" i="13"/>
  <c r="H247" i="13"/>
  <c r="H248" i="13"/>
  <c r="H249" i="13"/>
  <c r="H250" i="13"/>
  <c r="H251" i="13"/>
  <c r="H252" i="13"/>
  <c r="H253" i="13"/>
  <c r="H254" i="13"/>
  <c r="H255" i="13"/>
  <c r="H256" i="13"/>
  <c r="H257" i="13"/>
  <c r="H258" i="13"/>
  <c r="H259" i="13"/>
  <c r="H260" i="13"/>
  <c r="H261" i="13"/>
  <c r="H262" i="13"/>
  <c r="H263" i="13"/>
  <c r="H264" i="13"/>
  <c r="H265" i="13"/>
  <c r="H266" i="13"/>
  <c r="H267" i="13"/>
  <c r="H268" i="13"/>
  <c r="H269" i="13"/>
  <c r="H270" i="13"/>
  <c r="H271" i="13"/>
  <c r="H272" i="13"/>
  <c r="H273" i="13"/>
  <c r="H274" i="13"/>
  <c r="H275" i="13"/>
  <c r="H276" i="13"/>
  <c r="H277" i="13"/>
  <c r="H278" i="13"/>
  <c r="H279" i="13"/>
  <c r="H280" i="13"/>
  <c r="H281" i="13"/>
  <c r="H282" i="13"/>
  <c r="H283" i="13"/>
  <c r="H284" i="13"/>
  <c r="H285" i="13"/>
  <c r="H286" i="13"/>
  <c r="H287" i="13"/>
  <c r="H288" i="13"/>
  <c r="H289" i="13"/>
  <c r="H290" i="13"/>
  <c r="H291" i="13"/>
  <c r="H292" i="13"/>
  <c r="H293" i="13"/>
  <c r="H294" i="13"/>
  <c r="H295" i="13"/>
  <c r="H296" i="13"/>
  <c r="H297" i="13"/>
  <c r="H298" i="13"/>
  <c r="H299" i="13"/>
  <c r="H300" i="13"/>
  <c r="H301" i="13"/>
  <c r="H302" i="13"/>
  <c r="H303" i="13"/>
  <c r="H304" i="13"/>
  <c r="H305" i="13"/>
  <c r="H306" i="13"/>
  <c r="H307" i="13"/>
  <c r="H308" i="13"/>
  <c r="H309" i="13"/>
  <c r="H310" i="13"/>
  <c r="H311" i="13"/>
  <c r="H312" i="13"/>
  <c r="H313" i="13"/>
  <c r="H314" i="13"/>
  <c r="H6" i="13"/>
  <c r="L117" i="42" l="1"/>
  <c r="AL240" i="42" l="1"/>
  <c r="C315" i="54" l="1"/>
  <c r="N28" i="19" l="1"/>
  <c r="Q7" i="19" l="1"/>
  <c r="M34" i="42" l="1"/>
  <c r="AM8" i="42" l="1"/>
  <c r="G6" i="37" s="1"/>
  <c r="AM9" i="42"/>
  <c r="G7" i="37" s="1"/>
  <c r="AM10" i="42"/>
  <c r="G8" i="37" s="1"/>
  <c r="AM11" i="42"/>
  <c r="G9" i="37" s="1"/>
  <c r="AM12" i="42"/>
  <c r="G10" i="37" s="1"/>
  <c r="AM13" i="42"/>
  <c r="G11" i="37" s="1"/>
  <c r="AM14" i="42"/>
  <c r="G12" i="37" s="1"/>
  <c r="AM15" i="42"/>
  <c r="G13" i="37" s="1"/>
  <c r="AM16" i="42"/>
  <c r="G14" i="37" s="1"/>
  <c r="AM17" i="42"/>
  <c r="G15" i="37" s="1"/>
  <c r="AM18" i="42"/>
  <c r="G16" i="37" s="1"/>
  <c r="AM19" i="42"/>
  <c r="G17" i="37" s="1"/>
  <c r="AM20" i="42"/>
  <c r="G18" i="37" s="1"/>
  <c r="AM21" i="42"/>
  <c r="G19" i="37" s="1"/>
  <c r="AM22" i="42"/>
  <c r="G20" i="37" s="1"/>
  <c r="AM23" i="42"/>
  <c r="G21" i="37" s="1"/>
  <c r="AM24" i="42"/>
  <c r="G22" i="37" s="1"/>
  <c r="AM25" i="42"/>
  <c r="G23" i="37" s="1"/>
  <c r="AM26" i="42"/>
  <c r="G24" i="37" s="1"/>
  <c r="AM27" i="42"/>
  <c r="G25" i="37" s="1"/>
  <c r="AM28" i="42"/>
  <c r="G26" i="37" s="1"/>
  <c r="AM29" i="42"/>
  <c r="G27" i="37" s="1"/>
  <c r="AM30" i="42"/>
  <c r="G28" i="37" s="1"/>
  <c r="AM31" i="42"/>
  <c r="G29" i="37" s="1"/>
  <c r="AM32" i="42"/>
  <c r="G30" i="37" s="1"/>
  <c r="AM33" i="42"/>
  <c r="G31" i="37" s="1"/>
  <c r="AM34" i="42"/>
  <c r="G32" i="37" s="1"/>
  <c r="AM35" i="42"/>
  <c r="G33" i="37" s="1"/>
  <c r="AM36" i="42"/>
  <c r="G34" i="37" s="1"/>
  <c r="AM37" i="42"/>
  <c r="G35" i="37" s="1"/>
  <c r="AM38" i="42"/>
  <c r="G36" i="37" s="1"/>
  <c r="AM39" i="42"/>
  <c r="G37" i="37" s="1"/>
  <c r="AM40" i="42"/>
  <c r="G38" i="37" s="1"/>
  <c r="AM41" i="42"/>
  <c r="G39" i="37" s="1"/>
  <c r="AM42" i="42"/>
  <c r="G40" i="37" s="1"/>
  <c r="AM43" i="42"/>
  <c r="G41" i="37" s="1"/>
  <c r="AM44" i="42"/>
  <c r="G42" i="37" s="1"/>
  <c r="AM45" i="42"/>
  <c r="G43" i="37" s="1"/>
  <c r="AM46" i="42"/>
  <c r="G44" i="37" s="1"/>
  <c r="AM47" i="42"/>
  <c r="G45" i="37" s="1"/>
  <c r="AM48" i="42"/>
  <c r="G46" i="37" s="1"/>
  <c r="AM49" i="42"/>
  <c r="G47" i="37" s="1"/>
  <c r="AM50" i="42"/>
  <c r="G48" i="37" s="1"/>
  <c r="AM51" i="42"/>
  <c r="G49" i="37" s="1"/>
  <c r="AM52" i="42"/>
  <c r="G50" i="37" s="1"/>
  <c r="AM53" i="42"/>
  <c r="G51" i="37" s="1"/>
  <c r="AM54" i="42"/>
  <c r="G52" i="37" s="1"/>
  <c r="AM55" i="42"/>
  <c r="G53" i="37" s="1"/>
  <c r="AM56" i="42"/>
  <c r="G54" i="37" s="1"/>
  <c r="AM57" i="42"/>
  <c r="G55" i="37" s="1"/>
  <c r="AM58" i="42"/>
  <c r="G56" i="37" s="1"/>
  <c r="AM59" i="42"/>
  <c r="G57" i="37" s="1"/>
  <c r="AM60" i="42"/>
  <c r="G58" i="37" s="1"/>
  <c r="AM61" i="42"/>
  <c r="G59" i="37" s="1"/>
  <c r="AM62" i="42"/>
  <c r="G60" i="37" s="1"/>
  <c r="AM63" i="42"/>
  <c r="G61" i="37" s="1"/>
  <c r="AM64" i="42"/>
  <c r="G62" i="37" s="1"/>
  <c r="AM65" i="42"/>
  <c r="G63" i="37" s="1"/>
  <c r="AM66" i="42"/>
  <c r="G64" i="37" s="1"/>
  <c r="AM67" i="42"/>
  <c r="G65" i="37" s="1"/>
  <c r="AM68" i="42"/>
  <c r="G66" i="37" s="1"/>
  <c r="AM69" i="42"/>
  <c r="G67" i="37" s="1"/>
  <c r="AM70" i="42"/>
  <c r="G68" i="37" s="1"/>
  <c r="AM71" i="42"/>
  <c r="G69" i="37" s="1"/>
  <c r="AM72" i="42"/>
  <c r="G70" i="37" s="1"/>
  <c r="AM73" i="42"/>
  <c r="G71" i="37" s="1"/>
  <c r="AM74" i="42"/>
  <c r="G72" i="37" s="1"/>
  <c r="AM75" i="42"/>
  <c r="G73" i="37" s="1"/>
  <c r="AM76" i="42"/>
  <c r="G74" i="37" s="1"/>
  <c r="AM77" i="42"/>
  <c r="G75" i="37" s="1"/>
  <c r="AM78" i="42"/>
  <c r="G76" i="37" s="1"/>
  <c r="AM79" i="42"/>
  <c r="G77" i="37" s="1"/>
  <c r="AM80" i="42"/>
  <c r="G78" i="37" s="1"/>
  <c r="AM81" i="42"/>
  <c r="G79" i="37" s="1"/>
  <c r="AM82" i="42"/>
  <c r="G80" i="37" s="1"/>
  <c r="AM83" i="42"/>
  <c r="G81" i="37" s="1"/>
  <c r="AM84" i="42"/>
  <c r="G82" i="37" s="1"/>
  <c r="AM85" i="42"/>
  <c r="G83" i="37" s="1"/>
  <c r="AM86" i="42"/>
  <c r="G84" i="37" s="1"/>
  <c r="AM87" i="42"/>
  <c r="G85" i="37" s="1"/>
  <c r="AM88" i="42"/>
  <c r="G86" i="37" s="1"/>
  <c r="AM89" i="42"/>
  <c r="G87" i="37" s="1"/>
  <c r="AM90" i="42"/>
  <c r="G88" i="37" s="1"/>
  <c r="AM91" i="42"/>
  <c r="G89" i="37" s="1"/>
  <c r="AM92" i="42"/>
  <c r="G90" i="37" s="1"/>
  <c r="AM93" i="42"/>
  <c r="G91" i="37" s="1"/>
  <c r="AM94" i="42"/>
  <c r="G92" i="37" s="1"/>
  <c r="AM95" i="42"/>
  <c r="G93" i="37" s="1"/>
  <c r="AM96" i="42"/>
  <c r="G94" i="37" s="1"/>
  <c r="AM97" i="42"/>
  <c r="G95" i="37" s="1"/>
  <c r="AM98" i="42"/>
  <c r="G96" i="37" s="1"/>
  <c r="AM99" i="42"/>
  <c r="G97" i="37" s="1"/>
  <c r="AM100" i="42"/>
  <c r="G98" i="37" s="1"/>
  <c r="AM101" i="42"/>
  <c r="G99" i="37" s="1"/>
  <c r="AM102" i="42"/>
  <c r="G100" i="37" s="1"/>
  <c r="AM103" i="42"/>
  <c r="G101" i="37" s="1"/>
  <c r="AM104" i="42"/>
  <c r="G102" i="37" s="1"/>
  <c r="AM105" i="42"/>
  <c r="G103" i="37" s="1"/>
  <c r="AM106" i="42"/>
  <c r="G104" i="37" s="1"/>
  <c r="AM107" i="42"/>
  <c r="G105" i="37" s="1"/>
  <c r="AM108" i="42"/>
  <c r="G106" i="37" s="1"/>
  <c r="AM109" i="42"/>
  <c r="G107" i="37" s="1"/>
  <c r="AM110" i="42"/>
  <c r="G108" i="37" s="1"/>
  <c r="AM111" i="42"/>
  <c r="G109" i="37" s="1"/>
  <c r="AM112" i="42"/>
  <c r="G110" i="37" s="1"/>
  <c r="AM113" i="42"/>
  <c r="G111" i="37" s="1"/>
  <c r="AM114" i="42"/>
  <c r="G112" i="37" s="1"/>
  <c r="AM115" i="42"/>
  <c r="G113" i="37" s="1"/>
  <c r="AM116" i="42"/>
  <c r="G114" i="37" s="1"/>
  <c r="AM117" i="42"/>
  <c r="G115" i="37" s="1"/>
  <c r="AM118" i="42"/>
  <c r="G116" i="37" s="1"/>
  <c r="AM119" i="42"/>
  <c r="G117" i="37" s="1"/>
  <c r="AM120" i="42"/>
  <c r="G118" i="37" s="1"/>
  <c r="AM121" i="42"/>
  <c r="G119" i="37" s="1"/>
  <c r="AM122" i="42"/>
  <c r="G120" i="37" s="1"/>
  <c r="AM123" i="42"/>
  <c r="G121" i="37" s="1"/>
  <c r="AM124" i="42"/>
  <c r="G122" i="37" s="1"/>
  <c r="AM125" i="42"/>
  <c r="G123" i="37" s="1"/>
  <c r="AM126" i="42"/>
  <c r="G124" i="37" s="1"/>
  <c r="AM127" i="42"/>
  <c r="G125" i="37" s="1"/>
  <c r="AM128" i="42"/>
  <c r="G126" i="37" s="1"/>
  <c r="AM129" i="42"/>
  <c r="G127" i="37" s="1"/>
  <c r="AM131" i="42"/>
  <c r="G129" i="37" s="1"/>
  <c r="AM132" i="42"/>
  <c r="G130" i="37" s="1"/>
  <c r="AM133" i="42"/>
  <c r="G131" i="37" s="1"/>
  <c r="AM134" i="42"/>
  <c r="G132" i="37" s="1"/>
  <c r="AM135" i="42"/>
  <c r="G133" i="37" s="1"/>
  <c r="AM136" i="42"/>
  <c r="G134" i="37" s="1"/>
  <c r="AM137" i="42"/>
  <c r="G135" i="37" s="1"/>
  <c r="AM138" i="42"/>
  <c r="G136" i="37" s="1"/>
  <c r="AM139" i="42"/>
  <c r="G137" i="37" s="1"/>
  <c r="AM140" i="42"/>
  <c r="G138" i="37" s="1"/>
  <c r="AM141" i="42"/>
  <c r="G139" i="37" s="1"/>
  <c r="AM142" i="42"/>
  <c r="G140" i="37" s="1"/>
  <c r="AM143" i="42"/>
  <c r="G141" i="37" s="1"/>
  <c r="AM144" i="42"/>
  <c r="G142" i="37" s="1"/>
  <c r="AM145" i="42"/>
  <c r="G143" i="37" s="1"/>
  <c r="AM146" i="42"/>
  <c r="G144" i="37" s="1"/>
  <c r="AM147" i="42"/>
  <c r="G145" i="37" s="1"/>
  <c r="AM148" i="42"/>
  <c r="G146" i="37" s="1"/>
  <c r="AM149" i="42"/>
  <c r="G147" i="37" s="1"/>
  <c r="AM150" i="42"/>
  <c r="G148" i="37" s="1"/>
  <c r="AM151" i="42"/>
  <c r="G149" i="37" s="1"/>
  <c r="AM152" i="42"/>
  <c r="G150" i="37" s="1"/>
  <c r="AM153" i="42"/>
  <c r="G151" i="37" s="1"/>
  <c r="AM154" i="42"/>
  <c r="G152" i="37" s="1"/>
  <c r="AM155" i="42"/>
  <c r="G153" i="37" s="1"/>
  <c r="AM156" i="42"/>
  <c r="G154" i="37" s="1"/>
  <c r="AM157" i="42"/>
  <c r="G155" i="37" s="1"/>
  <c r="AM158" i="42"/>
  <c r="G156" i="37" s="1"/>
  <c r="AM159" i="42"/>
  <c r="G157" i="37" s="1"/>
  <c r="AM160" i="42"/>
  <c r="G158" i="37" s="1"/>
  <c r="AM161" i="42"/>
  <c r="G159" i="37" s="1"/>
  <c r="AM162" i="42"/>
  <c r="G160" i="37" s="1"/>
  <c r="AM163" i="42"/>
  <c r="G161" i="37" s="1"/>
  <c r="AM164" i="42"/>
  <c r="G162" i="37" s="1"/>
  <c r="AM165" i="42"/>
  <c r="G163" i="37" s="1"/>
  <c r="AM166" i="42"/>
  <c r="G164" i="37" s="1"/>
  <c r="AM167" i="42"/>
  <c r="G165" i="37" s="1"/>
  <c r="AM168" i="42"/>
  <c r="G166" i="37" s="1"/>
  <c r="AM169" i="42"/>
  <c r="G167" i="37" s="1"/>
  <c r="AM170" i="42"/>
  <c r="G168" i="37" s="1"/>
  <c r="AM171" i="42"/>
  <c r="G169" i="37" s="1"/>
  <c r="AM172" i="42"/>
  <c r="G170" i="37" s="1"/>
  <c r="AM173" i="42"/>
  <c r="G171" i="37" s="1"/>
  <c r="AM174" i="42"/>
  <c r="G172" i="37" s="1"/>
  <c r="AM175" i="42"/>
  <c r="G173" i="37" s="1"/>
  <c r="AM176" i="42"/>
  <c r="G174" i="37" s="1"/>
  <c r="AM177" i="42"/>
  <c r="G175" i="37" s="1"/>
  <c r="AM178" i="42"/>
  <c r="G176" i="37" s="1"/>
  <c r="AM179" i="42"/>
  <c r="G177" i="37" s="1"/>
  <c r="AM180" i="42"/>
  <c r="G178" i="37" s="1"/>
  <c r="AM182" i="42"/>
  <c r="G180" i="37" s="1"/>
  <c r="AM183" i="42"/>
  <c r="G181" i="37" s="1"/>
  <c r="AM184" i="42"/>
  <c r="G182" i="37" s="1"/>
  <c r="AM185" i="42"/>
  <c r="G183" i="37" s="1"/>
  <c r="AM186" i="42"/>
  <c r="G184" i="37" s="1"/>
  <c r="AM187" i="42"/>
  <c r="G185" i="37" s="1"/>
  <c r="AM188" i="42"/>
  <c r="G186" i="37" s="1"/>
  <c r="AM189" i="42"/>
  <c r="G187" i="37" s="1"/>
  <c r="AM190" i="42"/>
  <c r="G188" i="37" s="1"/>
  <c r="AM191" i="42"/>
  <c r="G189" i="37" s="1"/>
  <c r="AM192" i="42"/>
  <c r="G190" i="37" s="1"/>
  <c r="AM193" i="42"/>
  <c r="G191" i="37" s="1"/>
  <c r="AM194" i="42"/>
  <c r="G192" i="37" s="1"/>
  <c r="AM195" i="42"/>
  <c r="G193" i="37" s="1"/>
  <c r="AM196" i="42"/>
  <c r="G194" i="37" s="1"/>
  <c r="AM197" i="42"/>
  <c r="G195" i="37" s="1"/>
  <c r="AM198" i="42"/>
  <c r="G196" i="37" s="1"/>
  <c r="AM199" i="42"/>
  <c r="G197" i="37" s="1"/>
  <c r="AM200" i="42"/>
  <c r="G198" i="37" s="1"/>
  <c r="AM201" i="42"/>
  <c r="G199" i="37" s="1"/>
  <c r="AM202" i="42"/>
  <c r="G200" i="37" s="1"/>
  <c r="AM203" i="42"/>
  <c r="G201" i="37" s="1"/>
  <c r="AM204" i="42"/>
  <c r="G202" i="37" s="1"/>
  <c r="AM205" i="42"/>
  <c r="G203" i="37" s="1"/>
  <c r="AM206" i="42"/>
  <c r="G204" i="37" s="1"/>
  <c r="AM207" i="42"/>
  <c r="G205" i="37" s="1"/>
  <c r="AM208" i="42"/>
  <c r="G206" i="37" s="1"/>
  <c r="AM209" i="42"/>
  <c r="G207" i="37" s="1"/>
  <c r="AM210" i="42"/>
  <c r="G208" i="37" s="1"/>
  <c r="AM211" i="42"/>
  <c r="G209" i="37" s="1"/>
  <c r="AM212" i="42"/>
  <c r="G210" i="37" s="1"/>
  <c r="AM213" i="42"/>
  <c r="G211" i="37" s="1"/>
  <c r="AM214" i="42"/>
  <c r="G212" i="37" s="1"/>
  <c r="AM215" i="42"/>
  <c r="G213" i="37" s="1"/>
  <c r="AM216" i="42"/>
  <c r="G214" i="37" s="1"/>
  <c r="AM217" i="42"/>
  <c r="G215" i="37" s="1"/>
  <c r="AM218" i="42"/>
  <c r="G216" i="37" s="1"/>
  <c r="AM219" i="42"/>
  <c r="G217" i="37" s="1"/>
  <c r="AM220" i="42"/>
  <c r="G218" i="37" s="1"/>
  <c r="AM221" i="42"/>
  <c r="G219" i="37" s="1"/>
  <c r="AM222" i="42"/>
  <c r="G220" i="37" s="1"/>
  <c r="AM223" i="42"/>
  <c r="G221" i="37" s="1"/>
  <c r="AM224" i="42"/>
  <c r="G222" i="37" s="1"/>
  <c r="AM225" i="42"/>
  <c r="G223" i="37" s="1"/>
  <c r="AM226" i="42"/>
  <c r="G224" i="37" s="1"/>
  <c r="AM227" i="42"/>
  <c r="G225" i="37" s="1"/>
  <c r="AM228" i="42"/>
  <c r="G226" i="37" s="1"/>
  <c r="AM229" i="42"/>
  <c r="G227" i="37" s="1"/>
  <c r="AM230" i="42"/>
  <c r="G228" i="37" s="1"/>
  <c r="AM231" i="42"/>
  <c r="G229" i="37" s="1"/>
  <c r="AM232" i="42"/>
  <c r="G230" i="37" s="1"/>
  <c r="AM233" i="42"/>
  <c r="G231" i="37" s="1"/>
  <c r="AM234" i="42"/>
  <c r="G232" i="37" s="1"/>
  <c r="AM235" i="42"/>
  <c r="G233" i="37" s="1"/>
  <c r="AM236" i="42"/>
  <c r="G234" i="37" s="1"/>
  <c r="AM237" i="42"/>
  <c r="G235" i="37" s="1"/>
  <c r="AM238" i="42"/>
  <c r="G236" i="37" s="1"/>
  <c r="AM239" i="42"/>
  <c r="G237" i="37" s="1"/>
  <c r="AM240" i="42"/>
  <c r="G238" i="37" s="1"/>
  <c r="AM241" i="42"/>
  <c r="G239" i="37" s="1"/>
  <c r="AM242" i="42"/>
  <c r="G240" i="37" s="1"/>
  <c r="AM243" i="42"/>
  <c r="G241" i="37" s="1"/>
  <c r="AM244" i="42"/>
  <c r="G242" i="37" s="1"/>
  <c r="AM245" i="42"/>
  <c r="G243" i="37" s="1"/>
  <c r="AM246" i="42"/>
  <c r="G244" i="37" s="1"/>
  <c r="AM247" i="42"/>
  <c r="G245" i="37" s="1"/>
  <c r="AM248" i="42"/>
  <c r="G246" i="37" s="1"/>
  <c r="AM249" i="42"/>
  <c r="G247" i="37" s="1"/>
  <c r="AM250" i="42"/>
  <c r="G248" i="37" s="1"/>
  <c r="AM251" i="42"/>
  <c r="G249" i="37" s="1"/>
  <c r="AM252" i="42"/>
  <c r="G250" i="37" s="1"/>
  <c r="AM253" i="42"/>
  <c r="G251" i="37" s="1"/>
  <c r="AM254" i="42"/>
  <c r="G252" i="37" s="1"/>
  <c r="AM255" i="42"/>
  <c r="G253" i="37" s="1"/>
  <c r="AM256" i="42"/>
  <c r="G254" i="37" s="1"/>
  <c r="AM257" i="42"/>
  <c r="G255" i="37" s="1"/>
  <c r="AM258" i="42"/>
  <c r="G256" i="37" s="1"/>
  <c r="AM259" i="42"/>
  <c r="G257" i="37" s="1"/>
  <c r="AM260" i="42"/>
  <c r="G258" i="37" s="1"/>
  <c r="AM261" i="42"/>
  <c r="G259" i="37" s="1"/>
  <c r="AM262" i="42"/>
  <c r="G260" i="37" s="1"/>
  <c r="AM263" i="42"/>
  <c r="G261" i="37" s="1"/>
  <c r="AM264" i="42"/>
  <c r="AM265" i="42"/>
  <c r="G263" i="37" s="1"/>
  <c r="AM266" i="42"/>
  <c r="G264" i="37" s="1"/>
  <c r="AM267" i="42"/>
  <c r="G265" i="37" s="1"/>
  <c r="AM268" i="42"/>
  <c r="G266" i="37" s="1"/>
  <c r="AM269" i="42"/>
  <c r="G267" i="37" s="1"/>
  <c r="AM270" i="42"/>
  <c r="G268" i="37" s="1"/>
  <c r="AM271" i="42"/>
  <c r="G269" i="37" s="1"/>
  <c r="AM272" i="42"/>
  <c r="G270" i="37" s="1"/>
  <c r="AM275" i="42"/>
  <c r="G273" i="37" s="1"/>
  <c r="AM276" i="42"/>
  <c r="G274" i="37" s="1"/>
  <c r="AM277" i="42"/>
  <c r="G275" i="37" s="1"/>
  <c r="AM278" i="42"/>
  <c r="G276" i="37" s="1"/>
  <c r="AM279" i="42"/>
  <c r="G277" i="37" s="1"/>
  <c r="AM280" i="42"/>
  <c r="G278" i="37" s="1"/>
  <c r="AM281" i="42"/>
  <c r="G279" i="37" s="1"/>
  <c r="AM282" i="42"/>
  <c r="G280" i="37" s="1"/>
  <c r="AM283" i="42"/>
  <c r="G281" i="37" s="1"/>
  <c r="AM284" i="42"/>
  <c r="G282" i="37" s="1"/>
  <c r="AM285" i="42"/>
  <c r="G283" i="37" s="1"/>
  <c r="AM286" i="42"/>
  <c r="G284" i="37" s="1"/>
  <c r="AM287" i="42"/>
  <c r="G285" i="37" s="1"/>
  <c r="AM288" i="42"/>
  <c r="G286" i="37" s="1"/>
  <c r="AM289" i="42"/>
  <c r="G287" i="37" s="1"/>
  <c r="AM290" i="42"/>
  <c r="G288" i="37" s="1"/>
  <c r="AM291" i="42"/>
  <c r="G289" i="37" s="1"/>
  <c r="AM292" i="42"/>
  <c r="G290" i="37" s="1"/>
  <c r="AM293" i="42"/>
  <c r="G291" i="37" s="1"/>
  <c r="AM294" i="42"/>
  <c r="G292" i="37" s="1"/>
  <c r="AM295" i="42"/>
  <c r="G293" i="37" s="1"/>
  <c r="AM296" i="42"/>
  <c r="G294" i="37" s="1"/>
  <c r="AM297" i="42"/>
  <c r="G295" i="37" s="1"/>
  <c r="AM298" i="42"/>
  <c r="G296" i="37" s="1"/>
  <c r="AM299" i="42"/>
  <c r="G297" i="37" s="1"/>
  <c r="AM300" i="42"/>
  <c r="G298" i="37" s="1"/>
  <c r="AM301" i="42"/>
  <c r="G299" i="37" s="1"/>
  <c r="AM302" i="42"/>
  <c r="G300" i="37" s="1"/>
  <c r="AM303" i="42"/>
  <c r="G301" i="37" s="1"/>
  <c r="AM304" i="42"/>
  <c r="G302" i="37" s="1"/>
  <c r="AM305" i="42"/>
  <c r="G303" i="37" s="1"/>
  <c r="AM306" i="42"/>
  <c r="G304" i="37" s="1"/>
  <c r="AM307" i="42"/>
  <c r="G305" i="37" s="1"/>
  <c r="AM308" i="42"/>
  <c r="G306" i="37" s="1"/>
  <c r="AM309" i="42"/>
  <c r="G307" i="37" s="1"/>
  <c r="AM310" i="42"/>
  <c r="G308" i="37" s="1"/>
  <c r="AM311" i="42"/>
  <c r="G309" i="37" s="1"/>
  <c r="AM312" i="42"/>
  <c r="G310" i="37" s="1"/>
  <c r="AM313" i="42"/>
  <c r="G311" i="37" s="1"/>
  <c r="AM314" i="42"/>
  <c r="G312" i="37" s="1"/>
  <c r="AM315" i="42"/>
  <c r="G313" i="37" s="1"/>
  <c r="AM7" i="42"/>
  <c r="AN8" i="42"/>
  <c r="AN9" i="42"/>
  <c r="AN10" i="42"/>
  <c r="AN11" i="42"/>
  <c r="AN12" i="42"/>
  <c r="AN13" i="42"/>
  <c r="AN14" i="42"/>
  <c r="AN15" i="42"/>
  <c r="AN16" i="42"/>
  <c r="AN17" i="42"/>
  <c r="AN18" i="42"/>
  <c r="AN19" i="42"/>
  <c r="AN20" i="42"/>
  <c r="AN21" i="42"/>
  <c r="AN22" i="42"/>
  <c r="AN23" i="42"/>
  <c r="AN24" i="42"/>
  <c r="AN25" i="42"/>
  <c r="AN26" i="42"/>
  <c r="AN27" i="42"/>
  <c r="AN28" i="42"/>
  <c r="AN29" i="42"/>
  <c r="AN30" i="42"/>
  <c r="AN31" i="42"/>
  <c r="AN32" i="42"/>
  <c r="AN33" i="42"/>
  <c r="AN34" i="42"/>
  <c r="AN35" i="42"/>
  <c r="AN36" i="42"/>
  <c r="AN37" i="42"/>
  <c r="AN38" i="42"/>
  <c r="AN39" i="42"/>
  <c r="AN40" i="42"/>
  <c r="AN41" i="42"/>
  <c r="AN42" i="42"/>
  <c r="AN43" i="42"/>
  <c r="AN44" i="42"/>
  <c r="AN45" i="42"/>
  <c r="AN46" i="42"/>
  <c r="AN47" i="42"/>
  <c r="AN48" i="42"/>
  <c r="AN49" i="42"/>
  <c r="AN50" i="42"/>
  <c r="AN51" i="42"/>
  <c r="AN52" i="42"/>
  <c r="AN53" i="42"/>
  <c r="AN54" i="42"/>
  <c r="AN55" i="42"/>
  <c r="AN56" i="42"/>
  <c r="AN57" i="42"/>
  <c r="AN58" i="42"/>
  <c r="AN59" i="42"/>
  <c r="AN60" i="42"/>
  <c r="AN61" i="42"/>
  <c r="AN62" i="42"/>
  <c r="AN63" i="42"/>
  <c r="AN64" i="42"/>
  <c r="AN65" i="42"/>
  <c r="AN66" i="42"/>
  <c r="AN67" i="42"/>
  <c r="AN68" i="42"/>
  <c r="AN69" i="42"/>
  <c r="AN70" i="42"/>
  <c r="AN71" i="42"/>
  <c r="AN72" i="42"/>
  <c r="AN73" i="42"/>
  <c r="AN74" i="42"/>
  <c r="AN75" i="42"/>
  <c r="AN76" i="42"/>
  <c r="AN77" i="42"/>
  <c r="AN78" i="42"/>
  <c r="AN79" i="42"/>
  <c r="AN80" i="42"/>
  <c r="AN81" i="42"/>
  <c r="AN82" i="42"/>
  <c r="AN83" i="42"/>
  <c r="AN84" i="42"/>
  <c r="AN85" i="42"/>
  <c r="AN86" i="42"/>
  <c r="AN87" i="42"/>
  <c r="AN88" i="42"/>
  <c r="AN89" i="42"/>
  <c r="AN90" i="42"/>
  <c r="AN91" i="42"/>
  <c r="AN92" i="42"/>
  <c r="AN93" i="42"/>
  <c r="AN94" i="42"/>
  <c r="AN95" i="42"/>
  <c r="AN96" i="42"/>
  <c r="AN97" i="42"/>
  <c r="AN98" i="42"/>
  <c r="AN99" i="42"/>
  <c r="AN100" i="42"/>
  <c r="AN101" i="42"/>
  <c r="AN102" i="42"/>
  <c r="AN103" i="42"/>
  <c r="AN104" i="42"/>
  <c r="AN105" i="42"/>
  <c r="AN106" i="42"/>
  <c r="AN107" i="42"/>
  <c r="AN108" i="42"/>
  <c r="AN109" i="42"/>
  <c r="AN110" i="42"/>
  <c r="AN111" i="42"/>
  <c r="AN112" i="42"/>
  <c r="AN113" i="42"/>
  <c r="AN114" i="42"/>
  <c r="AN115" i="42"/>
  <c r="AN116" i="42"/>
  <c r="AN117" i="42"/>
  <c r="AN118" i="42"/>
  <c r="AN119" i="42"/>
  <c r="AN120" i="42"/>
  <c r="AN121" i="42"/>
  <c r="AN122" i="42"/>
  <c r="AN123" i="42"/>
  <c r="AN124" i="42"/>
  <c r="AN125" i="42"/>
  <c r="AN126" i="42"/>
  <c r="AN127" i="42"/>
  <c r="AN128" i="42"/>
  <c r="AN129" i="42"/>
  <c r="AN130" i="42"/>
  <c r="AN131" i="42"/>
  <c r="AN132" i="42"/>
  <c r="AN133" i="42"/>
  <c r="AN134" i="42"/>
  <c r="AN135" i="42"/>
  <c r="AN136" i="42"/>
  <c r="AN137" i="42"/>
  <c r="AN138" i="42"/>
  <c r="AN139" i="42"/>
  <c r="AN140" i="42"/>
  <c r="AN141" i="42"/>
  <c r="AN142" i="42"/>
  <c r="AN143" i="42"/>
  <c r="AN144" i="42"/>
  <c r="AN145" i="42"/>
  <c r="AN146" i="42"/>
  <c r="AN147" i="42"/>
  <c r="AN148" i="42"/>
  <c r="AN149" i="42"/>
  <c r="AN150" i="42"/>
  <c r="AN151" i="42"/>
  <c r="AN152" i="42"/>
  <c r="AN153" i="42"/>
  <c r="AN154" i="42"/>
  <c r="AN155" i="42"/>
  <c r="AN156" i="42"/>
  <c r="AN157" i="42"/>
  <c r="AN158" i="42"/>
  <c r="AN159" i="42"/>
  <c r="AN160" i="42"/>
  <c r="AN161" i="42"/>
  <c r="AN162" i="42"/>
  <c r="AN163" i="42"/>
  <c r="AN164" i="42"/>
  <c r="AN165" i="42"/>
  <c r="AN166" i="42"/>
  <c r="AN167" i="42"/>
  <c r="AN168" i="42"/>
  <c r="AN169" i="42"/>
  <c r="AN170" i="42"/>
  <c r="AN171" i="42"/>
  <c r="AN172" i="42"/>
  <c r="AN173" i="42"/>
  <c r="AN174" i="42"/>
  <c r="AN175" i="42"/>
  <c r="AN176" i="42"/>
  <c r="AN177" i="42"/>
  <c r="AN178" i="42"/>
  <c r="AN179" i="42"/>
  <c r="AN180" i="42"/>
  <c r="AN181" i="42"/>
  <c r="AN182" i="42"/>
  <c r="AN183" i="42"/>
  <c r="AN184" i="42"/>
  <c r="AN185" i="42"/>
  <c r="AN186" i="42"/>
  <c r="AN187" i="42"/>
  <c r="AN188" i="42"/>
  <c r="AN189" i="42"/>
  <c r="AN190" i="42"/>
  <c r="AN191" i="42"/>
  <c r="AN192" i="42"/>
  <c r="AN193" i="42"/>
  <c r="AN194" i="42"/>
  <c r="AN195" i="42"/>
  <c r="AN196" i="42"/>
  <c r="AN197" i="42"/>
  <c r="AN198" i="42"/>
  <c r="AN199" i="42"/>
  <c r="AN200" i="42"/>
  <c r="AN201" i="42"/>
  <c r="AN202" i="42"/>
  <c r="AN203" i="42"/>
  <c r="AN204" i="42"/>
  <c r="AN205" i="42"/>
  <c r="AN206" i="42"/>
  <c r="AN207" i="42"/>
  <c r="AN208" i="42"/>
  <c r="AN209" i="42"/>
  <c r="AN210" i="42"/>
  <c r="AN211" i="42"/>
  <c r="AN212" i="42"/>
  <c r="AN213" i="42"/>
  <c r="AN214" i="42"/>
  <c r="AN215" i="42"/>
  <c r="AN216" i="42"/>
  <c r="AN217" i="42"/>
  <c r="AN218" i="42"/>
  <c r="AN219" i="42"/>
  <c r="AN220" i="42"/>
  <c r="AN221" i="42"/>
  <c r="AN222" i="42"/>
  <c r="AN223" i="42"/>
  <c r="AN224" i="42"/>
  <c r="AN225" i="42"/>
  <c r="AN226" i="42"/>
  <c r="AN227" i="42"/>
  <c r="AN228" i="42"/>
  <c r="AN229" i="42"/>
  <c r="AN230" i="42"/>
  <c r="AN231" i="42"/>
  <c r="AN232" i="42"/>
  <c r="AN233" i="42"/>
  <c r="AN234" i="42"/>
  <c r="AN235" i="42"/>
  <c r="AN236" i="42"/>
  <c r="AN237" i="42"/>
  <c r="AN238" i="42"/>
  <c r="AN239" i="42"/>
  <c r="AN240" i="42"/>
  <c r="AN241" i="42"/>
  <c r="AN242" i="42"/>
  <c r="AN243" i="42"/>
  <c r="AN244" i="42"/>
  <c r="AN245" i="42"/>
  <c r="AN246" i="42"/>
  <c r="AN247" i="42"/>
  <c r="AN248" i="42"/>
  <c r="AN249" i="42"/>
  <c r="AN250" i="42"/>
  <c r="AN251" i="42"/>
  <c r="AN252" i="42"/>
  <c r="AN253" i="42"/>
  <c r="AN254" i="42"/>
  <c r="AN255" i="42"/>
  <c r="AN256" i="42"/>
  <c r="AN257" i="42"/>
  <c r="AN258" i="42"/>
  <c r="AN259" i="42"/>
  <c r="AN260" i="42"/>
  <c r="AN261" i="42"/>
  <c r="AN262" i="42"/>
  <c r="AN263" i="42"/>
  <c r="AN264" i="42"/>
  <c r="AN265" i="42"/>
  <c r="AN266" i="42"/>
  <c r="AN267" i="42"/>
  <c r="AN268" i="42"/>
  <c r="AN269" i="42"/>
  <c r="AN270" i="42"/>
  <c r="AN271" i="42"/>
  <c r="AN272" i="42"/>
  <c r="AN273" i="42"/>
  <c r="AN274" i="42"/>
  <c r="AN275" i="42"/>
  <c r="AN276" i="42"/>
  <c r="AN277" i="42"/>
  <c r="AN278" i="42"/>
  <c r="AN279" i="42"/>
  <c r="AN280" i="42"/>
  <c r="AN281" i="42"/>
  <c r="AN282" i="42"/>
  <c r="AN283" i="42"/>
  <c r="AN284" i="42"/>
  <c r="AN285" i="42"/>
  <c r="AN286" i="42"/>
  <c r="AN287" i="42"/>
  <c r="AN288" i="42"/>
  <c r="AN289" i="42"/>
  <c r="AN290" i="42"/>
  <c r="AN291" i="42"/>
  <c r="AN292" i="42"/>
  <c r="AN293" i="42"/>
  <c r="AN294" i="42"/>
  <c r="AN295" i="42"/>
  <c r="AN296" i="42"/>
  <c r="AN297" i="42"/>
  <c r="AN298" i="42"/>
  <c r="AN299" i="42"/>
  <c r="AN300" i="42"/>
  <c r="AN301" i="42"/>
  <c r="AN302" i="42"/>
  <c r="AN303" i="42"/>
  <c r="AN304" i="42"/>
  <c r="AN305" i="42"/>
  <c r="AN306" i="42"/>
  <c r="AN307" i="42"/>
  <c r="AN308" i="42"/>
  <c r="AN309" i="42"/>
  <c r="AN310" i="42"/>
  <c r="AN311" i="42"/>
  <c r="AN312" i="42"/>
  <c r="AN313" i="42"/>
  <c r="AN314" i="42"/>
  <c r="AN315" i="42"/>
  <c r="AN7" i="42"/>
  <c r="D281" i="34" l="1"/>
  <c r="C270" i="37"/>
  <c r="C273" i="36"/>
  <c r="C276" i="9"/>
  <c r="D257" i="34"/>
  <c r="C246" i="37"/>
  <c r="C249" i="36"/>
  <c r="C252" i="9"/>
  <c r="D169" i="34"/>
  <c r="C161" i="36"/>
  <c r="C158" i="37"/>
  <c r="C164" i="9"/>
  <c r="C301" i="37"/>
  <c r="D312" i="34"/>
  <c r="C304" i="36"/>
  <c r="C307" i="9"/>
  <c r="C285" i="37"/>
  <c r="D296" i="34"/>
  <c r="C288" i="36"/>
  <c r="C291" i="9"/>
  <c r="D272" i="34"/>
  <c r="C261" i="37"/>
  <c r="C264" i="36"/>
  <c r="C267" i="9"/>
  <c r="D256" i="34"/>
  <c r="C245" i="37"/>
  <c r="C248" i="36"/>
  <c r="C251" i="9"/>
  <c r="D311" i="34"/>
  <c r="C300" i="37"/>
  <c r="C303" i="36"/>
  <c r="C306" i="9"/>
  <c r="D303" i="34"/>
  <c r="C292" i="37"/>
  <c r="C295" i="36"/>
  <c r="C298" i="9"/>
  <c r="D295" i="34"/>
  <c r="C284" i="37"/>
  <c r="C287" i="36"/>
  <c r="C290" i="9"/>
  <c r="D279" i="34"/>
  <c r="C268" i="37"/>
  <c r="C271" i="36"/>
  <c r="C274" i="9"/>
  <c r="D263" i="34"/>
  <c r="C252" i="37"/>
  <c r="C255" i="36"/>
  <c r="C258" i="9"/>
  <c r="D255" i="34"/>
  <c r="C244" i="37"/>
  <c r="C247" i="36"/>
  <c r="C250" i="9"/>
  <c r="D239" i="34"/>
  <c r="C228" i="37"/>
  <c r="C231" i="36"/>
  <c r="C234" i="9"/>
  <c r="D223" i="34"/>
  <c r="C212" i="37"/>
  <c r="C215" i="36"/>
  <c r="C218" i="9"/>
  <c r="D207" i="34"/>
  <c r="C196" i="37"/>
  <c r="C199" i="36"/>
  <c r="C202" i="9"/>
  <c r="D191" i="34"/>
  <c r="C180" i="37"/>
  <c r="C183" i="36"/>
  <c r="C186" i="9"/>
  <c r="D183" i="34"/>
  <c r="C172" i="37"/>
  <c r="C175" i="36"/>
  <c r="C178" i="9"/>
  <c r="D175" i="34"/>
  <c r="C164" i="37"/>
  <c r="C167" i="36"/>
  <c r="C170" i="9"/>
  <c r="D167" i="34"/>
  <c r="C156" i="37"/>
  <c r="C159" i="36"/>
  <c r="C162" i="9"/>
  <c r="D159" i="34"/>
  <c r="C148" i="37"/>
  <c r="C151" i="36"/>
  <c r="C154" i="9"/>
  <c r="D151" i="34"/>
  <c r="C140" i="37"/>
  <c r="C143" i="36"/>
  <c r="C146" i="9"/>
  <c r="D143" i="34"/>
  <c r="C132" i="37"/>
  <c r="C135" i="36"/>
  <c r="C138" i="9"/>
  <c r="D135" i="34"/>
  <c r="C124" i="37"/>
  <c r="C127" i="36"/>
  <c r="C130" i="9"/>
  <c r="D127" i="34"/>
  <c r="C116" i="37"/>
  <c r="C119" i="36"/>
  <c r="C122" i="9"/>
  <c r="D119" i="34"/>
  <c r="C108" i="37"/>
  <c r="C111" i="36"/>
  <c r="C114" i="9"/>
  <c r="D111" i="34"/>
  <c r="C100" i="37"/>
  <c r="C103" i="36"/>
  <c r="C106" i="9"/>
  <c r="D103" i="34"/>
  <c r="C92" i="37"/>
  <c r="C95" i="36"/>
  <c r="C98" i="9"/>
  <c r="D95" i="34"/>
  <c r="C84" i="37"/>
  <c r="C87" i="36"/>
  <c r="C90" i="9"/>
  <c r="D87" i="34"/>
  <c r="C76" i="37"/>
  <c r="C79" i="36"/>
  <c r="C82" i="9"/>
  <c r="D79" i="34"/>
  <c r="C68" i="37"/>
  <c r="C71" i="36"/>
  <c r="C74" i="9"/>
  <c r="D71" i="34"/>
  <c r="C60" i="37"/>
  <c r="C63" i="36"/>
  <c r="C66" i="9"/>
  <c r="D63" i="34"/>
  <c r="C52" i="37"/>
  <c r="C55" i="36"/>
  <c r="C58" i="9"/>
  <c r="D55" i="34"/>
  <c r="C44" i="37"/>
  <c r="C47" i="36"/>
  <c r="C50" i="9"/>
  <c r="D47" i="34"/>
  <c r="C39" i="36"/>
  <c r="C36" i="37"/>
  <c r="C42" i="9"/>
  <c r="D39" i="34"/>
  <c r="C28" i="37"/>
  <c r="C31" i="36"/>
  <c r="C34" i="9"/>
  <c r="D31" i="34"/>
  <c r="C20" i="37"/>
  <c r="C23" i="36"/>
  <c r="C26" i="9"/>
  <c r="D23" i="34"/>
  <c r="C12" i="37"/>
  <c r="C15" i="36"/>
  <c r="C18" i="9"/>
  <c r="C286" i="37"/>
  <c r="D297" i="34"/>
  <c r="C289" i="36"/>
  <c r="C292" i="9"/>
  <c r="D265" i="34"/>
  <c r="C254" i="37"/>
  <c r="C257" i="36"/>
  <c r="C260" i="9"/>
  <c r="D249" i="34"/>
  <c r="C238" i="37"/>
  <c r="C241" i="36"/>
  <c r="C244" i="9"/>
  <c r="D153" i="34"/>
  <c r="C145" i="36"/>
  <c r="C142" i="37"/>
  <c r="C148" i="9"/>
  <c r="C293" i="37"/>
  <c r="D304" i="34"/>
  <c r="C296" i="36"/>
  <c r="C299" i="9"/>
  <c r="D280" i="34"/>
  <c r="C269" i="37"/>
  <c r="C272" i="36"/>
  <c r="C275" i="9"/>
  <c r="D264" i="34"/>
  <c r="C253" i="37"/>
  <c r="C256" i="36"/>
  <c r="C259" i="9"/>
  <c r="D319" i="34"/>
  <c r="C308" i="37"/>
  <c r="C311" i="36"/>
  <c r="C314" i="9"/>
  <c r="D287" i="34"/>
  <c r="C276" i="37"/>
  <c r="C279" i="36"/>
  <c r="C282" i="9"/>
  <c r="D271" i="34"/>
  <c r="C260" i="37"/>
  <c r="C263" i="36"/>
  <c r="C266" i="9"/>
  <c r="D247" i="34"/>
  <c r="C236" i="37"/>
  <c r="C239" i="36"/>
  <c r="C242" i="9"/>
  <c r="D231" i="34"/>
  <c r="C220" i="37"/>
  <c r="C223" i="36"/>
  <c r="C226" i="9"/>
  <c r="D215" i="34"/>
  <c r="C204" i="37"/>
  <c r="C207" i="36"/>
  <c r="C210" i="9"/>
  <c r="D199" i="34"/>
  <c r="C188" i="37"/>
  <c r="C191" i="36"/>
  <c r="C194" i="9"/>
  <c r="D318" i="34"/>
  <c r="C307" i="37"/>
  <c r="C310" i="36"/>
  <c r="C313" i="9"/>
  <c r="D310" i="34"/>
  <c r="C299" i="37"/>
  <c r="C302" i="36"/>
  <c r="C305" i="9"/>
  <c r="D302" i="34"/>
  <c r="C291" i="37"/>
  <c r="C294" i="36"/>
  <c r="C297" i="9"/>
  <c r="D294" i="34"/>
  <c r="C283" i="37"/>
  <c r="C286" i="36"/>
  <c r="C289" i="9"/>
  <c r="D286" i="34"/>
  <c r="C275" i="37"/>
  <c r="C278" i="36"/>
  <c r="C281" i="9"/>
  <c r="C267" i="37"/>
  <c r="D278" i="34"/>
  <c r="C270" i="36"/>
  <c r="C273" i="9"/>
  <c r="C259" i="37"/>
  <c r="D270" i="34"/>
  <c r="C262" i="36"/>
  <c r="C265" i="9"/>
  <c r="C251" i="37"/>
  <c r="D262" i="34"/>
  <c r="C254" i="36"/>
  <c r="C257" i="9"/>
  <c r="C243" i="37"/>
  <c r="D254" i="34"/>
  <c r="C246" i="36"/>
  <c r="C249" i="9"/>
  <c r="C235" i="37"/>
  <c r="D246" i="34"/>
  <c r="C238" i="36"/>
  <c r="C241" i="9"/>
  <c r="C227" i="37"/>
  <c r="D238" i="34"/>
  <c r="C230" i="36"/>
  <c r="C233" i="9"/>
  <c r="C219" i="37"/>
  <c r="D230" i="34"/>
  <c r="C222" i="36"/>
  <c r="C225" i="9"/>
  <c r="C211" i="37"/>
  <c r="D222" i="34"/>
  <c r="C214" i="36"/>
  <c r="C217" i="9"/>
  <c r="D214" i="34"/>
  <c r="C203" i="37"/>
  <c r="C206" i="36"/>
  <c r="C209" i="9"/>
  <c r="D206" i="34"/>
  <c r="C195" i="37"/>
  <c r="C198" i="36"/>
  <c r="C201" i="9"/>
  <c r="D198" i="34"/>
  <c r="C187" i="37"/>
  <c r="C190" i="36"/>
  <c r="C193" i="9"/>
  <c r="D190" i="34"/>
  <c r="C179" i="37"/>
  <c r="C182" i="36"/>
  <c r="C185" i="9"/>
  <c r="D182" i="34"/>
  <c r="C171" i="37"/>
  <c r="C174" i="36"/>
  <c r="C177" i="9"/>
  <c r="D174" i="34"/>
  <c r="C163" i="37"/>
  <c r="C166" i="36"/>
  <c r="C169" i="9"/>
  <c r="D166" i="34"/>
  <c r="C155" i="37"/>
  <c r="C158" i="36"/>
  <c r="C161" i="9"/>
  <c r="D158" i="34"/>
  <c r="C147" i="37"/>
  <c r="C150" i="36"/>
  <c r="C153" i="9"/>
  <c r="D150" i="34"/>
  <c r="C139" i="37"/>
  <c r="C142" i="36"/>
  <c r="C145" i="9"/>
  <c r="D142" i="34"/>
  <c r="C131" i="37"/>
  <c r="C134" i="36"/>
  <c r="C137" i="9"/>
  <c r="D134" i="34"/>
  <c r="C123" i="37"/>
  <c r="C126" i="36"/>
  <c r="C129" i="9"/>
  <c r="D126" i="34"/>
  <c r="C118" i="36"/>
  <c r="C115" i="37"/>
  <c r="C121" i="9"/>
  <c r="D118" i="34"/>
  <c r="C110" i="36"/>
  <c r="C107" i="37"/>
  <c r="C113" i="9"/>
  <c r="D110" i="34"/>
  <c r="C102" i="36"/>
  <c r="C99" i="37"/>
  <c r="C105" i="9"/>
  <c r="D102" i="34"/>
  <c r="C91" i="37"/>
  <c r="C94" i="36"/>
  <c r="C97" i="9"/>
  <c r="D94" i="34"/>
  <c r="C83" i="37"/>
  <c r="C86" i="36"/>
  <c r="C89" i="9"/>
  <c r="D86" i="34"/>
  <c r="C78" i="36"/>
  <c r="C75" i="37"/>
  <c r="C81" i="9"/>
  <c r="D78" i="34"/>
  <c r="C70" i="36"/>
  <c r="C73" i="9"/>
  <c r="C67" i="37"/>
  <c r="D70" i="34"/>
  <c r="C59" i="37"/>
  <c r="C62" i="36"/>
  <c r="C65" i="9"/>
  <c r="D62" i="34"/>
  <c r="C54" i="36"/>
  <c r="C51" i="37"/>
  <c r="C57" i="9"/>
  <c r="D54" i="34"/>
  <c r="C46" i="36"/>
  <c r="C43" i="37"/>
  <c r="C49" i="9"/>
  <c r="D46" i="34"/>
  <c r="C38" i="36"/>
  <c r="C35" i="37"/>
  <c r="C41" i="9"/>
  <c r="D38" i="34"/>
  <c r="C30" i="36"/>
  <c r="C27" i="37"/>
  <c r="C33" i="9"/>
  <c r="D30" i="34"/>
  <c r="C22" i="36"/>
  <c r="C19" i="37"/>
  <c r="C25" i="9"/>
  <c r="D22" i="34"/>
  <c r="C14" i="36"/>
  <c r="C11" i="37"/>
  <c r="C17" i="9"/>
  <c r="C302" i="37"/>
  <c r="D313" i="34"/>
  <c r="C305" i="36"/>
  <c r="C308" i="9"/>
  <c r="D209" i="34"/>
  <c r="C198" i="37"/>
  <c r="C201" i="36"/>
  <c r="C204" i="9"/>
  <c r="D317" i="34"/>
  <c r="C306" i="37"/>
  <c r="C309" i="36"/>
  <c r="C312" i="9"/>
  <c r="C266" i="37"/>
  <c r="D277" i="34"/>
  <c r="C269" i="36"/>
  <c r="C272" i="9"/>
  <c r="C258" i="37"/>
  <c r="D269" i="34"/>
  <c r="C261" i="36"/>
  <c r="C264" i="9"/>
  <c r="C250" i="37"/>
  <c r="D261" i="34"/>
  <c r="C253" i="36"/>
  <c r="C256" i="9"/>
  <c r="C242" i="37"/>
  <c r="D253" i="34"/>
  <c r="C245" i="36"/>
  <c r="C248" i="9"/>
  <c r="C234" i="37"/>
  <c r="D245" i="34"/>
  <c r="C237" i="36"/>
  <c r="C240" i="9"/>
  <c r="C226" i="37"/>
  <c r="D237" i="34"/>
  <c r="C229" i="36"/>
  <c r="C232" i="9"/>
  <c r="C218" i="37"/>
  <c r="D229" i="34"/>
  <c r="C221" i="36"/>
  <c r="C224" i="9"/>
  <c r="C210" i="37"/>
  <c r="D221" i="34"/>
  <c r="C213" i="36"/>
  <c r="C216" i="9"/>
  <c r="D213" i="34"/>
  <c r="C202" i="37"/>
  <c r="C205" i="36"/>
  <c r="C208" i="9"/>
  <c r="D205" i="34"/>
  <c r="C194" i="37"/>
  <c r="C197" i="36"/>
  <c r="C200" i="9"/>
  <c r="D197" i="34"/>
  <c r="C186" i="37"/>
  <c r="C189" i="36"/>
  <c r="C192" i="9"/>
  <c r="D189" i="34"/>
  <c r="C178" i="37"/>
  <c r="C181" i="36"/>
  <c r="C184" i="9"/>
  <c r="D181" i="34"/>
  <c r="C170" i="37"/>
  <c r="C173" i="36"/>
  <c r="C176" i="9"/>
  <c r="D173" i="34"/>
  <c r="C162" i="37"/>
  <c r="C165" i="36"/>
  <c r="C168" i="9"/>
  <c r="D165" i="34"/>
  <c r="C154" i="37"/>
  <c r="C157" i="36"/>
  <c r="C160" i="9"/>
  <c r="D157" i="34"/>
  <c r="C149" i="36"/>
  <c r="C146" i="37"/>
  <c r="C152" i="9"/>
  <c r="D149" i="34"/>
  <c r="C138" i="37"/>
  <c r="C141" i="36"/>
  <c r="C144" i="9"/>
  <c r="D141" i="34"/>
  <c r="C133" i="36"/>
  <c r="C130" i="37"/>
  <c r="C136" i="9"/>
  <c r="D133" i="34"/>
  <c r="C122" i="37"/>
  <c r="C125" i="36"/>
  <c r="C128" i="9"/>
  <c r="D125" i="34"/>
  <c r="C114" i="37"/>
  <c r="C117" i="36"/>
  <c r="C120" i="9"/>
  <c r="D117" i="34"/>
  <c r="C106" i="37"/>
  <c r="C109" i="36"/>
  <c r="C112" i="9"/>
  <c r="D109" i="34"/>
  <c r="C98" i="37"/>
  <c r="C101" i="36"/>
  <c r="C104" i="9"/>
  <c r="D101" i="34"/>
  <c r="C90" i="37"/>
  <c r="C93" i="36"/>
  <c r="C96" i="9"/>
  <c r="D93" i="34"/>
  <c r="C82" i="37"/>
  <c r="C85" i="36"/>
  <c r="C88" i="9"/>
  <c r="D85" i="34"/>
  <c r="C74" i="37"/>
  <c r="C77" i="36"/>
  <c r="C80" i="9"/>
  <c r="D77" i="34"/>
  <c r="C66" i="37"/>
  <c r="C69" i="36"/>
  <c r="C72" i="9"/>
  <c r="D69" i="34"/>
  <c r="C58" i="37"/>
  <c r="C61" i="36"/>
  <c r="C64" i="9"/>
  <c r="D61" i="34"/>
  <c r="C50" i="37"/>
  <c r="C53" i="36"/>
  <c r="C56" i="9"/>
  <c r="D53" i="34"/>
  <c r="C42" i="37"/>
  <c r="C45" i="36"/>
  <c r="C48" i="9"/>
  <c r="D45" i="34"/>
  <c r="C34" i="37"/>
  <c r="C37" i="36"/>
  <c r="C40" i="9"/>
  <c r="D37" i="34"/>
  <c r="C26" i="37"/>
  <c r="C29" i="36"/>
  <c r="C32" i="9"/>
  <c r="D29" i="34"/>
  <c r="C18" i="37"/>
  <c r="C21" i="36"/>
  <c r="C24" i="9"/>
  <c r="D21" i="34"/>
  <c r="C10" i="37"/>
  <c r="C13" i="36"/>
  <c r="C16" i="9"/>
  <c r="C294" i="37"/>
  <c r="D305" i="34"/>
  <c r="C297" i="36"/>
  <c r="C300" i="9"/>
  <c r="D233" i="34"/>
  <c r="C222" i="37"/>
  <c r="C225" i="36"/>
  <c r="C228" i="9"/>
  <c r="D225" i="34"/>
  <c r="C214" i="37"/>
  <c r="C217" i="36"/>
  <c r="C220" i="9"/>
  <c r="D185" i="34"/>
  <c r="C174" i="37"/>
  <c r="C177" i="36"/>
  <c r="C180" i="9"/>
  <c r="D285" i="34"/>
  <c r="C274" i="37"/>
  <c r="C277" i="36"/>
  <c r="C280" i="9"/>
  <c r="D292" i="34"/>
  <c r="C281" i="37"/>
  <c r="C287" i="9"/>
  <c r="C284" i="36"/>
  <c r="D284" i="34"/>
  <c r="C273" i="37"/>
  <c r="C276" i="36"/>
  <c r="C279" i="9"/>
  <c r="D276" i="34"/>
  <c r="C265" i="37"/>
  <c r="C268" i="36"/>
  <c r="C271" i="9"/>
  <c r="D268" i="34"/>
  <c r="C257" i="37"/>
  <c r="C260" i="36"/>
  <c r="C263" i="9"/>
  <c r="D260" i="34"/>
  <c r="C252" i="36"/>
  <c r="C249" i="37"/>
  <c r="C255" i="9"/>
  <c r="D252" i="34"/>
  <c r="C241" i="37"/>
  <c r="C244" i="36"/>
  <c r="C247" i="9"/>
  <c r="D244" i="34"/>
  <c r="C233" i="37"/>
  <c r="C236" i="36"/>
  <c r="C239" i="9"/>
  <c r="D236" i="34"/>
  <c r="C225" i="37"/>
  <c r="C228" i="36"/>
  <c r="C231" i="9"/>
  <c r="D228" i="34"/>
  <c r="C220" i="36"/>
  <c r="C217" i="37"/>
  <c r="C223" i="9"/>
  <c r="D220" i="34"/>
  <c r="C209" i="37"/>
  <c r="C212" i="36"/>
  <c r="C215" i="9"/>
  <c r="D212" i="34"/>
  <c r="C201" i="37"/>
  <c r="C204" i="36"/>
  <c r="C207" i="9"/>
  <c r="D204" i="34"/>
  <c r="C193" i="37"/>
  <c r="C196" i="36"/>
  <c r="C199" i="9"/>
  <c r="D196" i="34"/>
  <c r="C185" i="37"/>
  <c r="C188" i="36"/>
  <c r="C191" i="9"/>
  <c r="D188" i="34"/>
  <c r="C177" i="37"/>
  <c r="C180" i="36"/>
  <c r="C183" i="9"/>
  <c r="D180" i="34"/>
  <c r="C169" i="37"/>
  <c r="C172" i="36"/>
  <c r="C175" i="9"/>
  <c r="D172" i="34"/>
  <c r="C161" i="37"/>
  <c r="C164" i="36"/>
  <c r="C167" i="9"/>
  <c r="D164" i="34"/>
  <c r="C153" i="37"/>
  <c r="C156" i="36"/>
  <c r="C159" i="9"/>
  <c r="D156" i="34"/>
  <c r="C145" i="37"/>
  <c r="C148" i="36"/>
  <c r="C151" i="9"/>
  <c r="D148" i="34"/>
  <c r="C137" i="37"/>
  <c r="C140" i="36"/>
  <c r="C143" i="9"/>
  <c r="D140" i="34"/>
  <c r="C129" i="37"/>
  <c r="C132" i="36"/>
  <c r="C135" i="9"/>
  <c r="D132" i="34"/>
  <c r="C121" i="37"/>
  <c r="C124" i="36"/>
  <c r="C127" i="9"/>
  <c r="D124" i="34"/>
  <c r="C113" i="37"/>
  <c r="C116" i="36"/>
  <c r="C119" i="9"/>
  <c r="D116" i="34"/>
  <c r="C105" i="37"/>
  <c r="C108" i="36"/>
  <c r="C111" i="9"/>
  <c r="D108" i="34"/>
  <c r="C97" i="37"/>
  <c r="C100" i="36"/>
  <c r="C103" i="9"/>
  <c r="D100" i="34"/>
  <c r="C89" i="37"/>
  <c r="C92" i="36"/>
  <c r="C95" i="9"/>
  <c r="D92" i="34"/>
  <c r="C81" i="37"/>
  <c r="C84" i="36"/>
  <c r="C87" i="9"/>
  <c r="D84" i="34"/>
  <c r="C73" i="37"/>
  <c r="C76" i="36"/>
  <c r="C79" i="9"/>
  <c r="D76" i="34"/>
  <c r="C65" i="37"/>
  <c r="C68" i="36"/>
  <c r="C71" i="9"/>
  <c r="D68" i="34"/>
  <c r="C57" i="37"/>
  <c r="C60" i="36"/>
  <c r="C63" i="9"/>
  <c r="D60" i="34"/>
  <c r="C49" i="37"/>
  <c r="C52" i="36"/>
  <c r="C55" i="9"/>
  <c r="D52" i="34"/>
  <c r="C41" i="37"/>
  <c r="C44" i="36"/>
  <c r="C47" i="9"/>
  <c r="D44" i="34"/>
  <c r="C33" i="37"/>
  <c r="C36" i="36"/>
  <c r="C39" i="9"/>
  <c r="D36" i="34"/>
  <c r="C25" i="37"/>
  <c r="C28" i="36"/>
  <c r="C31" i="9"/>
  <c r="D28" i="34"/>
  <c r="C17" i="37"/>
  <c r="C20" i="36"/>
  <c r="C23" i="9"/>
  <c r="D20" i="34"/>
  <c r="C9" i="37"/>
  <c r="C12" i="36"/>
  <c r="C15" i="9"/>
  <c r="C310" i="37"/>
  <c r="D321" i="34"/>
  <c r="C313" i="36"/>
  <c r="C316" i="9"/>
  <c r="D217" i="34"/>
  <c r="C206" i="37"/>
  <c r="C209" i="36"/>
  <c r="C212" i="9"/>
  <c r="D177" i="34"/>
  <c r="C166" i="37"/>
  <c r="C169" i="36"/>
  <c r="C172" i="9"/>
  <c r="D293" i="34"/>
  <c r="C282" i="37"/>
  <c r="C285" i="36"/>
  <c r="C288" i="9"/>
  <c r="D316" i="34"/>
  <c r="C305" i="37"/>
  <c r="C308" i="36"/>
  <c r="C311" i="9"/>
  <c r="D300" i="34"/>
  <c r="C289" i="37"/>
  <c r="C292" i="36"/>
  <c r="C295" i="9"/>
  <c r="D315" i="34"/>
  <c r="C304" i="37"/>
  <c r="C310" i="9"/>
  <c r="C307" i="36"/>
  <c r="D291" i="34"/>
  <c r="C280" i="37"/>
  <c r="C283" i="36"/>
  <c r="C286" i="9"/>
  <c r="D275" i="34"/>
  <c r="C264" i="37"/>
  <c r="C267" i="36"/>
  <c r="C270" i="9"/>
  <c r="D243" i="34"/>
  <c r="C232" i="37"/>
  <c r="C235" i="36"/>
  <c r="C238" i="9"/>
  <c r="C208" i="37"/>
  <c r="D219" i="34"/>
  <c r="C211" i="36"/>
  <c r="C214" i="9"/>
  <c r="D203" i="34"/>
  <c r="C192" i="37"/>
  <c r="C195" i="36"/>
  <c r="C198" i="9"/>
  <c r="D195" i="34"/>
  <c r="C184" i="37"/>
  <c r="C187" i="36"/>
  <c r="C190" i="9"/>
  <c r="D187" i="34"/>
  <c r="C176" i="37"/>
  <c r="C179" i="36"/>
  <c r="C182" i="9"/>
  <c r="D179" i="34"/>
  <c r="C168" i="37"/>
  <c r="C171" i="36"/>
  <c r="C174" i="9"/>
  <c r="D171" i="34"/>
  <c r="C160" i="37"/>
  <c r="C163" i="36"/>
  <c r="C166" i="9"/>
  <c r="D163" i="34"/>
  <c r="C152" i="37"/>
  <c r="C155" i="36"/>
  <c r="C158" i="9"/>
  <c r="D155" i="34"/>
  <c r="C144" i="37"/>
  <c r="C147" i="36"/>
  <c r="C150" i="9"/>
  <c r="D147" i="34"/>
  <c r="C136" i="37"/>
  <c r="C139" i="36"/>
  <c r="C142" i="9"/>
  <c r="D139" i="34"/>
  <c r="C128" i="37"/>
  <c r="C131" i="36"/>
  <c r="C134" i="9"/>
  <c r="D131" i="34"/>
  <c r="C120" i="37"/>
  <c r="C123" i="36"/>
  <c r="C126" i="9"/>
  <c r="D123" i="34"/>
  <c r="C112" i="37"/>
  <c r="C115" i="36"/>
  <c r="C118" i="9"/>
  <c r="D115" i="34"/>
  <c r="C104" i="37"/>
  <c r="C107" i="36"/>
  <c r="C110" i="9"/>
  <c r="D107" i="34"/>
  <c r="C96" i="37"/>
  <c r="C99" i="36"/>
  <c r="C102" i="9"/>
  <c r="D99" i="34"/>
  <c r="C88" i="37"/>
  <c r="C91" i="36"/>
  <c r="C94" i="9"/>
  <c r="D91" i="34"/>
  <c r="C80" i="37"/>
  <c r="C83" i="36"/>
  <c r="C86" i="9"/>
  <c r="D83" i="34"/>
  <c r="C72" i="37"/>
  <c r="C75" i="36"/>
  <c r="C78" i="9"/>
  <c r="D75" i="34"/>
  <c r="C64" i="37"/>
  <c r="C67" i="36"/>
  <c r="C70" i="9"/>
  <c r="D67" i="34"/>
  <c r="C56" i="37"/>
  <c r="C59" i="36"/>
  <c r="C62" i="9"/>
  <c r="D59" i="34"/>
  <c r="C48" i="37"/>
  <c r="C51" i="36"/>
  <c r="C54" i="9"/>
  <c r="D51" i="34"/>
  <c r="C40" i="37"/>
  <c r="C46" i="9"/>
  <c r="C43" i="36"/>
  <c r="D43" i="34"/>
  <c r="C35" i="36"/>
  <c r="C32" i="37"/>
  <c r="C38" i="9"/>
  <c r="D35" i="34"/>
  <c r="C24" i="37"/>
  <c r="C27" i="36"/>
  <c r="C30" i="9"/>
  <c r="D27" i="34"/>
  <c r="C16" i="37"/>
  <c r="C19" i="36"/>
  <c r="C22" i="9"/>
  <c r="D19" i="34"/>
  <c r="C11" i="36"/>
  <c r="C8" i="37"/>
  <c r="C14" i="9"/>
  <c r="D273" i="34"/>
  <c r="C262" i="37"/>
  <c r="C265" i="36"/>
  <c r="C268" i="9"/>
  <c r="D193" i="34"/>
  <c r="C182" i="37"/>
  <c r="C185" i="36"/>
  <c r="C188" i="9"/>
  <c r="D309" i="34"/>
  <c r="C298" i="37"/>
  <c r="C304" i="9"/>
  <c r="C301" i="36"/>
  <c r="D301" i="34"/>
  <c r="C290" i="37"/>
  <c r="C293" i="36"/>
  <c r="C296" i="9"/>
  <c r="D324" i="34"/>
  <c r="C313" i="37"/>
  <c r="C316" i="36"/>
  <c r="C319" i="9"/>
  <c r="D308" i="34"/>
  <c r="C297" i="37"/>
  <c r="C300" i="36"/>
  <c r="C303" i="9"/>
  <c r="D323" i="34"/>
  <c r="C312" i="37"/>
  <c r="C315" i="36"/>
  <c r="C318" i="9"/>
  <c r="D307" i="34"/>
  <c r="C296" i="37"/>
  <c r="C299" i="36"/>
  <c r="C302" i="9"/>
  <c r="D299" i="34"/>
  <c r="C288" i="37"/>
  <c r="C291" i="36"/>
  <c r="C294" i="9"/>
  <c r="D283" i="34"/>
  <c r="C272" i="37"/>
  <c r="C275" i="36"/>
  <c r="C278" i="9"/>
  <c r="D267" i="34"/>
  <c r="C256" i="37"/>
  <c r="C259" i="36"/>
  <c r="C262" i="9"/>
  <c r="D259" i="34"/>
  <c r="C248" i="37"/>
  <c r="C251" i="36"/>
  <c r="C254" i="9"/>
  <c r="D251" i="34"/>
  <c r="C240" i="37"/>
  <c r="C243" i="36"/>
  <c r="C246" i="9"/>
  <c r="D235" i="34"/>
  <c r="C224" i="37"/>
  <c r="C227" i="36"/>
  <c r="C230" i="9"/>
  <c r="D227" i="34"/>
  <c r="C216" i="37"/>
  <c r="C219" i="36"/>
  <c r="C222" i="9"/>
  <c r="D211" i="34"/>
  <c r="C200" i="37"/>
  <c r="C203" i="36"/>
  <c r="C206" i="9"/>
  <c r="D322" i="34"/>
  <c r="C311" i="37"/>
  <c r="C314" i="36"/>
  <c r="C317" i="9"/>
  <c r="D314" i="34"/>
  <c r="C303" i="37"/>
  <c r="C306" i="36"/>
  <c r="C309" i="9"/>
  <c r="D306" i="34"/>
  <c r="C295" i="37"/>
  <c r="C298" i="36"/>
  <c r="C301" i="9"/>
  <c r="D298" i="34"/>
  <c r="C287" i="37"/>
  <c r="C290" i="36"/>
  <c r="C293" i="9"/>
  <c r="D290" i="34"/>
  <c r="C279" i="37"/>
  <c r="C282" i="36"/>
  <c r="C285" i="9"/>
  <c r="C271" i="37"/>
  <c r="D282" i="34"/>
  <c r="C274" i="36"/>
  <c r="C277" i="9"/>
  <c r="C263" i="37"/>
  <c r="D274" i="34"/>
  <c r="C266" i="36"/>
  <c r="C269" i="9"/>
  <c r="C255" i="37"/>
  <c r="D266" i="34"/>
  <c r="C258" i="36"/>
  <c r="C261" i="9"/>
  <c r="C247" i="37"/>
  <c r="D258" i="34"/>
  <c r="C250" i="36"/>
  <c r="C253" i="9"/>
  <c r="C239" i="37"/>
  <c r="D250" i="34"/>
  <c r="C242" i="36"/>
  <c r="C245" i="9"/>
  <c r="C231" i="37"/>
  <c r="D242" i="34"/>
  <c r="C234" i="36"/>
  <c r="C237" i="9"/>
  <c r="C223" i="37"/>
  <c r="D234" i="34"/>
  <c r="C226" i="36"/>
  <c r="C229" i="9"/>
  <c r="C215" i="37"/>
  <c r="D226" i="34"/>
  <c r="C218" i="36"/>
  <c r="C221" i="9"/>
  <c r="D218" i="34"/>
  <c r="C207" i="37"/>
  <c r="C210" i="36"/>
  <c r="C213" i="9"/>
  <c r="D210" i="34"/>
  <c r="C199" i="37"/>
  <c r="C202" i="36"/>
  <c r="C205" i="9"/>
  <c r="D202" i="34"/>
  <c r="C191" i="37"/>
  <c r="C194" i="36"/>
  <c r="C197" i="9"/>
  <c r="D194" i="34"/>
  <c r="C183" i="37"/>
  <c r="C186" i="36"/>
  <c r="C189" i="9"/>
  <c r="D186" i="34"/>
  <c r="C175" i="37"/>
  <c r="C178" i="36"/>
  <c r="C181" i="9"/>
  <c r="D178" i="34"/>
  <c r="C167" i="37"/>
  <c r="C170" i="36"/>
  <c r="C173" i="9"/>
  <c r="D170" i="34"/>
  <c r="C159" i="37"/>
  <c r="C162" i="36"/>
  <c r="C165" i="9"/>
  <c r="D162" i="34"/>
  <c r="C151" i="37"/>
  <c r="C154" i="36"/>
  <c r="C157" i="9"/>
  <c r="D154" i="34"/>
  <c r="C143" i="37"/>
  <c r="C146" i="36"/>
  <c r="C149" i="9"/>
  <c r="D146" i="34"/>
  <c r="C135" i="37"/>
  <c r="C138" i="36"/>
  <c r="C141" i="9"/>
  <c r="D138" i="34"/>
  <c r="C130" i="36"/>
  <c r="C127" i="37"/>
  <c r="C133" i="9"/>
  <c r="D130" i="34"/>
  <c r="C119" i="37"/>
  <c r="C122" i="36"/>
  <c r="C125" i="9"/>
  <c r="D122" i="34"/>
  <c r="C111" i="37"/>
  <c r="C114" i="36"/>
  <c r="C117" i="9"/>
  <c r="D114" i="34"/>
  <c r="C103" i="37"/>
  <c r="C106" i="36"/>
  <c r="C109" i="9"/>
  <c r="D106" i="34"/>
  <c r="C98" i="36"/>
  <c r="C95" i="37"/>
  <c r="C101" i="9"/>
  <c r="D98" i="34"/>
  <c r="C87" i="37"/>
  <c r="C93" i="9"/>
  <c r="C90" i="36"/>
  <c r="D90" i="34"/>
  <c r="C79" i="37"/>
  <c r="C82" i="36"/>
  <c r="C85" i="9"/>
  <c r="D82" i="34"/>
  <c r="C71" i="37"/>
  <c r="C74" i="36"/>
  <c r="C77" i="9"/>
  <c r="D74" i="34"/>
  <c r="C63" i="37"/>
  <c r="C66" i="36"/>
  <c r="C69" i="9"/>
  <c r="D66" i="34"/>
  <c r="C55" i="37"/>
  <c r="C61" i="9"/>
  <c r="C58" i="36"/>
  <c r="D58" i="34"/>
  <c r="C47" i="37"/>
  <c r="C50" i="36"/>
  <c r="C53" i="9"/>
  <c r="D50" i="34"/>
  <c r="C42" i="36"/>
  <c r="C39" i="37"/>
  <c r="C45" i="9"/>
  <c r="D42" i="34"/>
  <c r="C34" i="36"/>
  <c r="C31" i="37"/>
  <c r="C37" i="9"/>
  <c r="D34" i="34"/>
  <c r="C26" i="36"/>
  <c r="C23" i="37"/>
  <c r="C29" i="9"/>
  <c r="D26" i="34"/>
  <c r="C15" i="37"/>
  <c r="C18" i="36"/>
  <c r="C21" i="9"/>
  <c r="D18" i="34"/>
  <c r="C7" i="37"/>
  <c r="C10" i="36"/>
  <c r="C13" i="9"/>
  <c r="D241" i="34"/>
  <c r="C230" i="37"/>
  <c r="C233" i="36"/>
  <c r="C236" i="9"/>
  <c r="D161" i="34"/>
  <c r="C150" i="37"/>
  <c r="C153" i="36"/>
  <c r="C156" i="9"/>
  <c r="D145" i="34"/>
  <c r="C134" i="37"/>
  <c r="C137" i="36"/>
  <c r="C140" i="9"/>
  <c r="D137" i="34"/>
  <c r="C126" i="37"/>
  <c r="C129" i="36"/>
  <c r="C132" i="9"/>
  <c r="D129" i="34"/>
  <c r="C118" i="37"/>
  <c r="C121" i="36"/>
  <c r="C124" i="9"/>
  <c r="D121" i="34"/>
  <c r="C110" i="37"/>
  <c r="C113" i="36"/>
  <c r="C116" i="9"/>
  <c r="D113" i="34"/>
  <c r="C102" i="37"/>
  <c r="C105" i="36"/>
  <c r="C108" i="9"/>
  <c r="D105" i="34"/>
  <c r="C94" i="37"/>
  <c r="C97" i="36"/>
  <c r="C100" i="9"/>
  <c r="D97" i="34"/>
  <c r="C86" i="37"/>
  <c r="C89" i="36"/>
  <c r="C92" i="9"/>
  <c r="D89" i="34"/>
  <c r="C78" i="37"/>
  <c r="C81" i="36"/>
  <c r="C84" i="9"/>
  <c r="D81" i="34"/>
  <c r="C70" i="37"/>
  <c r="C73" i="36"/>
  <c r="C76" i="9"/>
  <c r="D73" i="34"/>
  <c r="C62" i="37"/>
  <c r="C65" i="36"/>
  <c r="C68" i="9"/>
  <c r="D65" i="34"/>
  <c r="C54" i="37"/>
  <c r="C57" i="36"/>
  <c r="C60" i="9"/>
  <c r="D57" i="34"/>
  <c r="C46" i="37"/>
  <c r="C49" i="36"/>
  <c r="C52" i="9"/>
  <c r="D49" i="34"/>
  <c r="C41" i="36"/>
  <c r="C38" i="37"/>
  <c r="C44" i="9"/>
  <c r="D41" i="34"/>
  <c r="C33" i="36"/>
  <c r="C30" i="37"/>
  <c r="C36" i="9"/>
  <c r="D33" i="34"/>
  <c r="C22" i="37"/>
  <c r="C25" i="36"/>
  <c r="C28" i="9"/>
  <c r="D25" i="34"/>
  <c r="C17" i="36"/>
  <c r="C14" i="37"/>
  <c r="C20" i="9"/>
  <c r="D17" i="34"/>
  <c r="C6" i="37"/>
  <c r="C9" i="36"/>
  <c r="C12" i="9"/>
  <c r="C278" i="37"/>
  <c r="D289" i="34"/>
  <c r="C281" i="36"/>
  <c r="C284" i="9"/>
  <c r="D201" i="34"/>
  <c r="C190" i="37"/>
  <c r="C193" i="36"/>
  <c r="C196" i="9"/>
  <c r="C309" i="37"/>
  <c r="D320" i="34"/>
  <c r="C315" i="9"/>
  <c r="C312" i="36"/>
  <c r="C277" i="37"/>
  <c r="D288" i="34"/>
  <c r="C280" i="36"/>
  <c r="C283" i="9"/>
  <c r="D248" i="34"/>
  <c r="C237" i="37"/>
  <c r="C240" i="36"/>
  <c r="C243" i="9"/>
  <c r="D240" i="34"/>
  <c r="C229" i="37"/>
  <c r="C232" i="36"/>
  <c r="C235" i="9"/>
  <c r="D232" i="34"/>
  <c r="C221" i="37"/>
  <c r="C224" i="36"/>
  <c r="C227" i="9"/>
  <c r="D224" i="34"/>
  <c r="C213" i="37"/>
  <c r="C216" i="36"/>
  <c r="C219" i="9"/>
  <c r="D216" i="34"/>
  <c r="C205" i="37"/>
  <c r="C208" i="36"/>
  <c r="C211" i="9"/>
  <c r="D208" i="34"/>
  <c r="C197" i="37"/>
  <c r="C200" i="36"/>
  <c r="C203" i="9"/>
  <c r="D200" i="34"/>
  <c r="C189" i="37"/>
  <c r="C192" i="36"/>
  <c r="C195" i="9"/>
  <c r="D192" i="34"/>
  <c r="C181" i="37"/>
  <c r="C184" i="36"/>
  <c r="C187" i="9"/>
  <c r="D184" i="34"/>
  <c r="C173" i="37"/>
  <c r="C176" i="36"/>
  <c r="C179" i="9"/>
  <c r="D176" i="34"/>
  <c r="C165" i="37"/>
  <c r="C168" i="36"/>
  <c r="C171" i="9"/>
  <c r="D168" i="34"/>
  <c r="C157" i="37"/>
  <c r="C160" i="36"/>
  <c r="C163" i="9"/>
  <c r="D160" i="34"/>
  <c r="C149" i="37"/>
  <c r="C152" i="36"/>
  <c r="C155" i="9"/>
  <c r="D152" i="34"/>
  <c r="C141" i="37"/>
  <c r="C144" i="36"/>
  <c r="C147" i="9"/>
  <c r="D144" i="34"/>
  <c r="C133" i="37"/>
  <c r="C136" i="36"/>
  <c r="C139" i="9"/>
  <c r="D136" i="34"/>
  <c r="C125" i="37"/>
  <c r="C128" i="36"/>
  <c r="C131" i="9"/>
  <c r="D128" i="34"/>
  <c r="C117" i="37"/>
  <c r="C120" i="36"/>
  <c r="C123" i="9"/>
  <c r="D120" i="34"/>
  <c r="C109" i="37"/>
  <c r="C112" i="36"/>
  <c r="C115" i="9"/>
  <c r="D112" i="34"/>
  <c r="C101" i="37"/>
  <c r="C104" i="36"/>
  <c r="C107" i="9"/>
  <c r="D104" i="34"/>
  <c r="C93" i="37"/>
  <c r="C96" i="36"/>
  <c r="C99" i="9"/>
  <c r="D96" i="34"/>
  <c r="C85" i="37"/>
  <c r="C88" i="36"/>
  <c r="C91" i="9"/>
  <c r="D88" i="34"/>
  <c r="C77" i="37"/>
  <c r="C80" i="36"/>
  <c r="C83" i="9"/>
  <c r="D80" i="34"/>
  <c r="C69" i="37"/>
  <c r="C72" i="36"/>
  <c r="C75" i="9"/>
  <c r="D72" i="34"/>
  <c r="C61" i="37"/>
  <c r="C64" i="36"/>
  <c r="C67" i="9"/>
  <c r="D64" i="34"/>
  <c r="C53" i="37"/>
  <c r="C56" i="36"/>
  <c r="C59" i="9"/>
  <c r="D56" i="34"/>
  <c r="C45" i="37"/>
  <c r="C48" i="36"/>
  <c r="C51" i="9"/>
  <c r="D48" i="34"/>
  <c r="C40" i="36"/>
  <c r="C37" i="37"/>
  <c r="C43" i="9"/>
  <c r="D40" i="34"/>
  <c r="C32" i="36"/>
  <c r="C29" i="37"/>
  <c r="C35" i="9"/>
  <c r="D32" i="34"/>
  <c r="C21" i="37"/>
  <c r="C24" i="36"/>
  <c r="C27" i="9"/>
  <c r="D24" i="34"/>
  <c r="C16" i="36"/>
  <c r="C13" i="37"/>
  <c r="C19" i="9"/>
  <c r="G262" i="37"/>
  <c r="AM316" i="42"/>
  <c r="D61" i="53"/>
  <c r="D60" i="53"/>
  <c r="D59" i="53"/>
  <c r="D55" i="53"/>
  <c r="D54" i="53"/>
  <c r="D53" i="53"/>
  <c r="D50" i="53"/>
  <c r="D49" i="53"/>
  <c r="D48" i="53"/>
  <c r="D47" i="53"/>
  <c r="D46" i="53"/>
  <c r="D45" i="53"/>
  <c r="D44" i="53"/>
  <c r="D43" i="53"/>
  <c r="D42" i="53"/>
  <c r="D41" i="53"/>
  <c r="D40" i="53"/>
  <c r="D39" i="53"/>
  <c r="D38" i="53"/>
  <c r="D32" i="53"/>
  <c r="D31" i="53"/>
  <c r="D30" i="53"/>
  <c r="D29" i="53"/>
  <c r="D28" i="53"/>
  <c r="D27" i="53"/>
  <c r="D26" i="53"/>
  <c r="D25" i="53"/>
  <c r="D24" i="53"/>
  <c r="D23" i="53"/>
  <c r="D20" i="53"/>
  <c r="D19" i="53"/>
  <c r="D18" i="53"/>
  <c r="D17" i="53"/>
  <c r="D15" i="53"/>
  <c r="D14" i="53"/>
  <c r="D13" i="53"/>
  <c r="D12" i="53"/>
  <c r="D11" i="53"/>
  <c r="B7" i="53"/>
  <c r="I315" i="54"/>
  <c r="D312" i="36" l="1"/>
  <c r="H312" i="36"/>
  <c r="J312" i="36"/>
  <c r="G312" i="36"/>
  <c r="F312" i="36"/>
  <c r="I312" i="36"/>
  <c r="E312" i="36"/>
  <c r="K312" i="36" s="1"/>
  <c r="F320" i="34" s="1"/>
  <c r="H58" i="36"/>
  <c r="D58" i="36"/>
  <c r="G58" i="36"/>
  <c r="J58" i="36"/>
  <c r="E58" i="36"/>
  <c r="I58" i="36"/>
  <c r="F58" i="36"/>
  <c r="D90" i="36"/>
  <c r="G90" i="36"/>
  <c r="H90" i="36"/>
  <c r="I90" i="36"/>
  <c r="F90" i="36"/>
  <c r="E90" i="36"/>
  <c r="J90" i="36"/>
  <c r="E301" i="36"/>
  <c r="G301" i="36"/>
  <c r="I301" i="36"/>
  <c r="H301" i="36"/>
  <c r="F301" i="36"/>
  <c r="J301" i="36"/>
  <c r="D301" i="36"/>
  <c r="D284" i="36"/>
  <c r="F284" i="36"/>
  <c r="H284" i="36"/>
  <c r="E284" i="36"/>
  <c r="J284" i="36"/>
  <c r="I284" i="36"/>
  <c r="G284" i="36"/>
  <c r="G48" i="36"/>
  <c r="H48" i="36"/>
  <c r="J48" i="36"/>
  <c r="D48" i="36"/>
  <c r="K48" i="36" s="1"/>
  <c r="F56" i="34" s="1"/>
  <c r="F48" i="36"/>
  <c r="E48" i="36"/>
  <c r="I48" i="36"/>
  <c r="D64" i="36"/>
  <c r="E64" i="36"/>
  <c r="G64" i="36"/>
  <c r="H64" i="36"/>
  <c r="I64" i="36"/>
  <c r="F64" i="36"/>
  <c r="J64" i="36"/>
  <c r="G80" i="36"/>
  <c r="H80" i="36"/>
  <c r="J80" i="36"/>
  <c r="D80" i="36"/>
  <c r="F80" i="36"/>
  <c r="E80" i="36"/>
  <c r="I80" i="36"/>
  <c r="H96" i="36"/>
  <c r="I96" i="36"/>
  <c r="D96" i="36"/>
  <c r="E96" i="36"/>
  <c r="G96" i="36"/>
  <c r="F96" i="36"/>
  <c r="J96" i="36"/>
  <c r="H112" i="36"/>
  <c r="I112" i="36"/>
  <c r="D112" i="36"/>
  <c r="E112" i="36"/>
  <c r="G112" i="36"/>
  <c r="J112" i="36"/>
  <c r="F112" i="36"/>
  <c r="H128" i="36"/>
  <c r="D128" i="36"/>
  <c r="E128" i="36"/>
  <c r="G128" i="36"/>
  <c r="J128" i="36"/>
  <c r="F128" i="36"/>
  <c r="I128" i="36"/>
  <c r="D144" i="36"/>
  <c r="I144" i="36"/>
  <c r="G144" i="36"/>
  <c r="J144" i="36"/>
  <c r="F144" i="36"/>
  <c r="E144" i="36"/>
  <c r="H144" i="36"/>
  <c r="H160" i="36"/>
  <c r="J160" i="36"/>
  <c r="F160" i="36"/>
  <c r="E160" i="36"/>
  <c r="G160" i="36"/>
  <c r="I160" i="36"/>
  <c r="D160" i="36"/>
  <c r="G176" i="36"/>
  <c r="I176" i="36"/>
  <c r="E176" i="36"/>
  <c r="D176" i="36"/>
  <c r="K176" i="36" s="1"/>
  <c r="F184" i="34" s="1"/>
  <c r="J176" i="36"/>
  <c r="F176" i="36"/>
  <c r="H176" i="36"/>
  <c r="D192" i="36"/>
  <c r="I192" i="36"/>
  <c r="H192" i="36"/>
  <c r="J192" i="36"/>
  <c r="F192" i="36"/>
  <c r="K192" i="36" s="1"/>
  <c r="F200" i="34" s="1"/>
  <c r="E192" i="36"/>
  <c r="G192" i="36"/>
  <c r="D208" i="36"/>
  <c r="G208" i="36"/>
  <c r="H208" i="36"/>
  <c r="I208" i="36"/>
  <c r="E208" i="36"/>
  <c r="J208" i="36"/>
  <c r="F208" i="36"/>
  <c r="I224" i="36"/>
  <c r="D224" i="36"/>
  <c r="H224" i="36"/>
  <c r="G224" i="36"/>
  <c r="E224" i="36"/>
  <c r="J224" i="36"/>
  <c r="F224" i="36"/>
  <c r="H240" i="36"/>
  <c r="G240" i="36"/>
  <c r="F240" i="36"/>
  <c r="J240" i="36"/>
  <c r="D240" i="36"/>
  <c r="E240" i="36"/>
  <c r="I240" i="36"/>
  <c r="G281" i="36"/>
  <c r="E281" i="36"/>
  <c r="J281" i="36"/>
  <c r="F281" i="36"/>
  <c r="H281" i="36"/>
  <c r="D281" i="36"/>
  <c r="I281" i="36"/>
  <c r="D49" i="36"/>
  <c r="I49" i="36"/>
  <c r="E49" i="36"/>
  <c r="H49" i="36"/>
  <c r="F49" i="36"/>
  <c r="G49" i="36"/>
  <c r="J49" i="36"/>
  <c r="D65" i="36"/>
  <c r="E65" i="36"/>
  <c r="H65" i="36"/>
  <c r="I65" i="36"/>
  <c r="G65" i="36"/>
  <c r="F65" i="36"/>
  <c r="J65" i="36"/>
  <c r="D81" i="36"/>
  <c r="G81" i="36"/>
  <c r="H81" i="36"/>
  <c r="J81" i="36"/>
  <c r="E81" i="36"/>
  <c r="I81" i="36"/>
  <c r="F81" i="36"/>
  <c r="G97" i="36"/>
  <c r="D97" i="36"/>
  <c r="E97" i="36"/>
  <c r="I97" i="36"/>
  <c r="H97" i="36"/>
  <c r="J97" i="36"/>
  <c r="F97" i="36"/>
  <c r="D113" i="36"/>
  <c r="G113" i="36"/>
  <c r="H113" i="36"/>
  <c r="J113" i="36"/>
  <c r="F113" i="36"/>
  <c r="I113" i="36"/>
  <c r="E113" i="36"/>
  <c r="D129" i="36"/>
  <c r="J129" i="36"/>
  <c r="G129" i="36"/>
  <c r="H129" i="36"/>
  <c r="F129" i="36"/>
  <c r="I129" i="36"/>
  <c r="E129" i="36"/>
  <c r="K129" i="36" s="1"/>
  <c r="F137" i="34" s="1"/>
  <c r="H153" i="36"/>
  <c r="D153" i="36"/>
  <c r="G153" i="36"/>
  <c r="F153" i="36"/>
  <c r="I153" i="36"/>
  <c r="E153" i="36"/>
  <c r="J153" i="36"/>
  <c r="D10" i="36"/>
  <c r="G10" i="36"/>
  <c r="J10" i="36"/>
  <c r="E10" i="36"/>
  <c r="H10" i="36"/>
  <c r="I10" i="36"/>
  <c r="F10" i="36"/>
  <c r="J74" i="36"/>
  <c r="D74" i="36"/>
  <c r="F74" i="36"/>
  <c r="H74" i="36"/>
  <c r="G74" i="36"/>
  <c r="I74" i="36"/>
  <c r="E74" i="36"/>
  <c r="G106" i="36"/>
  <c r="J106" i="36"/>
  <c r="F106" i="36"/>
  <c r="D106" i="36"/>
  <c r="I106" i="36"/>
  <c r="E106" i="36"/>
  <c r="H106" i="36"/>
  <c r="I122" i="36"/>
  <c r="E122" i="36"/>
  <c r="H122" i="36"/>
  <c r="D122" i="36"/>
  <c r="J122" i="36"/>
  <c r="F122" i="36"/>
  <c r="G122" i="36"/>
  <c r="I138" i="36"/>
  <c r="G138" i="36"/>
  <c r="F138" i="36"/>
  <c r="E138" i="36"/>
  <c r="H138" i="36"/>
  <c r="D138" i="36"/>
  <c r="J138" i="36"/>
  <c r="G154" i="36"/>
  <c r="E154" i="36"/>
  <c r="H154" i="36"/>
  <c r="D154" i="36"/>
  <c r="I154" i="36"/>
  <c r="J154" i="36"/>
  <c r="F154" i="36"/>
  <c r="G170" i="36"/>
  <c r="E170" i="36"/>
  <c r="F170" i="36"/>
  <c r="J170" i="36"/>
  <c r="I170" i="36"/>
  <c r="H170" i="36"/>
  <c r="D170" i="36"/>
  <c r="K170" i="36" s="1"/>
  <c r="F178" i="34" s="1"/>
  <c r="G186" i="36"/>
  <c r="I186" i="36"/>
  <c r="D186" i="36"/>
  <c r="F186" i="36"/>
  <c r="J186" i="36"/>
  <c r="E186" i="36"/>
  <c r="H186" i="36"/>
  <c r="G202" i="36"/>
  <c r="E202" i="36"/>
  <c r="I202" i="36"/>
  <c r="J202" i="36"/>
  <c r="F202" i="36"/>
  <c r="D202" i="36"/>
  <c r="H202" i="36"/>
  <c r="G218" i="36"/>
  <c r="H218" i="36"/>
  <c r="I218" i="36"/>
  <c r="D218" i="36"/>
  <c r="E218" i="36"/>
  <c r="F218" i="36"/>
  <c r="J218" i="36"/>
  <c r="G234" i="36"/>
  <c r="H234" i="36"/>
  <c r="D234" i="36"/>
  <c r="K234" i="36" s="1"/>
  <c r="F242" i="34" s="1"/>
  <c r="J234" i="36"/>
  <c r="E234" i="36"/>
  <c r="F234" i="36"/>
  <c r="I234" i="36"/>
  <c r="G250" i="36"/>
  <c r="H250" i="36"/>
  <c r="I250" i="36"/>
  <c r="D250" i="36"/>
  <c r="K250" i="36" s="1"/>
  <c r="F258" i="34" s="1"/>
  <c r="E250" i="36"/>
  <c r="F250" i="36"/>
  <c r="J250" i="36"/>
  <c r="G266" i="36"/>
  <c r="F266" i="36"/>
  <c r="H266" i="36"/>
  <c r="J266" i="36"/>
  <c r="D266" i="36"/>
  <c r="K266" i="36" s="1"/>
  <c r="F274" i="34" s="1"/>
  <c r="I266" i="36"/>
  <c r="E266" i="36"/>
  <c r="G282" i="36"/>
  <c r="H282" i="36"/>
  <c r="I282" i="36"/>
  <c r="D282" i="36"/>
  <c r="F282" i="36"/>
  <c r="E282" i="36"/>
  <c r="J282" i="36"/>
  <c r="G298" i="36"/>
  <c r="D298" i="36"/>
  <c r="F298" i="36"/>
  <c r="H298" i="36"/>
  <c r="I298" i="36"/>
  <c r="E298" i="36"/>
  <c r="J298" i="36"/>
  <c r="G314" i="36"/>
  <c r="H314" i="36"/>
  <c r="I314" i="36"/>
  <c r="D314" i="36"/>
  <c r="K314" i="36" s="1"/>
  <c r="F322" i="34" s="1"/>
  <c r="F314" i="36"/>
  <c r="E314" i="36"/>
  <c r="J314" i="36"/>
  <c r="J219" i="36"/>
  <c r="E219" i="36"/>
  <c r="F219" i="36"/>
  <c r="G219" i="36"/>
  <c r="I219" i="36"/>
  <c r="D219" i="36"/>
  <c r="H219" i="36"/>
  <c r="H243" i="36"/>
  <c r="I243" i="36"/>
  <c r="D243" i="36"/>
  <c r="E243" i="36"/>
  <c r="F243" i="36"/>
  <c r="G243" i="36"/>
  <c r="J243" i="36"/>
  <c r="F259" i="36"/>
  <c r="G259" i="36"/>
  <c r="H259" i="36"/>
  <c r="I259" i="36"/>
  <c r="D259" i="36"/>
  <c r="E259" i="36"/>
  <c r="J259" i="36"/>
  <c r="I291" i="36"/>
  <c r="D291" i="36"/>
  <c r="E291" i="36"/>
  <c r="H291" i="36"/>
  <c r="G291" i="36"/>
  <c r="F291" i="36"/>
  <c r="J291" i="36"/>
  <c r="D315" i="36"/>
  <c r="G315" i="36"/>
  <c r="F315" i="36"/>
  <c r="E315" i="36"/>
  <c r="J315" i="36"/>
  <c r="H315" i="36"/>
  <c r="I315" i="36"/>
  <c r="D316" i="36"/>
  <c r="H316" i="36"/>
  <c r="G316" i="36"/>
  <c r="I316" i="36"/>
  <c r="J316" i="36"/>
  <c r="F316" i="36"/>
  <c r="E316" i="36"/>
  <c r="F265" i="36"/>
  <c r="G265" i="36"/>
  <c r="I265" i="36"/>
  <c r="J265" i="36"/>
  <c r="E265" i="36"/>
  <c r="H265" i="36"/>
  <c r="D265" i="36"/>
  <c r="K265" i="36" s="1"/>
  <c r="F273" i="34" s="1"/>
  <c r="J19" i="36"/>
  <c r="F19" i="36"/>
  <c r="G19" i="36"/>
  <c r="D19" i="36"/>
  <c r="K19" i="36" s="1"/>
  <c r="F27" i="34" s="1"/>
  <c r="E19" i="36"/>
  <c r="I19" i="36"/>
  <c r="H19" i="36"/>
  <c r="E51" i="36"/>
  <c r="G51" i="36"/>
  <c r="J51" i="36"/>
  <c r="F51" i="36"/>
  <c r="H51" i="36"/>
  <c r="I51" i="36"/>
  <c r="D51" i="36"/>
  <c r="E67" i="36"/>
  <c r="J67" i="36"/>
  <c r="I67" i="36"/>
  <c r="G67" i="36"/>
  <c r="D67" i="36"/>
  <c r="H67" i="36"/>
  <c r="F67" i="36"/>
  <c r="D83" i="36"/>
  <c r="F83" i="36"/>
  <c r="H83" i="36"/>
  <c r="G83" i="36"/>
  <c r="I83" i="36"/>
  <c r="E83" i="36"/>
  <c r="J83" i="36"/>
  <c r="G99" i="36"/>
  <c r="I99" i="36"/>
  <c r="J99" i="36"/>
  <c r="H99" i="36"/>
  <c r="D99" i="36"/>
  <c r="E99" i="36"/>
  <c r="F99" i="36"/>
  <c r="H115" i="36"/>
  <c r="D115" i="36"/>
  <c r="I115" i="36"/>
  <c r="J115" i="36"/>
  <c r="E115" i="36"/>
  <c r="F115" i="36"/>
  <c r="G115" i="36"/>
  <c r="G131" i="36"/>
  <c r="I131" i="36"/>
  <c r="J131" i="36"/>
  <c r="D131" i="36"/>
  <c r="H131" i="36"/>
  <c r="E131" i="36"/>
  <c r="F131" i="36"/>
  <c r="G147" i="36"/>
  <c r="I147" i="36"/>
  <c r="J147" i="36"/>
  <c r="D147" i="36"/>
  <c r="F147" i="36"/>
  <c r="H147" i="36"/>
  <c r="E147" i="36"/>
  <c r="G163" i="36"/>
  <c r="E163" i="36"/>
  <c r="J163" i="36"/>
  <c r="D163" i="36"/>
  <c r="K163" i="36" s="1"/>
  <c r="F171" i="34" s="1"/>
  <c r="H163" i="36"/>
  <c r="I163" i="36"/>
  <c r="F163" i="36"/>
  <c r="D179" i="36"/>
  <c r="K179" i="36" s="1"/>
  <c r="F187" i="34" s="1"/>
  <c r="E179" i="36"/>
  <c r="G179" i="36"/>
  <c r="H179" i="36"/>
  <c r="I179" i="36"/>
  <c r="F179" i="36"/>
  <c r="J179" i="36"/>
  <c r="D195" i="36"/>
  <c r="E195" i="36"/>
  <c r="G195" i="36"/>
  <c r="H195" i="36"/>
  <c r="I195" i="36"/>
  <c r="J195" i="36"/>
  <c r="F195" i="36"/>
  <c r="E235" i="36"/>
  <c r="F235" i="36"/>
  <c r="H235" i="36"/>
  <c r="I235" i="36"/>
  <c r="D235" i="36"/>
  <c r="G235" i="36"/>
  <c r="J235" i="36"/>
  <c r="D283" i="36"/>
  <c r="G283" i="36"/>
  <c r="H283" i="36"/>
  <c r="I283" i="36"/>
  <c r="E283" i="36"/>
  <c r="F283" i="36"/>
  <c r="J283" i="36"/>
  <c r="D292" i="36"/>
  <c r="H292" i="36"/>
  <c r="G292" i="36"/>
  <c r="E292" i="36"/>
  <c r="I292" i="36"/>
  <c r="J292" i="36"/>
  <c r="F292" i="36"/>
  <c r="G285" i="36"/>
  <c r="E285" i="36"/>
  <c r="F285" i="36"/>
  <c r="J285" i="36"/>
  <c r="D285" i="36"/>
  <c r="H285" i="36"/>
  <c r="I285" i="36"/>
  <c r="G209" i="36"/>
  <c r="F209" i="36"/>
  <c r="J209" i="36"/>
  <c r="H209" i="36"/>
  <c r="I209" i="36"/>
  <c r="E209" i="36"/>
  <c r="D209" i="36"/>
  <c r="K209" i="36" s="1"/>
  <c r="F217" i="34" s="1"/>
  <c r="G12" i="36"/>
  <c r="F12" i="36"/>
  <c r="H12" i="36"/>
  <c r="J12" i="36"/>
  <c r="E12" i="36"/>
  <c r="I12" i="36"/>
  <c r="D12" i="36"/>
  <c r="G28" i="36"/>
  <c r="H28" i="36"/>
  <c r="I28" i="36"/>
  <c r="D28" i="36"/>
  <c r="F28" i="36"/>
  <c r="E28" i="36"/>
  <c r="J28" i="36"/>
  <c r="G44" i="36"/>
  <c r="E44" i="36"/>
  <c r="F44" i="36"/>
  <c r="D44" i="36"/>
  <c r="H44" i="36"/>
  <c r="I44" i="36"/>
  <c r="J44" i="36"/>
  <c r="G60" i="36"/>
  <c r="D60" i="36"/>
  <c r="E60" i="36"/>
  <c r="H60" i="36"/>
  <c r="I60" i="36"/>
  <c r="J60" i="36"/>
  <c r="F60" i="36"/>
  <c r="G76" i="36"/>
  <c r="F76" i="36"/>
  <c r="H76" i="36"/>
  <c r="J76" i="36"/>
  <c r="E76" i="36"/>
  <c r="D76" i="36"/>
  <c r="I76" i="36"/>
  <c r="D92" i="36"/>
  <c r="I92" i="36"/>
  <c r="J92" i="36"/>
  <c r="H92" i="36"/>
  <c r="G92" i="36"/>
  <c r="F92" i="36"/>
  <c r="E92" i="36"/>
  <c r="G108" i="36"/>
  <c r="D108" i="36"/>
  <c r="E108" i="36"/>
  <c r="H108" i="36"/>
  <c r="I108" i="36"/>
  <c r="J108" i="36"/>
  <c r="F108" i="36"/>
  <c r="G124" i="36"/>
  <c r="D124" i="36"/>
  <c r="I124" i="36"/>
  <c r="J124" i="36"/>
  <c r="E124" i="36"/>
  <c r="F124" i="36"/>
  <c r="H124" i="36"/>
  <c r="F140" i="36"/>
  <c r="D140" i="36"/>
  <c r="H140" i="36"/>
  <c r="I140" i="36"/>
  <c r="G140" i="36"/>
  <c r="E140" i="36"/>
  <c r="J140" i="36"/>
  <c r="G156" i="36"/>
  <c r="I156" i="36"/>
  <c r="F156" i="36"/>
  <c r="J156" i="36"/>
  <c r="D156" i="36"/>
  <c r="E156" i="36"/>
  <c r="H156" i="36"/>
  <c r="I172" i="36"/>
  <c r="D172" i="36"/>
  <c r="E172" i="36"/>
  <c r="H172" i="36"/>
  <c r="G172" i="36"/>
  <c r="F172" i="36"/>
  <c r="J172" i="36"/>
  <c r="H188" i="36"/>
  <c r="I188" i="36"/>
  <c r="D188" i="36"/>
  <c r="F188" i="36"/>
  <c r="J188" i="36"/>
  <c r="G188" i="36"/>
  <c r="E188" i="36"/>
  <c r="G204" i="36"/>
  <c r="I204" i="36"/>
  <c r="E204" i="36"/>
  <c r="D204" i="36"/>
  <c r="F204" i="36"/>
  <c r="J204" i="36"/>
  <c r="H204" i="36"/>
  <c r="G236" i="36"/>
  <c r="F236" i="36"/>
  <c r="J236" i="36"/>
  <c r="I236" i="36"/>
  <c r="D236" i="36"/>
  <c r="K236" i="36" s="1"/>
  <c r="F244" i="34" s="1"/>
  <c r="E236" i="36"/>
  <c r="H236" i="36"/>
  <c r="D268" i="36"/>
  <c r="H268" i="36"/>
  <c r="G268" i="36"/>
  <c r="J268" i="36"/>
  <c r="E268" i="36"/>
  <c r="I268" i="36"/>
  <c r="F268" i="36"/>
  <c r="G177" i="36"/>
  <c r="H177" i="36"/>
  <c r="I177" i="36"/>
  <c r="E177" i="36"/>
  <c r="F177" i="36"/>
  <c r="J177" i="36"/>
  <c r="D177" i="36"/>
  <c r="K177" i="36" s="1"/>
  <c r="F185" i="34" s="1"/>
  <c r="G225" i="36"/>
  <c r="D225" i="36"/>
  <c r="F225" i="36"/>
  <c r="J225" i="36"/>
  <c r="E225" i="36"/>
  <c r="H225" i="36"/>
  <c r="I225" i="36"/>
  <c r="G13" i="36"/>
  <c r="I13" i="36"/>
  <c r="D13" i="36"/>
  <c r="H13" i="36"/>
  <c r="E13" i="36"/>
  <c r="F13" i="36"/>
  <c r="J13" i="36"/>
  <c r="E29" i="36"/>
  <c r="G29" i="36"/>
  <c r="H29" i="36"/>
  <c r="F29" i="36"/>
  <c r="D29" i="36"/>
  <c r="I29" i="36"/>
  <c r="J29" i="36"/>
  <c r="D45" i="36"/>
  <c r="E45" i="36"/>
  <c r="H45" i="36"/>
  <c r="F45" i="36"/>
  <c r="G45" i="36"/>
  <c r="J45" i="36"/>
  <c r="I45" i="36"/>
  <c r="E61" i="36"/>
  <c r="H61" i="36"/>
  <c r="F61" i="36"/>
  <c r="I61" i="36"/>
  <c r="D61" i="36"/>
  <c r="G61" i="36"/>
  <c r="J61" i="36"/>
  <c r="H77" i="36"/>
  <c r="D77" i="36"/>
  <c r="I77" i="36"/>
  <c r="G77" i="36"/>
  <c r="J77" i="36"/>
  <c r="F77" i="36"/>
  <c r="E77" i="36"/>
  <c r="H93" i="36"/>
  <c r="D93" i="36"/>
  <c r="G93" i="36"/>
  <c r="I93" i="36"/>
  <c r="F93" i="36"/>
  <c r="E93" i="36"/>
  <c r="K93" i="36" s="1"/>
  <c r="F101" i="34" s="1"/>
  <c r="J93" i="36"/>
  <c r="H109" i="36"/>
  <c r="D109" i="36"/>
  <c r="I109" i="36"/>
  <c r="F109" i="36"/>
  <c r="J109" i="36"/>
  <c r="E109" i="36"/>
  <c r="G109" i="36"/>
  <c r="F125" i="36"/>
  <c r="I125" i="36"/>
  <c r="J125" i="36"/>
  <c r="E125" i="36"/>
  <c r="D125" i="36"/>
  <c r="G125" i="36"/>
  <c r="H125" i="36"/>
  <c r="D141" i="36"/>
  <c r="G141" i="36"/>
  <c r="H141" i="36"/>
  <c r="J141" i="36"/>
  <c r="E141" i="36"/>
  <c r="F141" i="36"/>
  <c r="I141" i="36"/>
  <c r="F157" i="36"/>
  <c r="D157" i="36"/>
  <c r="H157" i="36"/>
  <c r="J157" i="36"/>
  <c r="G157" i="36"/>
  <c r="I157" i="36"/>
  <c r="E157" i="36"/>
  <c r="H173" i="36"/>
  <c r="G173" i="36"/>
  <c r="E173" i="36"/>
  <c r="I173" i="36"/>
  <c r="D173" i="36"/>
  <c r="F173" i="36"/>
  <c r="J173" i="36"/>
  <c r="G189" i="36"/>
  <c r="D189" i="36"/>
  <c r="F189" i="36"/>
  <c r="J189" i="36"/>
  <c r="H189" i="36"/>
  <c r="E189" i="36"/>
  <c r="I189" i="36"/>
  <c r="G205" i="36"/>
  <c r="H205" i="36"/>
  <c r="J205" i="36"/>
  <c r="D205" i="36"/>
  <c r="E205" i="36"/>
  <c r="I205" i="36"/>
  <c r="F205" i="36"/>
  <c r="G221" i="36"/>
  <c r="D221" i="36"/>
  <c r="F221" i="36"/>
  <c r="J221" i="36"/>
  <c r="H221" i="36"/>
  <c r="E221" i="36"/>
  <c r="I221" i="36"/>
  <c r="G237" i="36"/>
  <c r="F237" i="36"/>
  <c r="E237" i="36"/>
  <c r="H237" i="36"/>
  <c r="I237" i="36"/>
  <c r="J237" i="36"/>
  <c r="D237" i="36"/>
  <c r="K237" i="36" s="1"/>
  <c r="F245" i="34" s="1"/>
  <c r="F253" i="36"/>
  <c r="J253" i="36"/>
  <c r="I253" i="36"/>
  <c r="D253" i="36"/>
  <c r="K253" i="36" s="1"/>
  <c r="F261" i="34" s="1"/>
  <c r="E253" i="36"/>
  <c r="H253" i="36"/>
  <c r="G253" i="36"/>
  <c r="G269" i="36"/>
  <c r="F269" i="36"/>
  <c r="J269" i="36"/>
  <c r="E269" i="36"/>
  <c r="I269" i="36"/>
  <c r="D269" i="36"/>
  <c r="H269" i="36"/>
  <c r="J201" i="36"/>
  <c r="H201" i="36"/>
  <c r="D201" i="36"/>
  <c r="I201" i="36"/>
  <c r="E201" i="36"/>
  <c r="F201" i="36"/>
  <c r="G201" i="36"/>
  <c r="D62" i="36"/>
  <c r="G62" i="36"/>
  <c r="H62" i="36"/>
  <c r="I62" i="36"/>
  <c r="E62" i="36"/>
  <c r="J62" i="36"/>
  <c r="F62" i="36"/>
  <c r="D94" i="36"/>
  <c r="H94" i="36"/>
  <c r="G94" i="36"/>
  <c r="J94" i="36"/>
  <c r="E94" i="36"/>
  <c r="I94" i="36"/>
  <c r="F94" i="36"/>
  <c r="E126" i="36"/>
  <c r="D126" i="36"/>
  <c r="F126" i="36"/>
  <c r="I126" i="36"/>
  <c r="J126" i="36"/>
  <c r="H126" i="36"/>
  <c r="G126" i="36"/>
  <c r="G142" i="36"/>
  <c r="E142" i="36"/>
  <c r="F142" i="36"/>
  <c r="J142" i="36"/>
  <c r="I142" i="36"/>
  <c r="D142" i="36"/>
  <c r="K142" i="36" s="1"/>
  <c r="F150" i="34" s="1"/>
  <c r="H142" i="36"/>
  <c r="G158" i="36"/>
  <c r="E158" i="36"/>
  <c r="F158" i="36"/>
  <c r="J158" i="36"/>
  <c r="I158" i="36"/>
  <c r="D158" i="36"/>
  <c r="H158" i="36"/>
  <c r="E174" i="36"/>
  <c r="J174" i="36"/>
  <c r="D174" i="36"/>
  <c r="H174" i="36"/>
  <c r="F174" i="36"/>
  <c r="G174" i="36"/>
  <c r="I174" i="36"/>
  <c r="F190" i="36"/>
  <c r="G190" i="36"/>
  <c r="J190" i="36"/>
  <c r="E190" i="36"/>
  <c r="I190" i="36"/>
  <c r="H190" i="36"/>
  <c r="D190" i="36"/>
  <c r="J206" i="36"/>
  <c r="I206" i="36"/>
  <c r="E206" i="36"/>
  <c r="D206" i="36"/>
  <c r="H206" i="36"/>
  <c r="G206" i="36"/>
  <c r="F206" i="36"/>
  <c r="E222" i="36"/>
  <c r="G222" i="36"/>
  <c r="J222" i="36"/>
  <c r="F222" i="36"/>
  <c r="H222" i="36"/>
  <c r="I222" i="36"/>
  <c r="D222" i="36"/>
  <c r="F238" i="36"/>
  <c r="G238" i="36"/>
  <c r="E238" i="36"/>
  <c r="I238" i="36"/>
  <c r="H238" i="36"/>
  <c r="J238" i="36"/>
  <c r="D238" i="36"/>
  <c r="G254" i="36"/>
  <c r="H254" i="36"/>
  <c r="F254" i="36"/>
  <c r="I254" i="36"/>
  <c r="J254" i="36"/>
  <c r="D254" i="36"/>
  <c r="E254" i="36"/>
  <c r="F270" i="36"/>
  <c r="G270" i="36"/>
  <c r="I270" i="36"/>
  <c r="J270" i="36"/>
  <c r="E270" i="36"/>
  <c r="D270" i="36"/>
  <c r="K270" i="36" s="1"/>
  <c r="F278" i="34" s="1"/>
  <c r="H270" i="36"/>
  <c r="H286" i="36"/>
  <c r="I286" i="36"/>
  <c r="D286" i="36"/>
  <c r="E286" i="36"/>
  <c r="G286" i="36"/>
  <c r="F286" i="36"/>
  <c r="J286" i="36"/>
  <c r="F302" i="36"/>
  <c r="G302" i="36"/>
  <c r="I302" i="36"/>
  <c r="J302" i="36"/>
  <c r="E302" i="36"/>
  <c r="H302" i="36"/>
  <c r="D302" i="36"/>
  <c r="G191" i="36"/>
  <c r="H191" i="36"/>
  <c r="I191" i="36"/>
  <c r="D191" i="36"/>
  <c r="F191" i="36"/>
  <c r="E191" i="36"/>
  <c r="J191" i="36"/>
  <c r="G223" i="36"/>
  <c r="F223" i="36"/>
  <c r="H223" i="36"/>
  <c r="J223" i="36"/>
  <c r="E223" i="36"/>
  <c r="D223" i="36"/>
  <c r="I223" i="36"/>
  <c r="D263" i="36"/>
  <c r="E263" i="36"/>
  <c r="H263" i="36"/>
  <c r="J263" i="36"/>
  <c r="I263" i="36"/>
  <c r="F263" i="36"/>
  <c r="G263" i="36"/>
  <c r="D311" i="36"/>
  <c r="G311" i="36"/>
  <c r="H311" i="36"/>
  <c r="J311" i="36"/>
  <c r="E311" i="36"/>
  <c r="F311" i="36"/>
  <c r="I311" i="36"/>
  <c r="G272" i="36"/>
  <c r="D272" i="36"/>
  <c r="F272" i="36"/>
  <c r="J272" i="36"/>
  <c r="H272" i="36"/>
  <c r="I272" i="36"/>
  <c r="E272" i="36"/>
  <c r="G257" i="36"/>
  <c r="F257" i="36"/>
  <c r="E257" i="36"/>
  <c r="J257" i="36"/>
  <c r="H257" i="36"/>
  <c r="I257" i="36"/>
  <c r="D257" i="36"/>
  <c r="J15" i="36"/>
  <c r="G15" i="36"/>
  <c r="F15" i="36"/>
  <c r="D15" i="36"/>
  <c r="E15" i="36"/>
  <c r="I15" i="36"/>
  <c r="H15" i="36"/>
  <c r="E31" i="36"/>
  <c r="J31" i="36"/>
  <c r="G31" i="36"/>
  <c r="H31" i="36"/>
  <c r="F31" i="36"/>
  <c r="D31" i="36"/>
  <c r="I31" i="36"/>
  <c r="I47" i="36"/>
  <c r="G47" i="36"/>
  <c r="F47" i="36"/>
  <c r="H47" i="36"/>
  <c r="D47" i="36"/>
  <c r="E47" i="36"/>
  <c r="J47" i="36"/>
  <c r="I63" i="36"/>
  <c r="E63" i="36"/>
  <c r="F63" i="36"/>
  <c r="J63" i="36"/>
  <c r="H63" i="36"/>
  <c r="D63" i="36"/>
  <c r="G63" i="36"/>
  <c r="H79" i="36"/>
  <c r="G79" i="36"/>
  <c r="E79" i="36"/>
  <c r="D79" i="36"/>
  <c r="I79" i="36"/>
  <c r="F79" i="36"/>
  <c r="J79" i="36"/>
  <c r="E95" i="36"/>
  <c r="I95" i="36"/>
  <c r="J95" i="36"/>
  <c r="F95" i="36"/>
  <c r="H95" i="36"/>
  <c r="G95" i="36"/>
  <c r="D95" i="36"/>
  <c r="F111" i="36"/>
  <c r="G111" i="36"/>
  <c r="E111" i="36"/>
  <c r="J111" i="36"/>
  <c r="D111" i="36"/>
  <c r="K111" i="36" s="1"/>
  <c r="F119" i="34" s="1"/>
  <c r="I111" i="36"/>
  <c r="H111" i="36"/>
  <c r="E127" i="36"/>
  <c r="F127" i="36"/>
  <c r="J127" i="36"/>
  <c r="I127" i="36"/>
  <c r="D127" i="36"/>
  <c r="H127" i="36"/>
  <c r="G127" i="36"/>
  <c r="G143" i="36"/>
  <c r="H143" i="36"/>
  <c r="I143" i="36"/>
  <c r="J143" i="36"/>
  <c r="D143" i="36"/>
  <c r="F143" i="36"/>
  <c r="E143" i="36"/>
  <c r="G159" i="36"/>
  <c r="D159" i="36"/>
  <c r="H159" i="36"/>
  <c r="E159" i="36"/>
  <c r="F159" i="36"/>
  <c r="J159" i="36"/>
  <c r="I159" i="36"/>
  <c r="G175" i="36"/>
  <c r="E175" i="36"/>
  <c r="F175" i="36"/>
  <c r="I175" i="36"/>
  <c r="J175" i="36"/>
  <c r="D175" i="36"/>
  <c r="H175" i="36"/>
  <c r="G199" i="36"/>
  <c r="F199" i="36"/>
  <c r="H199" i="36"/>
  <c r="J199" i="36"/>
  <c r="E199" i="36"/>
  <c r="D199" i="36"/>
  <c r="I199" i="36"/>
  <c r="F231" i="36"/>
  <c r="H231" i="36"/>
  <c r="I231" i="36"/>
  <c r="G231" i="36"/>
  <c r="J231" i="36"/>
  <c r="D231" i="36"/>
  <c r="E231" i="36"/>
  <c r="G255" i="36"/>
  <c r="I255" i="36"/>
  <c r="D255" i="36"/>
  <c r="E255" i="36"/>
  <c r="H255" i="36"/>
  <c r="F255" i="36"/>
  <c r="J255" i="36"/>
  <c r="H287" i="36"/>
  <c r="D287" i="36"/>
  <c r="E287" i="36"/>
  <c r="I287" i="36"/>
  <c r="G287" i="36"/>
  <c r="J287" i="36"/>
  <c r="F287" i="36"/>
  <c r="D303" i="36"/>
  <c r="E303" i="36"/>
  <c r="I303" i="36"/>
  <c r="H303" i="36"/>
  <c r="J303" i="36"/>
  <c r="F303" i="36"/>
  <c r="K303" i="36" s="1"/>
  <c r="F311" i="34" s="1"/>
  <c r="G303" i="36"/>
  <c r="D264" i="36"/>
  <c r="E264" i="36"/>
  <c r="H264" i="36"/>
  <c r="J264" i="36"/>
  <c r="G264" i="36"/>
  <c r="F264" i="36"/>
  <c r="I264" i="36"/>
  <c r="G304" i="36"/>
  <c r="F304" i="36"/>
  <c r="J304" i="36"/>
  <c r="D304" i="36"/>
  <c r="I304" i="36"/>
  <c r="E304" i="36"/>
  <c r="H304" i="36"/>
  <c r="F249" i="36"/>
  <c r="G249" i="36"/>
  <c r="J249" i="36"/>
  <c r="E249" i="36"/>
  <c r="H249" i="36"/>
  <c r="I249" i="36"/>
  <c r="D249" i="36"/>
  <c r="D16" i="36"/>
  <c r="F16" i="36"/>
  <c r="G16" i="36"/>
  <c r="H16" i="36"/>
  <c r="J16" i="36"/>
  <c r="E16" i="36"/>
  <c r="I16" i="36"/>
  <c r="H32" i="36"/>
  <c r="I32" i="36"/>
  <c r="D32" i="36"/>
  <c r="K32" i="36" s="1"/>
  <c r="F40" i="34" s="1"/>
  <c r="E32" i="36"/>
  <c r="G32" i="36"/>
  <c r="J32" i="36"/>
  <c r="F32" i="36"/>
  <c r="F17" i="36"/>
  <c r="D17" i="36"/>
  <c r="G17" i="36"/>
  <c r="H17" i="36"/>
  <c r="I17" i="36"/>
  <c r="E17" i="36"/>
  <c r="J17" i="36"/>
  <c r="D33" i="36"/>
  <c r="E33" i="36"/>
  <c r="I33" i="36"/>
  <c r="G33" i="36"/>
  <c r="F33" i="36"/>
  <c r="K33" i="36" s="1"/>
  <c r="F41" i="34" s="1"/>
  <c r="H33" i="36"/>
  <c r="J33" i="36"/>
  <c r="D26" i="36"/>
  <c r="J26" i="36"/>
  <c r="E26" i="36"/>
  <c r="I26" i="36"/>
  <c r="F26" i="36"/>
  <c r="G26" i="36"/>
  <c r="H26" i="36"/>
  <c r="G42" i="36"/>
  <c r="J42" i="36"/>
  <c r="F42" i="36"/>
  <c r="D42" i="36"/>
  <c r="E42" i="36"/>
  <c r="I42" i="36"/>
  <c r="H42" i="36"/>
  <c r="E35" i="36"/>
  <c r="D35" i="36"/>
  <c r="G35" i="36"/>
  <c r="I35" i="36"/>
  <c r="J35" i="36"/>
  <c r="H35" i="36"/>
  <c r="F35" i="36"/>
  <c r="H220" i="36"/>
  <c r="D220" i="36"/>
  <c r="G220" i="36"/>
  <c r="F220" i="36"/>
  <c r="I220" i="36"/>
  <c r="J220" i="36"/>
  <c r="E220" i="36"/>
  <c r="D252" i="36"/>
  <c r="J252" i="36"/>
  <c r="E252" i="36"/>
  <c r="G252" i="36"/>
  <c r="F252" i="36"/>
  <c r="I252" i="36"/>
  <c r="H252" i="36"/>
  <c r="G14" i="36"/>
  <c r="H14" i="36"/>
  <c r="D14" i="36"/>
  <c r="F14" i="36"/>
  <c r="I14" i="36"/>
  <c r="J14" i="36"/>
  <c r="E14" i="36"/>
  <c r="H30" i="36"/>
  <c r="D30" i="36"/>
  <c r="G30" i="36"/>
  <c r="E30" i="36"/>
  <c r="J30" i="36"/>
  <c r="I30" i="36"/>
  <c r="F30" i="36"/>
  <c r="J46" i="36"/>
  <c r="D46" i="36"/>
  <c r="F46" i="36"/>
  <c r="H46" i="36"/>
  <c r="G46" i="36"/>
  <c r="I46" i="36"/>
  <c r="E46" i="36"/>
  <c r="D78" i="36"/>
  <c r="H78" i="36"/>
  <c r="I78" i="36"/>
  <c r="G78" i="36"/>
  <c r="E78" i="36"/>
  <c r="F78" i="36"/>
  <c r="J78" i="36"/>
  <c r="G110" i="36"/>
  <c r="F110" i="36"/>
  <c r="H110" i="36"/>
  <c r="J110" i="36"/>
  <c r="D110" i="36"/>
  <c r="E110" i="36"/>
  <c r="I110" i="36"/>
  <c r="K110" i="36" s="1"/>
  <c r="F118" i="34" s="1"/>
  <c r="H145" i="36"/>
  <c r="G145" i="36"/>
  <c r="D145" i="36"/>
  <c r="J145" i="36"/>
  <c r="F145" i="36"/>
  <c r="I145" i="36"/>
  <c r="E145" i="36"/>
  <c r="F43" i="36"/>
  <c r="G43" i="36"/>
  <c r="I43" i="36"/>
  <c r="D43" i="36"/>
  <c r="J43" i="36"/>
  <c r="E43" i="36"/>
  <c r="H43" i="36"/>
  <c r="D307" i="36"/>
  <c r="H307" i="36"/>
  <c r="F307" i="36"/>
  <c r="J307" i="36"/>
  <c r="G307" i="36"/>
  <c r="I307" i="36"/>
  <c r="E307" i="36"/>
  <c r="D24" i="36"/>
  <c r="E24" i="36"/>
  <c r="G24" i="36"/>
  <c r="H24" i="36"/>
  <c r="I24" i="36"/>
  <c r="J24" i="36"/>
  <c r="F24" i="36"/>
  <c r="E56" i="36"/>
  <c r="F56" i="36"/>
  <c r="H56" i="36"/>
  <c r="I56" i="36"/>
  <c r="J56" i="36"/>
  <c r="D56" i="36"/>
  <c r="G56" i="36"/>
  <c r="I72" i="36"/>
  <c r="J72" i="36"/>
  <c r="D72" i="36"/>
  <c r="E72" i="36"/>
  <c r="F72" i="36"/>
  <c r="H72" i="36"/>
  <c r="G72" i="36"/>
  <c r="D88" i="36"/>
  <c r="E88" i="36"/>
  <c r="G88" i="36"/>
  <c r="H88" i="36"/>
  <c r="I88" i="36"/>
  <c r="F88" i="36"/>
  <c r="J88" i="36"/>
  <c r="G104" i="36"/>
  <c r="H104" i="36"/>
  <c r="J104" i="36"/>
  <c r="D104" i="36"/>
  <c r="F104" i="36"/>
  <c r="E104" i="36"/>
  <c r="I104" i="36"/>
  <c r="J120" i="36"/>
  <c r="E120" i="36"/>
  <c r="F120" i="36"/>
  <c r="G120" i="36"/>
  <c r="I120" i="36"/>
  <c r="D120" i="36"/>
  <c r="H120" i="36"/>
  <c r="H136" i="36"/>
  <c r="I136" i="36"/>
  <c r="E136" i="36"/>
  <c r="D136" i="36"/>
  <c r="G136" i="36"/>
  <c r="J136" i="36"/>
  <c r="F136" i="36"/>
  <c r="E152" i="36"/>
  <c r="I152" i="36"/>
  <c r="D152" i="36"/>
  <c r="G152" i="36"/>
  <c r="H152" i="36"/>
  <c r="J152" i="36"/>
  <c r="F152" i="36"/>
  <c r="G168" i="36"/>
  <c r="H168" i="36"/>
  <c r="I168" i="36"/>
  <c r="D168" i="36"/>
  <c r="J168" i="36"/>
  <c r="F168" i="36"/>
  <c r="E168" i="36"/>
  <c r="G184" i="36"/>
  <c r="E184" i="36"/>
  <c r="H184" i="36"/>
  <c r="I184" i="36"/>
  <c r="D184" i="36"/>
  <c r="J184" i="36"/>
  <c r="F184" i="36"/>
  <c r="G200" i="36"/>
  <c r="J200" i="36"/>
  <c r="F200" i="36"/>
  <c r="D200" i="36"/>
  <c r="H200" i="36"/>
  <c r="E200" i="36"/>
  <c r="I200" i="36"/>
  <c r="G216" i="36"/>
  <c r="E216" i="36"/>
  <c r="I216" i="36"/>
  <c r="D216" i="36"/>
  <c r="J216" i="36"/>
  <c r="F216" i="36"/>
  <c r="H216" i="36"/>
  <c r="H232" i="36"/>
  <c r="G232" i="36"/>
  <c r="J232" i="36"/>
  <c r="D232" i="36"/>
  <c r="E232" i="36"/>
  <c r="I232" i="36"/>
  <c r="F232" i="36"/>
  <c r="F280" i="36"/>
  <c r="H280" i="36"/>
  <c r="D280" i="36"/>
  <c r="J280" i="36"/>
  <c r="I280" i="36"/>
  <c r="E280" i="36"/>
  <c r="G280" i="36"/>
  <c r="G193" i="36"/>
  <c r="H193" i="36"/>
  <c r="J193" i="36"/>
  <c r="F193" i="36"/>
  <c r="D193" i="36"/>
  <c r="I193" i="36"/>
  <c r="E193" i="36"/>
  <c r="F9" i="36"/>
  <c r="H9" i="36"/>
  <c r="I9" i="36"/>
  <c r="E9" i="36"/>
  <c r="D9" i="36"/>
  <c r="G9" i="36"/>
  <c r="J9" i="36"/>
  <c r="F25" i="36"/>
  <c r="D25" i="36"/>
  <c r="E25" i="36"/>
  <c r="H25" i="36"/>
  <c r="I25" i="36"/>
  <c r="G25" i="36"/>
  <c r="J25" i="36"/>
  <c r="G57" i="36"/>
  <c r="H57" i="36"/>
  <c r="E57" i="36"/>
  <c r="I57" i="36"/>
  <c r="F57" i="36"/>
  <c r="J57" i="36"/>
  <c r="D57" i="36"/>
  <c r="D73" i="36"/>
  <c r="I73" i="36"/>
  <c r="G73" i="36"/>
  <c r="E73" i="36"/>
  <c r="H73" i="36"/>
  <c r="J73" i="36"/>
  <c r="F73" i="36"/>
  <c r="G89" i="36"/>
  <c r="D89" i="36"/>
  <c r="F89" i="36"/>
  <c r="J89" i="36"/>
  <c r="E89" i="36"/>
  <c r="I89" i="36"/>
  <c r="H89" i="36"/>
  <c r="H105" i="36"/>
  <c r="J105" i="36"/>
  <c r="F105" i="36"/>
  <c r="G105" i="36"/>
  <c r="D105" i="36"/>
  <c r="I105" i="36"/>
  <c r="E105" i="36"/>
  <c r="J121" i="36"/>
  <c r="E121" i="36"/>
  <c r="H121" i="36"/>
  <c r="I121" i="36"/>
  <c r="D121" i="36"/>
  <c r="F121" i="36"/>
  <c r="G121" i="36"/>
  <c r="G137" i="36"/>
  <c r="D137" i="36"/>
  <c r="J137" i="36"/>
  <c r="H137" i="36"/>
  <c r="E137" i="36"/>
  <c r="F137" i="36"/>
  <c r="I137" i="36"/>
  <c r="G233" i="36"/>
  <c r="H233" i="36"/>
  <c r="J233" i="36"/>
  <c r="D233" i="36"/>
  <c r="F233" i="36"/>
  <c r="I233" i="36"/>
  <c r="E233" i="36"/>
  <c r="G18" i="36"/>
  <c r="H18" i="36"/>
  <c r="D18" i="36"/>
  <c r="F18" i="36"/>
  <c r="I18" i="36"/>
  <c r="J18" i="36"/>
  <c r="E18" i="36"/>
  <c r="D50" i="36"/>
  <c r="J50" i="36"/>
  <c r="H50" i="36"/>
  <c r="I50" i="36"/>
  <c r="G50" i="36"/>
  <c r="E50" i="36"/>
  <c r="F50" i="36"/>
  <c r="F66" i="36"/>
  <c r="E66" i="36"/>
  <c r="I66" i="36"/>
  <c r="J66" i="36"/>
  <c r="D66" i="36"/>
  <c r="K66" i="36" s="1"/>
  <c r="F74" i="34" s="1"/>
  <c r="H66" i="36"/>
  <c r="G66" i="36"/>
  <c r="G82" i="36"/>
  <c r="D82" i="36"/>
  <c r="F82" i="36"/>
  <c r="H82" i="36"/>
  <c r="I82" i="36"/>
  <c r="E82" i="36"/>
  <c r="J82" i="36"/>
  <c r="J114" i="36"/>
  <c r="H114" i="36"/>
  <c r="I114" i="36"/>
  <c r="E114" i="36"/>
  <c r="G114" i="36"/>
  <c r="D114" i="36"/>
  <c r="F114" i="36"/>
  <c r="F146" i="36"/>
  <c r="I146" i="36"/>
  <c r="E146" i="36"/>
  <c r="G146" i="36"/>
  <c r="H146" i="36"/>
  <c r="D146" i="36"/>
  <c r="J146" i="36"/>
  <c r="G162" i="36"/>
  <c r="F162" i="36"/>
  <c r="J162" i="36"/>
  <c r="E162" i="36"/>
  <c r="I162" i="36"/>
  <c r="H162" i="36"/>
  <c r="D162" i="36"/>
  <c r="E178" i="36"/>
  <c r="J178" i="36"/>
  <c r="I178" i="36"/>
  <c r="H178" i="36"/>
  <c r="D178" i="36"/>
  <c r="G178" i="36"/>
  <c r="F178" i="36"/>
  <c r="E194" i="36"/>
  <c r="F194" i="36"/>
  <c r="G194" i="36"/>
  <c r="J194" i="36"/>
  <c r="I194" i="36"/>
  <c r="H194" i="36"/>
  <c r="D194" i="36"/>
  <c r="J210" i="36"/>
  <c r="E210" i="36"/>
  <c r="I210" i="36"/>
  <c r="H210" i="36"/>
  <c r="D210" i="36"/>
  <c r="F210" i="36"/>
  <c r="G210" i="36"/>
  <c r="J226" i="36"/>
  <c r="E226" i="36"/>
  <c r="F226" i="36"/>
  <c r="I226" i="36"/>
  <c r="G226" i="36"/>
  <c r="H226" i="36"/>
  <c r="D226" i="36"/>
  <c r="G242" i="36"/>
  <c r="H242" i="36"/>
  <c r="D242" i="36"/>
  <c r="J242" i="36"/>
  <c r="E242" i="36"/>
  <c r="F242" i="36"/>
  <c r="I242" i="36"/>
  <c r="G258" i="36"/>
  <c r="E258" i="36"/>
  <c r="F258" i="36"/>
  <c r="J258" i="36"/>
  <c r="D258" i="36"/>
  <c r="H258" i="36"/>
  <c r="I258" i="36"/>
  <c r="G274" i="36"/>
  <c r="E274" i="36"/>
  <c r="F274" i="36"/>
  <c r="H274" i="36"/>
  <c r="J274" i="36"/>
  <c r="D274" i="36"/>
  <c r="I274" i="36"/>
  <c r="G290" i="36"/>
  <c r="H290" i="36"/>
  <c r="I290" i="36"/>
  <c r="D290" i="36"/>
  <c r="F290" i="36"/>
  <c r="E290" i="36"/>
  <c r="J290" i="36"/>
  <c r="G306" i="36"/>
  <c r="D306" i="36"/>
  <c r="K306" i="36" s="1"/>
  <c r="F314" i="34" s="1"/>
  <c r="E306" i="36"/>
  <c r="H306" i="36"/>
  <c r="I306" i="36"/>
  <c r="J306" i="36"/>
  <c r="F306" i="36"/>
  <c r="F203" i="36"/>
  <c r="G203" i="36"/>
  <c r="I203" i="36"/>
  <c r="J203" i="36"/>
  <c r="E203" i="36"/>
  <c r="D203" i="36"/>
  <c r="H203" i="36"/>
  <c r="J227" i="36"/>
  <c r="E227" i="36"/>
  <c r="F227" i="36"/>
  <c r="G227" i="36"/>
  <c r="I227" i="36"/>
  <c r="D227" i="36"/>
  <c r="H227" i="36"/>
  <c r="F251" i="36"/>
  <c r="I251" i="36"/>
  <c r="D251" i="36"/>
  <c r="E251" i="36"/>
  <c r="G251" i="36"/>
  <c r="H251" i="36"/>
  <c r="J251" i="36"/>
  <c r="D275" i="36"/>
  <c r="E275" i="36"/>
  <c r="H275" i="36"/>
  <c r="F275" i="36"/>
  <c r="G275" i="36"/>
  <c r="J275" i="36"/>
  <c r="I275" i="36"/>
  <c r="G299" i="36"/>
  <c r="D299" i="36"/>
  <c r="E299" i="36"/>
  <c r="I299" i="36"/>
  <c r="H299" i="36"/>
  <c r="F299" i="36"/>
  <c r="J299" i="36"/>
  <c r="K299" i="36" s="1"/>
  <c r="F307" i="34" s="1"/>
  <c r="H300" i="36"/>
  <c r="J300" i="36"/>
  <c r="D300" i="36"/>
  <c r="G300" i="36"/>
  <c r="F300" i="36"/>
  <c r="E300" i="36"/>
  <c r="I300" i="36"/>
  <c r="E293" i="36"/>
  <c r="D293" i="36"/>
  <c r="H293" i="36"/>
  <c r="F293" i="36"/>
  <c r="I293" i="36"/>
  <c r="G293" i="36"/>
  <c r="J293" i="36"/>
  <c r="F185" i="36"/>
  <c r="G185" i="36"/>
  <c r="D185" i="36"/>
  <c r="J185" i="36"/>
  <c r="I185" i="36"/>
  <c r="E185" i="36"/>
  <c r="H185" i="36"/>
  <c r="G27" i="36"/>
  <c r="E27" i="36"/>
  <c r="F27" i="36"/>
  <c r="J27" i="36"/>
  <c r="I27" i="36"/>
  <c r="D27" i="36"/>
  <c r="H27" i="36"/>
  <c r="E59" i="36"/>
  <c r="J59" i="36"/>
  <c r="D59" i="36"/>
  <c r="H59" i="36"/>
  <c r="G59" i="36"/>
  <c r="F59" i="36"/>
  <c r="I59" i="36"/>
  <c r="G75" i="36"/>
  <c r="I75" i="36"/>
  <c r="F75" i="36"/>
  <c r="E75" i="36"/>
  <c r="J75" i="36"/>
  <c r="D75" i="36"/>
  <c r="H75" i="36"/>
  <c r="G91" i="36"/>
  <c r="I91" i="36"/>
  <c r="F91" i="36"/>
  <c r="D91" i="36"/>
  <c r="E91" i="36"/>
  <c r="J91" i="36"/>
  <c r="H91" i="36"/>
  <c r="F107" i="36"/>
  <c r="G107" i="36"/>
  <c r="I107" i="36"/>
  <c r="E107" i="36"/>
  <c r="J107" i="36"/>
  <c r="H107" i="36"/>
  <c r="D107" i="36"/>
  <c r="K107" i="36" s="1"/>
  <c r="F115" i="34" s="1"/>
  <c r="H123" i="36"/>
  <c r="D123" i="36"/>
  <c r="E123" i="36"/>
  <c r="J123" i="36"/>
  <c r="I123" i="36"/>
  <c r="F123" i="36"/>
  <c r="G123" i="36"/>
  <c r="G139" i="36"/>
  <c r="E139" i="36"/>
  <c r="F139" i="36"/>
  <c r="J139" i="36"/>
  <c r="D139" i="36"/>
  <c r="H139" i="36"/>
  <c r="I139" i="36"/>
  <c r="G155" i="36"/>
  <c r="E155" i="36"/>
  <c r="F155" i="36"/>
  <c r="J155" i="36"/>
  <c r="D155" i="36"/>
  <c r="I155" i="36"/>
  <c r="H155" i="36"/>
  <c r="H171" i="36"/>
  <c r="I171" i="36"/>
  <c r="D171" i="36"/>
  <c r="K171" i="36" s="1"/>
  <c r="F179" i="34" s="1"/>
  <c r="E171" i="36"/>
  <c r="G171" i="36"/>
  <c r="F171" i="36"/>
  <c r="J171" i="36"/>
  <c r="E187" i="36"/>
  <c r="F187" i="36"/>
  <c r="H187" i="36"/>
  <c r="I187" i="36"/>
  <c r="J187" i="36"/>
  <c r="D187" i="36"/>
  <c r="G187" i="36"/>
  <c r="I211" i="36"/>
  <c r="J211" i="36"/>
  <c r="D211" i="36"/>
  <c r="E211" i="36"/>
  <c r="F211" i="36"/>
  <c r="H211" i="36"/>
  <c r="G211" i="36"/>
  <c r="F267" i="36"/>
  <c r="I267" i="36"/>
  <c r="E267" i="36"/>
  <c r="G267" i="36"/>
  <c r="H267" i="36"/>
  <c r="D267" i="36"/>
  <c r="J267" i="36"/>
  <c r="G308" i="36"/>
  <c r="D308" i="36"/>
  <c r="H308" i="36"/>
  <c r="J308" i="36"/>
  <c r="F308" i="36"/>
  <c r="E308" i="36"/>
  <c r="I308" i="36"/>
  <c r="D169" i="36"/>
  <c r="H169" i="36"/>
  <c r="J169" i="36"/>
  <c r="G169" i="36"/>
  <c r="F169" i="36"/>
  <c r="I169" i="36"/>
  <c r="E169" i="36"/>
  <c r="G313" i="36"/>
  <c r="E313" i="36"/>
  <c r="J313" i="36"/>
  <c r="F313" i="36"/>
  <c r="I313" i="36"/>
  <c r="H313" i="36"/>
  <c r="D313" i="36"/>
  <c r="G20" i="36"/>
  <c r="F20" i="36"/>
  <c r="H20" i="36"/>
  <c r="J20" i="36"/>
  <c r="E20" i="36"/>
  <c r="D20" i="36"/>
  <c r="I20" i="36"/>
  <c r="G36" i="36"/>
  <c r="J36" i="36"/>
  <c r="D36" i="36"/>
  <c r="K36" i="36" s="1"/>
  <c r="F44" i="34" s="1"/>
  <c r="E36" i="36"/>
  <c r="F36" i="36"/>
  <c r="I36" i="36"/>
  <c r="H36" i="36"/>
  <c r="G52" i="36"/>
  <c r="F52" i="36"/>
  <c r="H52" i="36"/>
  <c r="J52" i="36"/>
  <c r="E52" i="36"/>
  <c r="I52" i="36"/>
  <c r="D52" i="36"/>
  <c r="G68" i="36"/>
  <c r="E68" i="36"/>
  <c r="F68" i="36"/>
  <c r="H68" i="36"/>
  <c r="J68" i="36"/>
  <c r="D68" i="36"/>
  <c r="I68" i="36"/>
  <c r="H84" i="36"/>
  <c r="D84" i="36"/>
  <c r="F84" i="36"/>
  <c r="I84" i="36"/>
  <c r="J84" i="36"/>
  <c r="G84" i="36"/>
  <c r="E84" i="36"/>
  <c r="G100" i="36"/>
  <c r="D100" i="36"/>
  <c r="F100" i="36"/>
  <c r="H100" i="36"/>
  <c r="I100" i="36"/>
  <c r="E100" i="36"/>
  <c r="J100" i="36"/>
  <c r="G116" i="36"/>
  <c r="I116" i="36"/>
  <c r="J116" i="36"/>
  <c r="E116" i="36"/>
  <c r="D116" i="36"/>
  <c r="F116" i="36"/>
  <c r="H116" i="36"/>
  <c r="F132" i="36"/>
  <c r="D132" i="36"/>
  <c r="E132" i="36"/>
  <c r="I132" i="36"/>
  <c r="G132" i="36"/>
  <c r="H132" i="36"/>
  <c r="J132" i="36"/>
  <c r="F148" i="36"/>
  <c r="E148" i="36"/>
  <c r="D148" i="36"/>
  <c r="G148" i="36"/>
  <c r="H148" i="36"/>
  <c r="I148" i="36"/>
  <c r="J148" i="36"/>
  <c r="H164" i="36"/>
  <c r="G164" i="36"/>
  <c r="I164" i="36"/>
  <c r="F164" i="36"/>
  <c r="J164" i="36"/>
  <c r="D164" i="36"/>
  <c r="E164" i="36"/>
  <c r="G180" i="36"/>
  <c r="D180" i="36"/>
  <c r="E180" i="36"/>
  <c r="I180" i="36"/>
  <c r="F180" i="36"/>
  <c r="J180" i="36"/>
  <c r="H180" i="36"/>
  <c r="G196" i="36"/>
  <c r="E196" i="36"/>
  <c r="I196" i="36"/>
  <c r="D196" i="36"/>
  <c r="F196" i="36"/>
  <c r="H196" i="36"/>
  <c r="J196" i="36"/>
  <c r="G212" i="36"/>
  <c r="D212" i="36"/>
  <c r="E212" i="36"/>
  <c r="H212" i="36"/>
  <c r="I212" i="36"/>
  <c r="F212" i="36"/>
  <c r="K212" i="36" s="1"/>
  <c r="F220" i="34" s="1"/>
  <c r="J212" i="36"/>
  <c r="G228" i="36"/>
  <c r="F228" i="36"/>
  <c r="J228" i="36"/>
  <c r="I228" i="36"/>
  <c r="D228" i="36"/>
  <c r="E228" i="36"/>
  <c r="H228" i="36"/>
  <c r="F244" i="36"/>
  <c r="G244" i="36"/>
  <c r="D244" i="36"/>
  <c r="E244" i="36"/>
  <c r="H244" i="36"/>
  <c r="J244" i="36"/>
  <c r="I244" i="36"/>
  <c r="D260" i="36"/>
  <c r="F260" i="36"/>
  <c r="G260" i="36"/>
  <c r="H260" i="36"/>
  <c r="J260" i="36"/>
  <c r="E260" i="36"/>
  <c r="I260" i="36"/>
  <c r="G276" i="36"/>
  <c r="F276" i="36"/>
  <c r="H276" i="36"/>
  <c r="J276" i="36"/>
  <c r="D276" i="36"/>
  <c r="E276" i="36"/>
  <c r="I276" i="36"/>
  <c r="I277" i="36"/>
  <c r="F277" i="36"/>
  <c r="G277" i="36"/>
  <c r="E277" i="36"/>
  <c r="J277" i="36"/>
  <c r="D277" i="36"/>
  <c r="H277" i="36"/>
  <c r="D217" i="36"/>
  <c r="F217" i="36"/>
  <c r="G217" i="36"/>
  <c r="J217" i="36"/>
  <c r="H217" i="36"/>
  <c r="E217" i="36"/>
  <c r="I217" i="36"/>
  <c r="E297" i="36"/>
  <c r="G297" i="36"/>
  <c r="I297" i="36"/>
  <c r="J297" i="36"/>
  <c r="H297" i="36"/>
  <c r="D297" i="36"/>
  <c r="F297" i="36"/>
  <c r="G21" i="36"/>
  <c r="I21" i="36"/>
  <c r="D21" i="36"/>
  <c r="H21" i="36"/>
  <c r="E21" i="36"/>
  <c r="J21" i="36"/>
  <c r="F21" i="36"/>
  <c r="E37" i="36"/>
  <c r="G37" i="36"/>
  <c r="H37" i="36"/>
  <c r="D37" i="36"/>
  <c r="I37" i="36"/>
  <c r="F37" i="36"/>
  <c r="J37" i="36"/>
  <c r="D53" i="36"/>
  <c r="F53" i="36"/>
  <c r="I53" i="36"/>
  <c r="H53" i="36"/>
  <c r="G53" i="36"/>
  <c r="J53" i="36"/>
  <c r="E53" i="36"/>
  <c r="D69" i="36"/>
  <c r="G69" i="36"/>
  <c r="I69" i="36"/>
  <c r="E69" i="36"/>
  <c r="H69" i="36"/>
  <c r="J69" i="36"/>
  <c r="F69" i="36"/>
  <c r="D85" i="36"/>
  <c r="H85" i="36"/>
  <c r="I85" i="36"/>
  <c r="F85" i="36"/>
  <c r="E85" i="36"/>
  <c r="J85" i="36"/>
  <c r="G85" i="36"/>
  <c r="G101" i="36"/>
  <c r="D101" i="36"/>
  <c r="E101" i="36"/>
  <c r="I101" i="36"/>
  <c r="H101" i="36"/>
  <c r="F101" i="36"/>
  <c r="J101" i="36"/>
  <c r="F117" i="36"/>
  <c r="D117" i="36"/>
  <c r="E117" i="36"/>
  <c r="I117" i="36"/>
  <c r="J117" i="36"/>
  <c r="H117" i="36"/>
  <c r="G117" i="36"/>
  <c r="D165" i="36"/>
  <c r="J165" i="36"/>
  <c r="H165" i="36"/>
  <c r="G165" i="36"/>
  <c r="E165" i="36"/>
  <c r="I165" i="36"/>
  <c r="F165" i="36"/>
  <c r="J181" i="36"/>
  <c r="D181" i="36"/>
  <c r="F181" i="36"/>
  <c r="H181" i="36"/>
  <c r="G181" i="36"/>
  <c r="E181" i="36"/>
  <c r="K181" i="36" s="1"/>
  <c r="F189" i="34" s="1"/>
  <c r="I181" i="36"/>
  <c r="D197" i="36"/>
  <c r="I197" i="36"/>
  <c r="G197" i="36"/>
  <c r="F197" i="36"/>
  <c r="H197" i="36"/>
  <c r="J197" i="36"/>
  <c r="E197" i="36"/>
  <c r="K197" i="36" s="1"/>
  <c r="F205" i="34" s="1"/>
  <c r="D213" i="36"/>
  <c r="F213" i="36"/>
  <c r="J213" i="36"/>
  <c r="G213" i="36"/>
  <c r="E213" i="36"/>
  <c r="H213" i="36"/>
  <c r="I213" i="36"/>
  <c r="F229" i="36"/>
  <c r="G229" i="36"/>
  <c r="I229" i="36"/>
  <c r="J229" i="36"/>
  <c r="D229" i="36"/>
  <c r="E229" i="36"/>
  <c r="H229" i="36"/>
  <c r="J245" i="36"/>
  <c r="G245" i="36"/>
  <c r="F245" i="36"/>
  <c r="D245" i="36"/>
  <c r="E245" i="36"/>
  <c r="H245" i="36"/>
  <c r="I245" i="36"/>
  <c r="F261" i="36"/>
  <c r="E261" i="36"/>
  <c r="J261" i="36"/>
  <c r="G261" i="36"/>
  <c r="I261" i="36"/>
  <c r="D261" i="36"/>
  <c r="H261" i="36"/>
  <c r="G309" i="36"/>
  <c r="I309" i="36"/>
  <c r="F309" i="36"/>
  <c r="J309" i="36"/>
  <c r="E309" i="36"/>
  <c r="D309" i="36"/>
  <c r="H309" i="36"/>
  <c r="I305" i="36"/>
  <c r="E305" i="36"/>
  <c r="F305" i="36"/>
  <c r="G305" i="36"/>
  <c r="J305" i="36"/>
  <c r="D305" i="36"/>
  <c r="H305" i="36"/>
  <c r="H86" i="36"/>
  <c r="D86" i="36"/>
  <c r="G86" i="36"/>
  <c r="I86" i="36"/>
  <c r="E86" i="36"/>
  <c r="F86" i="36"/>
  <c r="J86" i="36"/>
  <c r="E134" i="36"/>
  <c r="J134" i="36"/>
  <c r="F134" i="36"/>
  <c r="I134" i="36"/>
  <c r="D134" i="36"/>
  <c r="H134" i="36"/>
  <c r="G134" i="36"/>
  <c r="G150" i="36"/>
  <c r="F150" i="36"/>
  <c r="J150" i="36"/>
  <c r="E150" i="36"/>
  <c r="I150" i="36"/>
  <c r="D150" i="36"/>
  <c r="H150" i="36"/>
  <c r="G166" i="36"/>
  <c r="J166" i="36"/>
  <c r="E166" i="36"/>
  <c r="I166" i="36"/>
  <c r="F166" i="36"/>
  <c r="D166" i="36"/>
  <c r="H166" i="36"/>
  <c r="G182" i="36"/>
  <c r="H182" i="36"/>
  <c r="E182" i="36"/>
  <c r="I182" i="36"/>
  <c r="F182" i="36"/>
  <c r="J182" i="36"/>
  <c r="D182" i="36"/>
  <c r="G198" i="36"/>
  <c r="F198" i="36"/>
  <c r="J198" i="36"/>
  <c r="E198" i="36"/>
  <c r="I198" i="36"/>
  <c r="D198" i="36"/>
  <c r="H198" i="36"/>
  <c r="G214" i="36"/>
  <c r="I214" i="36"/>
  <c r="D214" i="36"/>
  <c r="H214" i="36"/>
  <c r="F214" i="36"/>
  <c r="J214" i="36"/>
  <c r="E214" i="36"/>
  <c r="F230" i="36"/>
  <c r="G230" i="36"/>
  <c r="I230" i="36"/>
  <c r="H230" i="36"/>
  <c r="J230" i="36"/>
  <c r="D230" i="36"/>
  <c r="E230" i="36"/>
  <c r="J246" i="36"/>
  <c r="F246" i="36"/>
  <c r="D246" i="36"/>
  <c r="E246" i="36"/>
  <c r="G246" i="36"/>
  <c r="H246" i="36"/>
  <c r="I246" i="36"/>
  <c r="H262" i="36"/>
  <c r="I262" i="36"/>
  <c r="E262" i="36"/>
  <c r="F262" i="36"/>
  <c r="G262" i="36"/>
  <c r="J262" i="36"/>
  <c r="D262" i="36"/>
  <c r="K262" i="36" s="1"/>
  <c r="F270" i="34" s="1"/>
  <c r="H278" i="36"/>
  <c r="I278" i="36"/>
  <c r="D278" i="36"/>
  <c r="E278" i="36"/>
  <c r="G278" i="36"/>
  <c r="F278" i="36"/>
  <c r="J278" i="36"/>
  <c r="F294" i="36"/>
  <c r="G294" i="36"/>
  <c r="I294" i="36"/>
  <c r="J294" i="36"/>
  <c r="E294" i="36"/>
  <c r="D294" i="36"/>
  <c r="H294" i="36"/>
  <c r="H310" i="36"/>
  <c r="I310" i="36"/>
  <c r="D310" i="36"/>
  <c r="E310" i="36"/>
  <c r="G310" i="36"/>
  <c r="F310" i="36"/>
  <c r="J310" i="36"/>
  <c r="G207" i="36"/>
  <c r="E207" i="36"/>
  <c r="F207" i="36"/>
  <c r="H207" i="36"/>
  <c r="J207" i="36"/>
  <c r="D207" i="36"/>
  <c r="I207" i="36"/>
  <c r="F239" i="36"/>
  <c r="H239" i="36"/>
  <c r="G239" i="36"/>
  <c r="J239" i="36"/>
  <c r="D239" i="36"/>
  <c r="E239" i="36"/>
  <c r="I239" i="36"/>
  <c r="D279" i="36"/>
  <c r="G279" i="36"/>
  <c r="E279" i="36"/>
  <c r="I279" i="36"/>
  <c r="H279" i="36"/>
  <c r="J279" i="36"/>
  <c r="F279" i="36"/>
  <c r="H256" i="36"/>
  <c r="D256" i="36"/>
  <c r="G256" i="36"/>
  <c r="F256" i="36"/>
  <c r="I256" i="36"/>
  <c r="J256" i="36"/>
  <c r="E256" i="36"/>
  <c r="H296" i="36"/>
  <c r="F296" i="36"/>
  <c r="G296" i="36"/>
  <c r="J296" i="36"/>
  <c r="D296" i="36"/>
  <c r="I296" i="36"/>
  <c r="E296" i="36"/>
  <c r="K296" i="36" s="1"/>
  <c r="F304" i="34" s="1"/>
  <c r="H241" i="36"/>
  <c r="G241" i="36"/>
  <c r="E241" i="36"/>
  <c r="J241" i="36"/>
  <c r="D241" i="36"/>
  <c r="F241" i="36"/>
  <c r="I241" i="36"/>
  <c r="E289" i="36"/>
  <c r="I289" i="36"/>
  <c r="G289" i="36"/>
  <c r="J289" i="36"/>
  <c r="F289" i="36"/>
  <c r="H289" i="36"/>
  <c r="D289" i="36"/>
  <c r="I23" i="36"/>
  <c r="F23" i="36"/>
  <c r="G23" i="36"/>
  <c r="D23" i="36"/>
  <c r="J23" i="36"/>
  <c r="H23" i="36"/>
  <c r="E23" i="36"/>
  <c r="E55" i="36"/>
  <c r="G55" i="36"/>
  <c r="I55" i="36"/>
  <c r="J55" i="36"/>
  <c r="F55" i="36"/>
  <c r="D55" i="36"/>
  <c r="H55" i="36"/>
  <c r="E71" i="36"/>
  <c r="J71" i="36"/>
  <c r="G71" i="36"/>
  <c r="H71" i="36"/>
  <c r="D71" i="36"/>
  <c r="F71" i="36"/>
  <c r="I71" i="36"/>
  <c r="E87" i="36"/>
  <c r="H87" i="36"/>
  <c r="G87" i="36"/>
  <c r="I87" i="36"/>
  <c r="D87" i="36"/>
  <c r="K87" i="36" s="1"/>
  <c r="F95" i="34" s="1"/>
  <c r="F87" i="36"/>
  <c r="J87" i="36"/>
  <c r="E103" i="36"/>
  <c r="I103" i="36"/>
  <c r="G103" i="36"/>
  <c r="H103" i="36"/>
  <c r="J103" i="36"/>
  <c r="D103" i="36"/>
  <c r="K103" i="36" s="1"/>
  <c r="F111" i="34" s="1"/>
  <c r="F103" i="36"/>
  <c r="D119" i="36"/>
  <c r="J119" i="36"/>
  <c r="E119" i="36"/>
  <c r="I119" i="36"/>
  <c r="F119" i="36"/>
  <c r="G119" i="36"/>
  <c r="H119" i="36"/>
  <c r="F135" i="36"/>
  <c r="G135" i="36"/>
  <c r="I135" i="36"/>
  <c r="J135" i="36"/>
  <c r="E135" i="36"/>
  <c r="D135" i="36"/>
  <c r="H135" i="36"/>
  <c r="E151" i="36"/>
  <c r="F151" i="36"/>
  <c r="I151" i="36"/>
  <c r="D151" i="36"/>
  <c r="G151" i="36"/>
  <c r="H151" i="36"/>
  <c r="J151" i="36"/>
  <c r="G167" i="36"/>
  <c r="E167" i="36"/>
  <c r="F167" i="36"/>
  <c r="H167" i="36"/>
  <c r="J167" i="36"/>
  <c r="D167" i="36"/>
  <c r="I167" i="36"/>
  <c r="G183" i="36"/>
  <c r="J183" i="36"/>
  <c r="D183" i="36"/>
  <c r="K183" i="36" s="1"/>
  <c r="F191" i="34" s="1"/>
  <c r="E183" i="36"/>
  <c r="F183" i="36"/>
  <c r="I183" i="36"/>
  <c r="H183" i="36"/>
  <c r="G215" i="36"/>
  <c r="D215" i="36"/>
  <c r="E215" i="36"/>
  <c r="H215" i="36"/>
  <c r="I215" i="36"/>
  <c r="J215" i="36"/>
  <c r="F215" i="36"/>
  <c r="G247" i="36"/>
  <c r="H247" i="36"/>
  <c r="D247" i="36"/>
  <c r="E247" i="36"/>
  <c r="I247" i="36"/>
  <c r="J247" i="36"/>
  <c r="F247" i="36"/>
  <c r="D271" i="36"/>
  <c r="H271" i="36"/>
  <c r="F271" i="36"/>
  <c r="I271" i="36"/>
  <c r="E271" i="36"/>
  <c r="G271" i="36"/>
  <c r="J271" i="36"/>
  <c r="G295" i="36"/>
  <c r="I295" i="36"/>
  <c r="E295" i="36"/>
  <c r="D295" i="36"/>
  <c r="J295" i="36"/>
  <c r="F295" i="36"/>
  <c r="H295" i="36"/>
  <c r="D248" i="36"/>
  <c r="H248" i="36"/>
  <c r="J248" i="36"/>
  <c r="E248" i="36"/>
  <c r="G248" i="36"/>
  <c r="F248" i="36"/>
  <c r="I248" i="36"/>
  <c r="D288" i="36"/>
  <c r="K288" i="36" s="1"/>
  <c r="F296" i="34" s="1"/>
  <c r="G288" i="36"/>
  <c r="I288" i="36"/>
  <c r="E288" i="36"/>
  <c r="F288" i="36"/>
  <c r="H288" i="36"/>
  <c r="J288" i="36"/>
  <c r="J273" i="36"/>
  <c r="E273" i="36"/>
  <c r="F273" i="36"/>
  <c r="I273" i="36"/>
  <c r="G273" i="36"/>
  <c r="H273" i="36"/>
  <c r="D273" i="36"/>
  <c r="J40" i="36"/>
  <c r="E40" i="36"/>
  <c r="F40" i="36"/>
  <c r="G40" i="36"/>
  <c r="I40" i="36"/>
  <c r="H40" i="36"/>
  <c r="D40" i="36"/>
  <c r="E41" i="36"/>
  <c r="H41" i="36"/>
  <c r="D41" i="36"/>
  <c r="I41" i="36"/>
  <c r="F41" i="36"/>
  <c r="J41" i="36"/>
  <c r="G41" i="36"/>
  <c r="F34" i="36"/>
  <c r="E34" i="36"/>
  <c r="I34" i="36"/>
  <c r="G34" i="36"/>
  <c r="H34" i="36"/>
  <c r="J34" i="36"/>
  <c r="D34" i="36"/>
  <c r="D98" i="36"/>
  <c r="G98" i="36"/>
  <c r="H98" i="36"/>
  <c r="J98" i="36"/>
  <c r="F98" i="36"/>
  <c r="I98" i="36"/>
  <c r="E98" i="36"/>
  <c r="I130" i="36"/>
  <c r="F130" i="36"/>
  <c r="G130" i="36"/>
  <c r="E130" i="36"/>
  <c r="H130" i="36"/>
  <c r="D130" i="36"/>
  <c r="J130" i="36"/>
  <c r="J11" i="36"/>
  <c r="G11" i="36"/>
  <c r="D11" i="36"/>
  <c r="E11" i="36"/>
  <c r="F11" i="36"/>
  <c r="H11" i="36"/>
  <c r="I11" i="36"/>
  <c r="D133" i="36"/>
  <c r="G133" i="36"/>
  <c r="F133" i="36"/>
  <c r="J133" i="36"/>
  <c r="E133" i="36"/>
  <c r="I133" i="36"/>
  <c r="H133" i="36"/>
  <c r="J149" i="36"/>
  <c r="E149" i="36"/>
  <c r="I149" i="36"/>
  <c r="G149" i="36"/>
  <c r="H149" i="36"/>
  <c r="D149" i="36"/>
  <c r="F149" i="36"/>
  <c r="J22" i="36"/>
  <c r="H22" i="36"/>
  <c r="E22" i="36"/>
  <c r="I22" i="36"/>
  <c r="F22" i="36"/>
  <c r="D22" i="36"/>
  <c r="G22" i="36"/>
  <c r="F38" i="36"/>
  <c r="D38" i="36"/>
  <c r="H38" i="36"/>
  <c r="J38" i="36"/>
  <c r="G38" i="36"/>
  <c r="E38" i="36"/>
  <c r="I38" i="36"/>
  <c r="D54" i="36"/>
  <c r="J54" i="36"/>
  <c r="H54" i="36"/>
  <c r="I54" i="36"/>
  <c r="F54" i="36"/>
  <c r="E54" i="36"/>
  <c r="G54" i="36"/>
  <c r="H70" i="36"/>
  <c r="G70" i="36"/>
  <c r="F70" i="36"/>
  <c r="D70" i="36"/>
  <c r="I70" i="36"/>
  <c r="J70" i="36"/>
  <c r="E70" i="36"/>
  <c r="J102" i="36"/>
  <c r="D102" i="36"/>
  <c r="G102" i="36"/>
  <c r="F102" i="36"/>
  <c r="E102" i="36"/>
  <c r="I102" i="36"/>
  <c r="H102" i="36"/>
  <c r="E118" i="36"/>
  <c r="D118" i="36"/>
  <c r="F118" i="36"/>
  <c r="J118" i="36"/>
  <c r="I118" i="36"/>
  <c r="G118" i="36"/>
  <c r="H118" i="36"/>
  <c r="E39" i="36"/>
  <c r="G39" i="36"/>
  <c r="J39" i="36"/>
  <c r="I39" i="36"/>
  <c r="H39" i="36"/>
  <c r="D39" i="36"/>
  <c r="F39" i="36"/>
  <c r="D161" i="36"/>
  <c r="J161" i="36"/>
  <c r="I161" i="36"/>
  <c r="E161" i="36"/>
  <c r="G161" i="36"/>
  <c r="H161" i="36"/>
  <c r="F161" i="36"/>
  <c r="C315" i="13"/>
  <c r="K133" i="36" l="1"/>
  <c r="F141" i="34" s="1"/>
  <c r="K54" i="36"/>
  <c r="F62" i="34" s="1"/>
  <c r="K98" i="36"/>
  <c r="F106" i="34" s="1"/>
  <c r="K41" i="36"/>
  <c r="F49" i="34" s="1"/>
  <c r="K71" i="36"/>
  <c r="F79" i="34" s="1"/>
  <c r="K256" i="36"/>
  <c r="F264" i="34" s="1"/>
  <c r="K239" i="36"/>
  <c r="F247" i="34" s="1"/>
  <c r="K310" i="36"/>
  <c r="F318" i="34" s="1"/>
  <c r="K230" i="36"/>
  <c r="F238" i="34" s="1"/>
  <c r="K305" i="36"/>
  <c r="F313" i="34" s="1"/>
  <c r="K213" i="36"/>
  <c r="F221" i="34" s="1"/>
  <c r="K21" i="36"/>
  <c r="F29" i="34" s="1"/>
  <c r="K297" i="36"/>
  <c r="F305" i="34" s="1"/>
  <c r="K148" i="36"/>
  <c r="F156" i="34" s="1"/>
  <c r="K84" i="36"/>
  <c r="F92" i="34" s="1"/>
  <c r="K68" i="36"/>
  <c r="F76" i="34" s="1"/>
  <c r="K267" i="36"/>
  <c r="F275" i="34" s="1"/>
  <c r="K75" i="36"/>
  <c r="F83" i="34" s="1"/>
  <c r="K185" i="36"/>
  <c r="F193" i="34" s="1"/>
  <c r="K293" i="36"/>
  <c r="F301" i="34" s="1"/>
  <c r="K210" i="36"/>
  <c r="F218" i="34" s="1"/>
  <c r="K184" i="36"/>
  <c r="F192" i="34" s="1"/>
  <c r="K168" i="36"/>
  <c r="F176" i="34" s="1"/>
  <c r="K14" i="36"/>
  <c r="F22" i="34" s="1"/>
  <c r="K252" i="36"/>
  <c r="F260" i="34" s="1"/>
  <c r="K79" i="36"/>
  <c r="F87" i="34" s="1"/>
  <c r="K257" i="36"/>
  <c r="F265" i="34" s="1"/>
  <c r="K311" i="36"/>
  <c r="F319" i="34" s="1"/>
  <c r="K254" i="36"/>
  <c r="F262" i="34" s="1"/>
  <c r="K94" i="36"/>
  <c r="F102" i="34" s="1"/>
  <c r="K62" i="36"/>
  <c r="F70" i="34" s="1"/>
  <c r="K61" i="36"/>
  <c r="F69" i="34" s="1"/>
  <c r="K204" i="36"/>
  <c r="F212" i="34" s="1"/>
  <c r="K115" i="36"/>
  <c r="F123" i="34" s="1"/>
  <c r="K99" i="36"/>
  <c r="F107" i="34" s="1"/>
  <c r="K316" i="36"/>
  <c r="F324" i="34" s="1"/>
  <c r="K243" i="36"/>
  <c r="F251" i="34" s="1"/>
  <c r="K138" i="36"/>
  <c r="F146" i="34" s="1"/>
  <c r="K10" i="36"/>
  <c r="F18" i="34" s="1"/>
  <c r="K113" i="36"/>
  <c r="F121" i="34" s="1"/>
  <c r="K81" i="36"/>
  <c r="F89" i="34" s="1"/>
  <c r="K49" i="36"/>
  <c r="F57" i="34" s="1"/>
  <c r="K284" i="36"/>
  <c r="F292" i="34" s="1"/>
  <c r="K130" i="36"/>
  <c r="F138" i="34" s="1"/>
  <c r="K295" i="36"/>
  <c r="F303" i="34" s="1"/>
  <c r="K271" i="36"/>
  <c r="F279" i="34" s="1"/>
  <c r="K119" i="36"/>
  <c r="F127" i="34" s="1"/>
  <c r="K214" i="36"/>
  <c r="F222" i="34" s="1"/>
  <c r="K101" i="36"/>
  <c r="F109" i="34" s="1"/>
  <c r="K53" i="36"/>
  <c r="F61" i="34" s="1"/>
  <c r="K37" i="36"/>
  <c r="F45" i="34" s="1"/>
  <c r="K196" i="36"/>
  <c r="F204" i="34" s="1"/>
  <c r="K169" i="36"/>
  <c r="F177" i="34" s="1"/>
  <c r="K308" i="36"/>
  <c r="F316" i="34" s="1"/>
  <c r="K91" i="36"/>
  <c r="F99" i="34" s="1"/>
  <c r="K59" i="36"/>
  <c r="F67" i="34" s="1"/>
  <c r="K114" i="36"/>
  <c r="F122" i="34" s="1"/>
  <c r="K89" i="36"/>
  <c r="F97" i="34" s="1"/>
  <c r="K73" i="36"/>
  <c r="F81" i="34" s="1"/>
  <c r="K200" i="36"/>
  <c r="F208" i="34" s="1"/>
  <c r="K145" i="36"/>
  <c r="F153" i="34" s="1"/>
  <c r="K78" i="36"/>
  <c r="F86" i="34" s="1"/>
  <c r="K16" i="36"/>
  <c r="F24" i="34" s="1"/>
  <c r="K255" i="36"/>
  <c r="F263" i="34" s="1"/>
  <c r="K127" i="36"/>
  <c r="F135" i="34" s="1"/>
  <c r="K302" i="36"/>
  <c r="F310" i="34" s="1"/>
  <c r="K158" i="36"/>
  <c r="F166" i="34" s="1"/>
  <c r="K205" i="36"/>
  <c r="F213" i="34" s="1"/>
  <c r="K109" i="36"/>
  <c r="F117" i="34" s="1"/>
  <c r="K268" i="36"/>
  <c r="F276" i="34" s="1"/>
  <c r="K140" i="36"/>
  <c r="F148" i="34" s="1"/>
  <c r="K124" i="36"/>
  <c r="F132" i="34" s="1"/>
  <c r="K60" i="36"/>
  <c r="F68" i="34" s="1"/>
  <c r="K12" i="36"/>
  <c r="F20" i="34" s="1"/>
  <c r="K285" i="36"/>
  <c r="F293" i="34" s="1"/>
  <c r="K195" i="36"/>
  <c r="F203" i="34" s="1"/>
  <c r="K315" i="36"/>
  <c r="F323" i="34" s="1"/>
  <c r="K58" i="36"/>
  <c r="F66" i="34" s="1"/>
  <c r="K70" i="36"/>
  <c r="F78" i="34" s="1"/>
  <c r="K215" i="36"/>
  <c r="F223" i="34" s="1"/>
  <c r="K135" i="36"/>
  <c r="F143" i="34" s="1"/>
  <c r="K289" i="36"/>
  <c r="F297" i="34" s="1"/>
  <c r="K279" i="36"/>
  <c r="F287" i="34" s="1"/>
  <c r="K150" i="36"/>
  <c r="F158" i="34" s="1"/>
  <c r="K134" i="36"/>
  <c r="F142" i="34" s="1"/>
  <c r="K69" i="36"/>
  <c r="F77" i="34" s="1"/>
  <c r="K228" i="36"/>
  <c r="F236" i="34" s="1"/>
  <c r="K180" i="36"/>
  <c r="F188" i="34" s="1"/>
  <c r="K132" i="36"/>
  <c r="F140" i="34" s="1"/>
  <c r="K116" i="36"/>
  <c r="F124" i="34" s="1"/>
  <c r="K313" i="36"/>
  <c r="F321" i="34" s="1"/>
  <c r="K211" i="36"/>
  <c r="F219" i="34" s="1"/>
  <c r="K123" i="36"/>
  <c r="F131" i="34" s="1"/>
  <c r="K274" i="36"/>
  <c r="F282" i="34" s="1"/>
  <c r="K258" i="36"/>
  <c r="F266" i="34" s="1"/>
  <c r="K162" i="36"/>
  <c r="F170" i="34" s="1"/>
  <c r="K146" i="36"/>
  <c r="F154" i="34" s="1"/>
  <c r="K121" i="36"/>
  <c r="F129" i="34" s="1"/>
  <c r="K105" i="36"/>
  <c r="F113" i="34" s="1"/>
  <c r="K193" i="36"/>
  <c r="F201" i="34" s="1"/>
  <c r="K280" i="36"/>
  <c r="F288" i="34" s="1"/>
  <c r="K216" i="36"/>
  <c r="F224" i="34" s="1"/>
  <c r="K136" i="36"/>
  <c r="F144" i="34" s="1"/>
  <c r="K120" i="36"/>
  <c r="F128" i="34" s="1"/>
  <c r="K72" i="36"/>
  <c r="F80" i="34" s="1"/>
  <c r="K24" i="36"/>
  <c r="F32" i="34" s="1"/>
  <c r="K220" i="36"/>
  <c r="F228" i="34" s="1"/>
  <c r="K42" i="36"/>
  <c r="F50" i="34" s="1"/>
  <c r="K249" i="36"/>
  <c r="F257" i="34" s="1"/>
  <c r="K304" i="36"/>
  <c r="F312" i="34" s="1"/>
  <c r="K143" i="36"/>
  <c r="F151" i="34" s="1"/>
  <c r="K31" i="36"/>
  <c r="F39" i="34" s="1"/>
  <c r="K190" i="36"/>
  <c r="F198" i="34" s="1"/>
  <c r="K131" i="36"/>
  <c r="F139" i="34" s="1"/>
  <c r="K51" i="36"/>
  <c r="F59" i="34" s="1"/>
  <c r="K291" i="36"/>
  <c r="F299" i="34" s="1"/>
  <c r="K282" i="36"/>
  <c r="F290" i="34" s="1"/>
  <c r="K154" i="36"/>
  <c r="F162" i="34" s="1"/>
  <c r="K65" i="36"/>
  <c r="F73" i="34" s="1"/>
  <c r="K224" i="36"/>
  <c r="F232" i="34" s="1"/>
  <c r="K80" i="36"/>
  <c r="F88" i="34" s="1"/>
  <c r="K118" i="36"/>
  <c r="F126" i="34" s="1"/>
  <c r="K38" i="36"/>
  <c r="F46" i="34" s="1"/>
  <c r="K161" i="36"/>
  <c r="F169" i="34" s="1"/>
  <c r="K39" i="36"/>
  <c r="F47" i="34" s="1"/>
  <c r="K273" i="36"/>
  <c r="F281" i="34" s="1"/>
  <c r="K248" i="36"/>
  <c r="F256" i="34" s="1"/>
  <c r="K241" i="36"/>
  <c r="F249" i="34" s="1"/>
  <c r="K294" i="36"/>
  <c r="F302" i="34" s="1"/>
  <c r="K246" i="36"/>
  <c r="F254" i="34" s="1"/>
  <c r="K182" i="36"/>
  <c r="F190" i="34" s="1"/>
  <c r="K166" i="36"/>
  <c r="F174" i="34" s="1"/>
  <c r="K260" i="36"/>
  <c r="F268" i="34" s="1"/>
  <c r="K242" i="36"/>
  <c r="F250" i="34" s="1"/>
  <c r="K50" i="36"/>
  <c r="F58" i="34" s="1"/>
  <c r="K232" i="36"/>
  <c r="F240" i="34" s="1"/>
  <c r="K152" i="36"/>
  <c r="F160" i="34" s="1"/>
  <c r="K104" i="36"/>
  <c r="F112" i="34" s="1"/>
  <c r="K307" i="36"/>
  <c r="F315" i="34" s="1"/>
  <c r="K26" i="36"/>
  <c r="F34" i="34" s="1"/>
  <c r="K175" i="36"/>
  <c r="F183" i="34" s="1"/>
  <c r="K15" i="36"/>
  <c r="F23" i="34" s="1"/>
  <c r="K269" i="36"/>
  <c r="F277" i="34" s="1"/>
  <c r="K157" i="36"/>
  <c r="F165" i="34" s="1"/>
  <c r="K125" i="36"/>
  <c r="F133" i="34" s="1"/>
  <c r="K77" i="36"/>
  <c r="F85" i="34" s="1"/>
  <c r="K225" i="36"/>
  <c r="F233" i="34" s="1"/>
  <c r="K283" i="36"/>
  <c r="F291" i="34" s="1"/>
  <c r="K147" i="36"/>
  <c r="F155" i="34" s="1"/>
  <c r="K219" i="36"/>
  <c r="F227" i="34" s="1"/>
  <c r="K202" i="36"/>
  <c r="F210" i="34" s="1"/>
  <c r="K74" i="36"/>
  <c r="F82" i="34" s="1"/>
  <c r="K97" i="36"/>
  <c r="F105" i="34" s="1"/>
  <c r="K281" i="36"/>
  <c r="F289" i="34" s="1"/>
  <c r="K240" i="36"/>
  <c r="F248" i="34" s="1"/>
  <c r="K128" i="36"/>
  <c r="F136" i="34" s="1"/>
  <c r="K301" i="36"/>
  <c r="F309" i="34" s="1"/>
  <c r="K90" i="36"/>
  <c r="F98" i="34" s="1"/>
  <c r="K149" i="36"/>
  <c r="F157" i="34" s="1"/>
  <c r="K40" i="36"/>
  <c r="F48" i="34" s="1"/>
  <c r="K86" i="36"/>
  <c r="F94" i="34" s="1"/>
  <c r="K276" i="36"/>
  <c r="F284" i="34" s="1"/>
  <c r="K20" i="36"/>
  <c r="F28" i="34" s="1"/>
  <c r="K139" i="36"/>
  <c r="F147" i="34" s="1"/>
  <c r="K275" i="36"/>
  <c r="F283" i="34" s="1"/>
  <c r="K194" i="36"/>
  <c r="F202" i="34" s="1"/>
  <c r="K82" i="36"/>
  <c r="F90" i="34" s="1"/>
  <c r="K18" i="36"/>
  <c r="F26" i="34" s="1"/>
  <c r="K137" i="36"/>
  <c r="F145" i="34" s="1"/>
  <c r="K25" i="36"/>
  <c r="F33" i="34" s="1"/>
  <c r="K9" i="36"/>
  <c r="F17" i="34" s="1"/>
  <c r="K199" i="36"/>
  <c r="F207" i="34" s="1"/>
  <c r="K63" i="36"/>
  <c r="F71" i="34" s="1"/>
  <c r="K47" i="36"/>
  <c r="F55" i="34" s="1"/>
  <c r="K263" i="36"/>
  <c r="F271" i="34" s="1"/>
  <c r="K223" i="36"/>
  <c r="F231" i="34" s="1"/>
  <c r="K286" i="36"/>
  <c r="F294" i="34" s="1"/>
  <c r="K222" i="36"/>
  <c r="F230" i="34" s="1"/>
  <c r="K221" i="36"/>
  <c r="F229" i="34" s="1"/>
  <c r="K141" i="36"/>
  <c r="F149" i="34" s="1"/>
  <c r="K188" i="36"/>
  <c r="F196" i="34" s="1"/>
  <c r="K172" i="36"/>
  <c r="F180" i="34" s="1"/>
  <c r="K156" i="36"/>
  <c r="F164" i="34" s="1"/>
  <c r="K108" i="36"/>
  <c r="F116" i="34" s="1"/>
  <c r="K259" i="36"/>
  <c r="F267" i="34" s="1"/>
  <c r="K160" i="36"/>
  <c r="F168" i="34" s="1"/>
  <c r="K144" i="36"/>
  <c r="F152" i="34" s="1"/>
  <c r="K96" i="36"/>
  <c r="F104" i="34" s="1"/>
  <c r="K64" i="36"/>
  <c r="F72" i="34" s="1"/>
  <c r="K167" i="36"/>
  <c r="F175" i="34" s="1"/>
  <c r="K229" i="36"/>
  <c r="F237" i="34" s="1"/>
  <c r="K165" i="36"/>
  <c r="F173" i="34" s="1"/>
  <c r="K102" i="36"/>
  <c r="F110" i="34" s="1"/>
  <c r="K22" i="36"/>
  <c r="F30" i="34" s="1"/>
  <c r="K11" i="36"/>
  <c r="F19" i="34" s="1"/>
  <c r="K151" i="36"/>
  <c r="F159" i="34" s="1"/>
  <c r="K55" i="36"/>
  <c r="F63" i="34" s="1"/>
  <c r="K207" i="36"/>
  <c r="F215" i="34" s="1"/>
  <c r="K278" i="36"/>
  <c r="F286" i="34" s="1"/>
  <c r="K198" i="36"/>
  <c r="F206" i="34" s="1"/>
  <c r="K261" i="36"/>
  <c r="F269" i="34" s="1"/>
  <c r="K85" i="36"/>
  <c r="F93" i="34" s="1"/>
  <c r="K277" i="36"/>
  <c r="F285" i="34" s="1"/>
  <c r="K244" i="36"/>
  <c r="F252" i="34" s="1"/>
  <c r="K164" i="36"/>
  <c r="F172" i="34" s="1"/>
  <c r="K100" i="36"/>
  <c r="F108" i="34" s="1"/>
  <c r="K52" i="36"/>
  <c r="F60" i="34" s="1"/>
  <c r="K155" i="36"/>
  <c r="F163" i="34" s="1"/>
  <c r="K27" i="36"/>
  <c r="F35" i="34" s="1"/>
  <c r="K300" i="36"/>
  <c r="F308" i="34" s="1"/>
  <c r="K203" i="36"/>
  <c r="F211" i="34" s="1"/>
  <c r="K290" i="36"/>
  <c r="F298" i="34" s="1"/>
  <c r="K178" i="36"/>
  <c r="F186" i="34" s="1"/>
  <c r="K57" i="36"/>
  <c r="F65" i="34" s="1"/>
  <c r="K88" i="36"/>
  <c r="F96" i="34" s="1"/>
  <c r="K43" i="36"/>
  <c r="F51" i="34" s="1"/>
  <c r="K17" i="36"/>
  <c r="F25" i="34" s="1"/>
  <c r="K264" i="36"/>
  <c r="F272" i="34" s="1"/>
  <c r="K231" i="36"/>
  <c r="F239" i="34" s="1"/>
  <c r="K95" i="36"/>
  <c r="F103" i="34" s="1"/>
  <c r="K191" i="36"/>
  <c r="F199" i="34" s="1"/>
  <c r="K238" i="36"/>
  <c r="F246" i="34" s="1"/>
  <c r="K174" i="36"/>
  <c r="F182" i="34" s="1"/>
  <c r="K201" i="36"/>
  <c r="F209" i="34" s="1"/>
  <c r="K189" i="36"/>
  <c r="F197" i="34" s="1"/>
  <c r="K29" i="36"/>
  <c r="F37" i="34" s="1"/>
  <c r="K28" i="36"/>
  <c r="F36" i="34" s="1"/>
  <c r="K83" i="36"/>
  <c r="F91" i="34" s="1"/>
  <c r="K67" i="36"/>
  <c r="F75" i="34" s="1"/>
  <c r="K298" i="36"/>
  <c r="F306" i="34" s="1"/>
  <c r="K186" i="36"/>
  <c r="F194" i="34" s="1"/>
  <c r="K122" i="36"/>
  <c r="F130" i="34" s="1"/>
  <c r="K106" i="36"/>
  <c r="F114" i="34" s="1"/>
  <c r="K208" i="36"/>
  <c r="F216" i="34" s="1"/>
  <c r="K112" i="36"/>
  <c r="F120" i="34" s="1"/>
  <c r="K34" i="36"/>
  <c r="F42" i="34" s="1"/>
  <c r="K247" i="36"/>
  <c r="F255" i="34" s="1"/>
  <c r="K23" i="36"/>
  <c r="F31" i="34" s="1"/>
  <c r="K309" i="36"/>
  <c r="F317" i="34" s="1"/>
  <c r="K245" i="36"/>
  <c r="F253" i="34" s="1"/>
  <c r="K117" i="36"/>
  <c r="F125" i="34" s="1"/>
  <c r="K217" i="36"/>
  <c r="F225" i="34" s="1"/>
  <c r="K187" i="36"/>
  <c r="F195" i="34" s="1"/>
  <c r="K251" i="36"/>
  <c r="F259" i="34" s="1"/>
  <c r="K227" i="36"/>
  <c r="F235" i="34" s="1"/>
  <c r="K226" i="36"/>
  <c r="F234" i="34" s="1"/>
  <c r="K233" i="36"/>
  <c r="F241" i="34" s="1"/>
  <c r="K56" i="36"/>
  <c r="F64" i="34" s="1"/>
  <c r="K46" i="36"/>
  <c r="F54" i="34" s="1"/>
  <c r="K30" i="36"/>
  <c r="F38" i="34" s="1"/>
  <c r="K35" i="36"/>
  <c r="F43" i="34" s="1"/>
  <c r="K287" i="36"/>
  <c r="F295" i="34" s="1"/>
  <c r="K159" i="36"/>
  <c r="F167" i="34" s="1"/>
  <c r="K272" i="36"/>
  <c r="F280" i="34" s="1"/>
  <c r="K206" i="36"/>
  <c r="F214" i="34" s="1"/>
  <c r="K126" i="36"/>
  <c r="F134" i="34" s="1"/>
  <c r="K173" i="36"/>
  <c r="F181" i="34" s="1"/>
  <c r="K45" i="36"/>
  <c r="F53" i="34" s="1"/>
  <c r="K13" i="36"/>
  <c r="F21" i="34" s="1"/>
  <c r="K92" i="36"/>
  <c r="F100" i="34" s="1"/>
  <c r="K76" i="36"/>
  <c r="F84" i="34" s="1"/>
  <c r="K44" i="36"/>
  <c r="F52" i="34" s="1"/>
  <c r="K292" i="36"/>
  <c r="F300" i="34" s="1"/>
  <c r="K235" i="36"/>
  <c r="F243" i="34" s="1"/>
  <c r="K218" i="36"/>
  <c r="F226" i="34" s="1"/>
  <c r="K153" i="36"/>
  <c r="F161" i="34" s="1"/>
  <c r="AK86" i="19"/>
  <c r="AJ86" i="19"/>
  <c r="AA8" i="19"/>
  <c r="AA9" i="19"/>
  <c r="AA10" i="19"/>
  <c r="AA11" i="19"/>
  <c r="AA12" i="19"/>
  <c r="AA13" i="19"/>
  <c r="AA14" i="19"/>
  <c r="AA15" i="19"/>
  <c r="AA16" i="19"/>
  <c r="AA17" i="19"/>
  <c r="AA18" i="19"/>
  <c r="AA19" i="19"/>
  <c r="AA20" i="19"/>
  <c r="AA21" i="19"/>
  <c r="AA22" i="19"/>
  <c r="AA23" i="19"/>
  <c r="AA24" i="19"/>
  <c r="AA25" i="19"/>
  <c r="AA26" i="19"/>
  <c r="AA27" i="19"/>
  <c r="AA28" i="19"/>
  <c r="AA29" i="19"/>
  <c r="AA30" i="19"/>
  <c r="AA31" i="19"/>
  <c r="AA32" i="19"/>
  <c r="AA33" i="19"/>
  <c r="AA34" i="19"/>
  <c r="AA35" i="19"/>
  <c r="AA36" i="19"/>
  <c r="AA37" i="19"/>
  <c r="AA38" i="19"/>
  <c r="AA39" i="19"/>
  <c r="AA40" i="19"/>
  <c r="AA41" i="19"/>
  <c r="AA42" i="19"/>
  <c r="AA43" i="19"/>
  <c r="AA44" i="19"/>
  <c r="AA45" i="19"/>
  <c r="AA46" i="19"/>
  <c r="AA47" i="19"/>
  <c r="AA48" i="19"/>
  <c r="AA49" i="19"/>
  <c r="AA50" i="19"/>
  <c r="AA51" i="19"/>
  <c r="AA52" i="19"/>
  <c r="AA53" i="19"/>
  <c r="AA54" i="19"/>
  <c r="AA55" i="19"/>
  <c r="AA56" i="19"/>
  <c r="AA57" i="19"/>
  <c r="AA58" i="19"/>
  <c r="AA59" i="19"/>
  <c r="AA60" i="19"/>
  <c r="AA61" i="19"/>
  <c r="AA62" i="19"/>
  <c r="AA63" i="19"/>
  <c r="AA64" i="19"/>
  <c r="AA65" i="19"/>
  <c r="AA66" i="19"/>
  <c r="AA67" i="19"/>
  <c r="AA68" i="19"/>
  <c r="AA69" i="19"/>
  <c r="AA70" i="19"/>
  <c r="AA71" i="19"/>
  <c r="AA72" i="19"/>
  <c r="AA73" i="19"/>
  <c r="AA74" i="19"/>
  <c r="AA75" i="19"/>
  <c r="AA76" i="19"/>
  <c r="AA77" i="19"/>
  <c r="AA78" i="19"/>
  <c r="AA79" i="19"/>
  <c r="AA80" i="19"/>
  <c r="AA81" i="19"/>
  <c r="AA82" i="19"/>
  <c r="AA83" i="19"/>
  <c r="AA84" i="19"/>
  <c r="AA85" i="19"/>
  <c r="AA86" i="19"/>
  <c r="AA87" i="19"/>
  <c r="AA88" i="19"/>
  <c r="AA89" i="19"/>
  <c r="AA90" i="19"/>
  <c r="AA91" i="19"/>
  <c r="AA92" i="19"/>
  <c r="AA93" i="19"/>
  <c r="AA94" i="19"/>
  <c r="AA95" i="19"/>
  <c r="AA96" i="19"/>
  <c r="AA97" i="19"/>
  <c r="AA98" i="19"/>
  <c r="AA99" i="19"/>
  <c r="AA100" i="19"/>
  <c r="AA101" i="19"/>
  <c r="AA102" i="19"/>
  <c r="AA103" i="19"/>
  <c r="AA104" i="19"/>
  <c r="AA105" i="19"/>
  <c r="AA106" i="19"/>
  <c r="AA107" i="19"/>
  <c r="AA108" i="19"/>
  <c r="AA109" i="19"/>
  <c r="AA110" i="19"/>
  <c r="AA111" i="19"/>
  <c r="AA112" i="19"/>
  <c r="AA113" i="19"/>
  <c r="AA114" i="19"/>
  <c r="AA115" i="19"/>
  <c r="AA116" i="19"/>
  <c r="AA117" i="19"/>
  <c r="AA118" i="19"/>
  <c r="AA119" i="19"/>
  <c r="AA120" i="19"/>
  <c r="AA121" i="19"/>
  <c r="AA122" i="19"/>
  <c r="AA123" i="19"/>
  <c r="AA124" i="19"/>
  <c r="AA125" i="19"/>
  <c r="AA126" i="19"/>
  <c r="AA127" i="19"/>
  <c r="AA128" i="19"/>
  <c r="AA129" i="19"/>
  <c r="AA130" i="19"/>
  <c r="AA131" i="19"/>
  <c r="AA132" i="19"/>
  <c r="AA133" i="19"/>
  <c r="AA134" i="19"/>
  <c r="AA135" i="19"/>
  <c r="AA136" i="19"/>
  <c r="AA137" i="19"/>
  <c r="AA138" i="19"/>
  <c r="AA139" i="19"/>
  <c r="AA140" i="19"/>
  <c r="AA141" i="19"/>
  <c r="AA142" i="19"/>
  <c r="AA143" i="19"/>
  <c r="AA144" i="19"/>
  <c r="AA145" i="19"/>
  <c r="AA146" i="19"/>
  <c r="AA147" i="19"/>
  <c r="AA148" i="19"/>
  <c r="AA149" i="19"/>
  <c r="AA150" i="19"/>
  <c r="AA151" i="19"/>
  <c r="AA152" i="19"/>
  <c r="AA153" i="19"/>
  <c r="AA154" i="19"/>
  <c r="AA155" i="19"/>
  <c r="AA156" i="19"/>
  <c r="AA157" i="19"/>
  <c r="AA158" i="19"/>
  <c r="AA159" i="19"/>
  <c r="AA160" i="19"/>
  <c r="AA161" i="19"/>
  <c r="AA162" i="19"/>
  <c r="AA163" i="19"/>
  <c r="AA164" i="19"/>
  <c r="AA165" i="19"/>
  <c r="AA166" i="19"/>
  <c r="AA167" i="19"/>
  <c r="AA168" i="19"/>
  <c r="AA169" i="19"/>
  <c r="AA170" i="19"/>
  <c r="AA171" i="19"/>
  <c r="AA172" i="19"/>
  <c r="AA173" i="19"/>
  <c r="AA174" i="19"/>
  <c r="AA175" i="19"/>
  <c r="AA176" i="19"/>
  <c r="AA177" i="19"/>
  <c r="AA178" i="19"/>
  <c r="AA179" i="19"/>
  <c r="AA180" i="19"/>
  <c r="AA181" i="19"/>
  <c r="AA182" i="19"/>
  <c r="AA183" i="19"/>
  <c r="AA184" i="19"/>
  <c r="AA185" i="19"/>
  <c r="AA186" i="19"/>
  <c r="AA187" i="19"/>
  <c r="AA188" i="19"/>
  <c r="AA189" i="19"/>
  <c r="AA190" i="19"/>
  <c r="AA191" i="19"/>
  <c r="AA192" i="19"/>
  <c r="AA193" i="19"/>
  <c r="AA194" i="19"/>
  <c r="AA195" i="19"/>
  <c r="AA196" i="19"/>
  <c r="AA197" i="19"/>
  <c r="AA198" i="19"/>
  <c r="AA199" i="19"/>
  <c r="AA200" i="19"/>
  <c r="AA201" i="19"/>
  <c r="AA202" i="19"/>
  <c r="AA203" i="19"/>
  <c r="AA204" i="19"/>
  <c r="AA205" i="19"/>
  <c r="AA206" i="19"/>
  <c r="AA207" i="19"/>
  <c r="AA208" i="19"/>
  <c r="AA209" i="19"/>
  <c r="AA210" i="19"/>
  <c r="AA211" i="19"/>
  <c r="AA212" i="19"/>
  <c r="AA213" i="19"/>
  <c r="AA214" i="19"/>
  <c r="AA215" i="19"/>
  <c r="AA216" i="19"/>
  <c r="AA217" i="19"/>
  <c r="AA218" i="19"/>
  <c r="AA219" i="19"/>
  <c r="AA220" i="19"/>
  <c r="AA221" i="19"/>
  <c r="AA222" i="19"/>
  <c r="AA223" i="19"/>
  <c r="AA224" i="19"/>
  <c r="AA225" i="19"/>
  <c r="AA226" i="19"/>
  <c r="AA227" i="19"/>
  <c r="AA228" i="19"/>
  <c r="AA229" i="19"/>
  <c r="AA230" i="19"/>
  <c r="AA231" i="19"/>
  <c r="AA232" i="19"/>
  <c r="AA233" i="19"/>
  <c r="AA234" i="19"/>
  <c r="AA235" i="19"/>
  <c r="AA236" i="19"/>
  <c r="AA237" i="19"/>
  <c r="AA238" i="19"/>
  <c r="AA239" i="19"/>
  <c r="AA240" i="19"/>
  <c r="AA241" i="19"/>
  <c r="AA242" i="19"/>
  <c r="AA243" i="19"/>
  <c r="AA244" i="19"/>
  <c r="AA245" i="19"/>
  <c r="AA246" i="19"/>
  <c r="AA247" i="19"/>
  <c r="AA248" i="19"/>
  <c r="AA249" i="19"/>
  <c r="AA250" i="19"/>
  <c r="AA251" i="19"/>
  <c r="AA252" i="19"/>
  <c r="AA253" i="19"/>
  <c r="AA254" i="19"/>
  <c r="AA255" i="19"/>
  <c r="AA256" i="19"/>
  <c r="AA257" i="19"/>
  <c r="AA258" i="19"/>
  <c r="AA259" i="19"/>
  <c r="AA260" i="19"/>
  <c r="AA261" i="19"/>
  <c r="AA262" i="19"/>
  <c r="AA263" i="19"/>
  <c r="AA264" i="19"/>
  <c r="AA265" i="19"/>
  <c r="AA266" i="19"/>
  <c r="AA267" i="19"/>
  <c r="AA268" i="19"/>
  <c r="AA269" i="19"/>
  <c r="AA270" i="19"/>
  <c r="AA271" i="19"/>
  <c r="AA272" i="19"/>
  <c r="AA273" i="19"/>
  <c r="AA274" i="19"/>
  <c r="AA275" i="19"/>
  <c r="AA276" i="19"/>
  <c r="AA277" i="19"/>
  <c r="AA278" i="19"/>
  <c r="AA279" i="19"/>
  <c r="AA280" i="19"/>
  <c r="AA281" i="19"/>
  <c r="AA282" i="19"/>
  <c r="AA283" i="19"/>
  <c r="AA284" i="19"/>
  <c r="AA285" i="19"/>
  <c r="AA286" i="19"/>
  <c r="AA287" i="19"/>
  <c r="AA288" i="19"/>
  <c r="AA289" i="19"/>
  <c r="AA290" i="19"/>
  <c r="AA291" i="19"/>
  <c r="AA292" i="19"/>
  <c r="AA293" i="19"/>
  <c r="AA294" i="19"/>
  <c r="AA295" i="19"/>
  <c r="AA296" i="19"/>
  <c r="AA297" i="19"/>
  <c r="AA298" i="19"/>
  <c r="AA299" i="19"/>
  <c r="AA300" i="19"/>
  <c r="AA301" i="19"/>
  <c r="AA302" i="19"/>
  <c r="AA303" i="19"/>
  <c r="AA304" i="19"/>
  <c r="AA305" i="19"/>
  <c r="AA306" i="19"/>
  <c r="AA307" i="19"/>
  <c r="AA308" i="19"/>
  <c r="AA309" i="19"/>
  <c r="AA310" i="19"/>
  <c r="AA311" i="19"/>
  <c r="AA312" i="19"/>
  <c r="AA313" i="19"/>
  <c r="AA314" i="19"/>
  <c r="AA315" i="19"/>
  <c r="AA7" i="19"/>
  <c r="AG8" i="19"/>
  <c r="AG9" i="19"/>
  <c r="AG10" i="19"/>
  <c r="AG11" i="19"/>
  <c r="AG12" i="19"/>
  <c r="AG13" i="19"/>
  <c r="AG14" i="19"/>
  <c r="AG15" i="19"/>
  <c r="AG16" i="19"/>
  <c r="AG17" i="19"/>
  <c r="AG18" i="19"/>
  <c r="AG19" i="19"/>
  <c r="AG20" i="19"/>
  <c r="AG21" i="19"/>
  <c r="AG22" i="19"/>
  <c r="AG23" i="19"/>
  <c r="AG24" i="19"/>
  <c r="AG25" i="19"/>
  <c r="AG26" i="19"/>
  <c r="AG27" i="19"/>
  <c r="AG28" i="19"/>
  <c r="AG29" i="19"/>
  <c r="AG30" i="19"/>
  <c r="AG31" i="19"/>
  <c r="AG32" i="19"/>
  <c r="AG33" i="19"/>
  <c r="AG34" i="19"/>
  <c r="AG35" i="19"/>
  <c r="AG36" i="19"/>
  <c r="AG37" i="19"/>
  <c r="AG38" i="19"/>
  <c r="AG39" i="19"/>
  <c r="AG40" i="19"/>
  <c r="AG41" i="19"/>
  <c r="AG42" i="19"/>
  <c r="AG43" i="19"/>
  <c r="AG44" i="19"/>
  <c r="AG45" i="19"/>
  <c r="AG46" i="19"/>
  <c r="AG47" i="19"/>
  <c r="AG48" i="19"/>
  <c r="AG49" i="19"/>
  <c r="AG50" i="19"/>
  <c r="AG51" i="19"/>
  <c r="AG52" i="19"/>
  <c r="AG53" i="19"/>
  <c r="AG54" i="19"/>
  <c r="AG55" i="19"/>
  <c r="AG56" i="19"/>
  <c r="AG57" i="19"/>
  <c r="AG58" i="19"/>
  <c r="AG59" i="19"/>
  <c r="AG60" i="19"/>
  <c r="AG61" i="19"/>
  <c r="AG62" i="19"/>
  <c r="AG63" i="19"/>
  <c r="AG64" i="19"/>
  <c r="AG65" i="19"/>
  <c r="AG66" i="19"/>
  <c r="AG67" i="19"/>
  <c r="AG68" i="19"/>
  <c r="AG69" i="19"/>
  <c r="AG70" i="19"/>
  <c r="AG71" i="19"/>
  <c r="AG72" i="19"/>
  <c r="AG73" i="19"/>
  <c r="AG74" i="19"/>
  <c r="AG75" i="19"/>
  <c r="AG76" i="19"/>
  <c r="AG77" i="19"/>
  <c r="AG78" i="19"/>
  <c r="AG79" i="19"/>
  <c r="AG80" i="19"/>
  <c r="AG81" i="19"/>
  <c r="AG82" i="19"/>
  <c r="AG83" i="19"/>
  <c r="AG84" i="19"/>
  <c r="AG85" i="19"/>
  <c r="AG86" i="19"/>
  <c r="AG87" i="19"/>
  <c r="AG88" i="19"/>
  <c r="AG89" i="19"/>
  <c r="AG90" i="19"/>
  <c r="AG91" i="19"/>
  <c r="AG92" i="19"/>
  <c r="AG93" i="19"/>
  <c r="AG94" i="19"/>
  <c r="AG95" i="19"/>
  <c r="AG96" i="19"/>
  <c r="AG97" i="19"/>
  <c r="AG98" i="19"/>
  <c r="AG99" i="19"/>
  <c r="AG100" i="19"/>
  <c r="AG101" i="19"/>
  <c r="AG102" i="19"/>
  <c r="AG103" i="19"/>
  <c r="AG104" i="19"/>
  <c r="AG105" i="19"/>
  <c r="AG106" i="19"/>
  <c r="AG107" i="19"/>
  <c r="AG108" i="19"/>
  <c r="AG109" i="19"/>
  <c r="AG110" i="19"/>
  <c r="AG111" i="19"/>
  <c r="AG112" i="19"/>
  <c r="AG113" i="19"/>
  <c r="AG114" i="19"/>
  <c r="AG115" i="19"/>
  <c r="AG116" i="19"/>
  <c r="AG117" i="19"/>
  <c r="AG118" i="19"/>
  <c r="AG119" i="19"/>
  <c r="AG120" i="19"/>
  <c r="AG121" i="19"/>
  <c r="AG122" i="19"/>
  <c r="AG123" i="19"/>
  <c r="AG124" i="19"/>
  <c r="AG125" i="19"/>
  <c r="AG126" i="19"/>
  <c r="AG127" i="19"/>
  <c r="AG128" i="19"/>
  <c r="AG129" i="19"/>
  <c r="AG130" i="19"/>
  <c r="AG131" i="19"/>
  <c r="AG132" i="19"/>
  <c r="AG133" i="19"/>
  <c r="AG134" i="19"/>
  <c r="AG135" i="19"/>
  <c r="AG136" i="19"/>
  <c r="AG137" i="19"/>
  <c r="AG138" i="19"/>
  <c r="AG139" i="19"/>
  <c r="AG140" i="19"/>
  <c r="AG141" i="19"/>
  <c r="AG142" i="19"/>
  <c r="AG143" i="19"/>
  <c r="AG144" i="19"/>
  <c r="AG145" i="19"/>
  <c r="AG146" i="19"/>
  <c r="AG147" i="19"/>
  <c r="AG148" i="19"/>
  <c r="AG149" i="19"/>
  <c r="AG150" i="19"/>
  <c r="AG151" i="19"/>
  <c r="AG152" i="19"/>
  <c r="AG153" i="19"/>
  <c r="AG154" i="19"/>
  <c r="AG155" i="19"/>
  <c r="AG156" i="19"/>
  <c r="AG157" i="19"/>
  <c r="AG158" i="19"/>
  <c r="AG159" i="19"/>
  <c r="AG160" i="19"/>
  <c r="AG161" i="19"/>
  <c r="AG162" i="19"/>
  <c r="AG163" i="19"/>
  <c r="AG164" i="19"/>
  <c r="AG165" i="19"/>
  <c r="AG166" i="19"/>
  <c r="AG167" i="19"/>
  <c r="AG168" i="19"/>
  <c r="AG169" i="19"/>
  <c r="AG170" i="19"/>
  <c r="AG171" i="19"/>
  <c r="AG172" i="19"/>
  <c r="AG173" i="19"/>
  <c r="AG174" i="19"/>
  <c r="AG175" i="19"/>
  <c r="AG176" i="19"/>
  <c r="AG177" i="19"/>
  <c r="AG178" i="19"/>
  <c r="AG179" i="19"/>
  <c r="AG180" i="19"/>
  <c r="AG181" i="19"/>
  <c r="AG182" i="19"/>
  <c r="AG183" i="19"/>
  <c r="AG184" i="19"/>
  <c r="AG185" i="19"/>
  <c r="AG186" i="19"/>
  <c r="AG187" i="19"/>
  <c r="AG188" i="19"/>
  <c r="AG189" i="19"/>
  <c r="AG190" i="19"/>
  <c r="AG191" i="19"/>
  <c r="AG192" i="19"/>
  <c r="AG193" i="19"/>
  <c r="AG194" i="19"/>
  <c r="AG195" i="19"/>
  <c r="AG196" i="19"/>
  <c r="AG197" i="19"/>
  <c r="AG198" i="19"/>
  <c r="AG199" i="19"/>
  <c r="AG200" i="19"/>
  <c r="AG201" i="19"/>
  <c r="AG202" i="19"/>
  <c r="AG203" i="19"/>
  <c r="AG204" i="19"/>
  <c r="AG205" i="19"/>
  <c r="AG206" i="19"/>
  <c r="AG207" i="19"/>
  <c r="AG208" i="19"/>
  <c r="AG209" i="19"/>
  <c r="AG210" i="19"/>
  <c r="AG211" i="19"/>
  <c r="AG212" i="19"/>
  <c r="AG213" i="19"/>
  <c r="AG214" i="19"/>
  <c r="AG215" i="19"/>
  <c r="AG216" i="19"/>
  <c r="AG217" i="19"/>
  <c r="AG218" i="19"/>
  <c r="AG219" i="19"/>
  <c r="AG220" i="19"/>
  <c r="AG221" i="19"/>
  <c r="AG222" i="19"/>
  <c r="AG223" i="19"/>
  <c r="AG224" i="19"/>
  <c r="AG225" i="19"/>
  <c r="AG226" i="19"/>
  <c r="AG227" i="19"/>
  <c r="AG228" i="19"/>
  <c r="AG229" i="19"/>
  <c r="AG230" i="19"/>
  <c r="AG231" i="19"/>
  <c r="AG232" i="19"/>
  <c r="AG233" i="19"/>
  <c r="AG234" i="19"/>
  <c r="AG235" i="19"/>
  <c r="AG236" i="19"/>
  <c r="AG237" i="19"/>
  <c r="AG238" i="19"/>
  <c r="AG239" i="19"/>
  <c r="AG240" i="19"/>
  <c r="AG241" i="19"/>
  <c r="AG242" i="19"/>
  <c r="AG243" i="19"/>
  <c r="AG244" i="19"/>
  <c r="AG245" i="19"/>
  <c r="AG246" i="19"/>
  <c r="AG247" i="19"/>
  <c r="AG248" i="19"/>
  <c r="AG249" i="19"/>
  <c r="AG250" i="19"/>
  <c r="AG251" i="19"/>
  <c r="AG252" i="19"/>
  <c r="AG253" i="19"/>
  <c r="AG254" i="19"/>
  <c r="AG255" i="19"/>
  <c r="AG256" i="19"/>
  <c r="AG257" i="19"/>
  <c r="AG258" i="19"/>
  <c r="AG259" i="19"/>
  <c r="AG260" i="19"/>
  <c r="AG261" i="19"/>
  <c r="AG262" i="19"/>
  <c r="AG263" i="19"/>
  <c r="AG264" i="19"/>
  <c r="AG265" i="19"/>
  <c r="AG266" i="19"/>
  <c r="AG267" i="19"/>
  <c r="AG268" i="19"/>
  <c r="AG269" i="19"/>
  <c r="AG270" i="19"/>
  <c r="AG271" i="19"/>
  <c r="AG272" i="19"/>
  <c r="AG273" i="19"/>
  <c r="AG274" i="19"/>
  <c r="AG275" i="19"/>
  <c r="AG276" i="19"/>
  <c r="AG277" i="19"/>
  <c r="AG278" i="19"/>
  <c r="AG279" i="19"/>
  <c r="AG280" i="19"/>
  <c r="AG281" i="19"/>
  <c r="AG282" i="19"/>
  <c r="AG283" i="19"/>
  <c r="AG284" i="19"/>
  <c r="AG285" i="19"/>
  <c r="AG286" i="19"/>
  <c r="AG287" i="19"/>
  <c r="AG288" i="19"/>
  <c r="AG289" i="19"/>
  <c r="AG290" i="19"/>
  <c r="AG291" i="19"/>
  <c r="AG292" i="19"/>
  <c r="AG293" i="19"/>
  <c r="AG294" i="19"/>
  <c r="AG295" i="19"/>
  <c r="AG296" i="19"/>
  <c r="AG297" i="19"/>
  <c r="AG298" i="19"/>
  <c r="AG299" i="19"/>
  <c r="AG300" i="19"/>
  <c r="AG301" i="19"/>
  <c r="AG302" i="19"/>
  <c r="AG303" i="19"/>
  <c r="AG304" i="19"/>
  <c r="AG305" i="19"/>
  <c r="AG306" i="19"/>
  <c r="AG307" i="19"/>
  <c r="AG308" i="19"/>
  <c r="AG309" i="19"/>
  <c r="AG310" i="19"/>
  <c r="AG311" i="19"/>
  <c r="AG312" i="19"/>
  <c r="AG313" i="19"/>
  <c r="AG314" i="19"/>
  <c r="AG315" i="19"/>
  <c r="AG7" i="19"/>
  <c r="AL8" i="42"/>
  <c r="AL9" i="42"/>
  <c r="AL10" i="42"/>
  <c r="AL11" i="42"/>
  <c r="AL12" i="42"/>
  <c r="AL13" i="42"/>
  <c r="AL14" i="42"/>
  <c r="AL15" i="42"/>
  <c r="AL16" i="42"/>
  <c r="AL17" i="42"/>
  <c r="AL18" i="42"/>
  <c r="AL19" i="42"/>
  <c r="AL20" i="42"/>
  <c r="AL21" i="42"/>
  <c r="AL22" i="42"/>
  <c r="AL23" i="42"/>
  <c r="AL24" i="42"/>
  <c r="AL25" i="42"/>
  <c r="AL26" i="42"/>
  <c r="AL27" i="42"/>
  <c r="AL28" i="42"/>
  <c r="AL29" i="42"/>
  <c r="AL30" i="42"/>
  <c r="AL31" i="42"/>
  <c r="AL32" i="42"/>
  <c r="AL33" i="42"/>
  <c r="AL34" i="42"/>
  <c r="AL35" i="42"/>
  <c r="AL36" i="42"/>
  <c r="AL37" i="42"/>
  <c r="AL38" i="42"/>
  <c r="AL39" i="42"/>
  <c r="AL40" i="42"/>
  <c r="AL41" i="42"/>
  <c r="AL42" i="42"/>
  <c r="AL43" i="42"/>
  <c r="AL44" i="42"/>
  <c r="AL45" i="42"/>
  <c r="AL46" i="42"/>
  <c r="AL47" i="42"/>
  <c r="AL48" i="42"/>
  <c r="AL49" i="42"/>
  <c r="AL50" i="42"/>
  <c r="AL51" i="42"/>
  <c r="AL52" i="42"/>
  <c r="AL53" i="42"/>
  <c r="AL54" i="42"/>
  <c r="AL55" i="42"/>
  <c r="AL56" i="42"/>
  <c r="AL57" i="42"/>
  <c r="AL58" i="42"/>
  <c r="AL59" i="42"/>
  <c r="AL60" i="42"/>
  <c r="AL61" i="42"/>
  <c r="AL62" i="42"/>
  <c r="AL63" i="42"/>
  <c r="AL64" i="42"/>
  <c r="AL65" i="42"/>
  <c r="AL66" i="42"/>
  <c r="AL67" i="42"/>
  <c r="AL68" i="42"/>
  <c r="AL69" i="42"/>
  <c r="AL70" i="42"/>
  <c r="AL71" i="42"/>
  <c r="AL72" i="42"/>
  <c r="AL73" i="42"/>
  <c r="AL74" i="42"/>
  <c r="AL75" i="42"/>
  <c r="AL76" i="42"/>
  <c r="AL77" i="42"/>
  <c r="AL78" i="42"/>
  <c r="AL79" i="42"/>
  <c r="AL80" i="42"/>
  <c r="AL81" i="42"/>
  <c r="AL82" i="42"/>
  <c r="AL83" i="42"/>
  <c r="AL84" i="42"/>
  <c r="AL85" i="42"/>
  <c r="AL86" i="42"/>
  <c r="AL87" i="42"/>
  <c r="AL88" i="42"/>
  <c r="AL89" i="42"/>
  <c r="AL90" i="42"/>
  <c r="AL91" i="42"/>
  <c r="AL92" i="42"/>
  <c r="AL93" i="42"/>
  <c r="AL94" i="42"/>
  <c r="AL95" i="42"/>
  <c r="AL96" i="42"/>
  <c r="AL97" i="42"/>
  <c r="AL98" i="42"/>
  <c r="AL99" i="42"/>
  <c r="AL100" i="42"/>
  <c r="AL101" i="42"/>
  <c r="AL102" i="42"/>
  <c r="AL103" i="42"/>
  <c r="AL104" i="42"/>
  <c r="AL105" i="42"/>
  <c r="AL106" i="42"/>
  <c r="AL107" i="42"/>
  <c r="AL108" i="42"/>
  <c r="AL109" i="42"/>
  <c r="AL110" i="42"/>
  <c r="AL111" i="42"/>
  <c r="AL112" i="42"/>
  <c r="AL113" i="42"/>
  <c r="AL114" i="42"/>
  <c r="AL115" i="42"/>
  <c r="AL116" i="42"/>
  <c r="AL117" i="42"/>
  <c r="AL118" i="42"/>
  <c r="AL119" i="42"/>
  <c r="AL120" i="42"/>
  <c r="AL121" i="42"/>
  <c r="AL122" i="42"/>
  <c r="AL123" i="42"/>
  <c r="AL124" i="42"/>
  <c r="AL125" i="42"/>
  <c r="AL126" i="42"/>
  <c r="AL127" i="42"/>
  <c r="AL128" i="42"/>
  <c r="AL129" i="42"/>
  <c r="AL130" i="42"/>
  <c r="AL131" i="42"/>
  <c r="AL132" i="42"/>
  <c r="AL133" i="42"/>
  <c r="AL134" i="42"/>
  <c r="AL135" i="42"/>
  <c r="AL136" i="42"/>
  <c r="AL137" i="42"/>
  <c r="AL138" i="42"/>
  <c r="AL139" i="42"/>
  <c r="AL140" i="42"/>
  <c r="AL141" i="42"/>
  <c r="AL142" i="42"/>
  <c r="AL143" i="42"/>
  <c r="AL144" i="42"/>
  <c r="AL145" i="42"/>
  <c r="AL146" i="42"/>
  <c r="AL147" i="42"/>
  <c r="AL148" i="42"/>
  <c r="AL149" i="42"/>
  <c r="AL150" i="42"/>
  <c r="AL151" i="42"/>
  <c r="AL152" i="42"/>
  <c r="AL153" i="42"/>
  <c r="AL154" i="42"/>
  <c r="AL155" i="42"/>
  <c r="AL156" i="42"/>
  <c r="AL157" i="42"/>
  <c r="AL158" i="42"/>
  <c r="AL159" i="42"/>
  <c r="AL160" i="42"/>
  <c r="AL161" i="42"/>
  <c r="AL162" i="42"/>
  <c r="AL163" i="42"/>
  <c r="AL164" i="42"/>
  <c r="AL165" i="42"/>
  <c r="AL166" i="42"/>
  <c r="AL167" i="42"/>
  <c r="AL168" i="42"/>
  <c r="AL169" i="42"/>
  <c r="AL170" i="42"/>
  <c r="AL171" i="42"/>
  <c r="AL172" i="42"/>
  <c r="AL173" i="42"/>
  <c r="AL174" i="42"/>
  <c r="AL175" i="42"/>
  <c r="AL176" i="42"/>
  <c r="AL177" i="42"/>
  <c r="AL178" i="42"/>
  <c r="AL179" i="42"/>
  <c r="AL180" i="42"/>
  <c r="AL181" i="42"/>
  <c r="AL182" i="42"/>
  <c r="AL183" i="42"/>
  <c r="AL184" i="42"/>
  <c r="AL185" i="42"/>
  <c r="AL186" i="42"/>
  <c r="AL187" i="42"/>
  <c r="AL188" i="42"/>
  <c r="AL189" i="42"/>
  <c r="AL190" i="42"/>
  <c r="AL191" i="42"/>
  <c r="AL192" i="42"/>
  <c r="AL193" i="42"/>
  <c r="AL194" i="42"/>
  <c r="AL195" i="42"/>
  <c r="AL196" i="42"/>
  <c r="AL197" i="42"/>
  <c r="AL198" i="42"/>
  <c r="AL199" i="42"/>
  <c r="AL200" i="42"/>
  <c r="AL201" i="42"/>
  <c r="AL202" i="42"/>
  <c r="AL203" i="42"/>
  <c r="AL204" i="42"/>
  <c r="AL205" i="42"/>
  <c r="AL206" i="42"/>
  <c r="AL207" i="42"/>
  <c r="AL208" i="42"/>
  <c r="AL209" i="42"/>
  <c r="AL210" i="42"/>
  <c r="AL211" i="42"/>
  <c r="AL212" i="42"/>
  <c r="AL213" i="42"/>
  <c r="AL214" i="42"/>
  <c r="AL215" i="42"/>
  <c r="AL216" i="42"/>
  <c r="AL217" i="42"/>
  <c r="AL218" i="42"/>
  <c r="AL219" i="42"/>
  <c r="AL220" i="42"/>
  <c r="AL221" i="42"/>
  <c r="AL222" i="42"/>
  <c r="AL223" i="42"/>
  <c r="AL224" i="42"/>
  <c r="AL225" i="42"/>
  <c r="AL226" i="42"/>
  <c r="AL227" i="42"/>
  <c r="AL228" i="42"/>
  <c r="AL229" i="42"/>
  <c r="AL230" i="42"/>
  <c r="AL231" i="42"/>
  <c r="AL232" i="42"/>
  <c r="AL233" i="42"/>
  <c r="AL234" i="42"/>
  <c r="AL235" i="42"/>
  <c r="AL236" i="42"/>
  <c r="AL237" i="42"/>
  <c r="AL238" i="42"/>
  <c r="AL239" i="42"/>
  <c r="AL241" i="42"/>
  <c r="AL242" i="42"/>
  <c r="AL243" i="42"/>
  <c r="AL244" i="42"/>
  <c r="AL245" i="42"/>
  <c r="AL246" i="42"/>
  <c r="AL247" i="42"/>
  <c r="AL248" i="42"/>
  <c r="AL249" i="42"/>
  <c r="AL250" i="42"/>
  <c r="AL251" i="42"/>
  <c r="AL252" i="42"/>
  <c r="AL253" i="42"/>
  <c r="AL254" i="42"/>
  <c r="AL255" i="42"/>
  <c r="AL256" i="42"/>
  <c r="AL257" i="42"/>
  <c r="AL258" i="42"/>
  <c r="AL259" i="42"/>
  <c r="AL260" i="42"/>
  <c r="AL261" i="42"/>
  <c r="AL262" i="42"/>
  <c r="AL263" i="42"/>
  <c r="AL264" i="42"/>
  <c r="AL265" i="42"/>
  <c r="AL266" i="42"/>
  <c r="AL267" i="42"/>
  <c r="AL268" i="42"/>
  <c r="AL269" i="42"/>
  <c r="AL270" i="42"/>
  <c r="AL271" i="42"/>
  <c r="AL272" i="42"/>
  <c r="AL273" i="42"/>
  <c r="AL274" i="42"/>
  <c r="AL275" i="42"/>
  <c r="AL276" i="42"/>
  <c r="AL277" i="42"/>
  <c r="AL278" i="42"/>
  <c r="AL279" i="42"/>
  <c r="AL280" i="42"/>
  <c r="AL281" i="42"/>
  <c r="AL282" i="42"/>
  <c r="AL283" i="42"/>
  <c r="AL284" i="42"/>
  <c r="AL285" i="42"/>
  <c r="AL286" i="42"/>
  <c r="AL287" i="42"/>
  <c r="AL288" i="42"/>
  <c r="AL289" i="42"/>
  <c r="AL290" i="42"/>
  <c r="AL291" i="42"/>
  <c r="AL292" i="42"/>
  <c r="AL293" i="42"/>
  <c r="AL294" i="42"/>
  <c r="AL295" i="42"/>
  <c r="AL296" i="42"/>
  <c r="AL297" i="42"/>
  <c r="AL298" i="42"/>
  <c r="AL299" i="42"/>
  <c r="AL300" i="42"/>
  <c r="AL301" i="42"/>
  <c r="AL302" i="42"/>
  <c r="AL303" i="42"/>
  <c r="AL304" i="42"/>
  <c r="AL305" i="42"/>
  <c r="AL306" i="42"/>
  <c r="AL307" i="42"/>
  <c r="AL308" i="42"/>
  <c r="AL309" i="42"/>
  <c r="AL310" i="42"/>
  <c r="AL311" i="42"/>
  <c r="AL312" i="42"/>
  <c r="AL313" i="42"/>
  <c r="AL314" i="42"/>
  <c r="AL315" i="42"/>
  <c r="T170" i="13" l="1"/>
  <c r="T219" i="13"/>
  <c r="T244" i="13"/>
  <c r="B67" i="53" l="1"/>
  <c r="E8" i="53"/>
  <c r="B66" i="53" l="1"/>
  <c r="D33" i="53" l="1"/>
  <c r="D21" i="53"/>
  <c r="D51" i="53"/>
  <c r="D34" i="53" l="1"/>
  <c r="M170" i="42" l="1"/>
  <c r="G5" i="37" l="1"/>
  <c r="S8" i="19"/>
  <c r="E7" i="49" s="1"/>
  <c r="S9" i="19"/>
  <c r="E8" i="49" s="1"/>
  <c r="S10" i="19"/>
  <c r="E9" i="49" s="1"/>
  <c r="S11" i="19"/>
  <c r="E10" i="49" s="1"/>
  <c r="S12" i="19"/>
  <c r="E11" i="49" s="1"/>
  <c r="S13" i="19"/>
  <c r="E12" i="49" s="1"/>
  <c r="S14" i="19"/>
  <c r="E13" i="49" s="1"/>
  <c r="S15" i="19"/>
  <c r="E14" i="49" s="1"/>
  <c r="S16" i="19"/>
  <c r="E15" i="49" s="1"/>
  <c r="S17" i="19"/>
  <c r="E16" i="49" s="1"/>
  <c r="S18" i="19"/>
  <c r="E17" i="49" s="1"/>
  <c r="S19" i="19"/>
  <c r="E18" i="49" s="1"/>
  <c r="S20" i="19"/>
  <c r="E19" i="49" s="1"/>
  <c r="S21" i="19"/>
  <c r="E20" i="49" s="1"/>
  <c r="S22" i="19"/>
  <c r="E21" i="49" s="1"/>
  <c r="S23" i="19"/>
  <c r="E22" i="49" s="1"/>
  <c r="S24" i="19"/>
  <c r="E23" i="49" s="1"/>
  <c r="S25" i="19"/>
  <c r="E24" i="49" s="1"/>
  <c r="S26" i="19"/>
  <c r="E25" i="49" s="1"/>
  <c r="S27" i="19"/>
  <c r="E26" i="49" s="1"/>
  <c r="S28" i="19"/>
  <c r="E27" i="49" s="1"/>
  <c r="S29" i="19"/>
  <c r="E28" i="49" s="1"/>
  <c r="S30" i="19"/>
  <c r="E29" i="49" s="1"/>
  <c r="S31" i="19"/>
  <c r="E30" i="49" s="1"/>
  <c r="S32" i="19"/>
  <c r="E31" i="49" s="1"/>
  <c r="S33" i="19"/>
  <c r="E32" i="49" s="1"/>
  <c r="S34" i="19"/>
  <c r="E33" i="49" s="1"/>
  <c r="S35" i="19"/>
  <c r="E34" i="49" s="1"/>
  <c r="S36" i="19"/>
  <c r="E35" i="49" s="1"/>
  <c r="S37" i="19"/>
  <c r="E36" i="49" s="1"/>
  <c r="S38" i="19"/>
  <c r="E37" i="49" s="1"/>
  <c r="S39" i="19"/>
  <c r="E38" i="49" s="1"/>
  <c r="S40" i="19"/>
  <c r="E39" i="49" s="1"/>
  <c r="S41" i="19"/>
  <c r="E40" i="49" s="1"/>
  <c r="S42" i="19"/>
  <c r="E41" i="49" s="1"/>
  <c r="S43" i="19"/>
  <c r="E42" i="49" s="1"/>
  <c r="S44" i="19"/>
  <c r="E43" i="49" s="1"/>
  <c r="S45" i="19"/>
  <c r="E44" i="49" s="1"/>
  <c r="S46" i="19"/>
  <c r="E45" i="49" s="1"/>
  <c r="S47" i="19"/>
  <c r="E46" i="49" s="1"/>
  <c r="S48" i="19"/>
  <c r="E47" i="49" s="1"/>
  <c r="S49" i="19"/>
  <c r="E48" i="49" s="1"/>
  <c r="S50" i="19"/>
  <c r="E49" i="49" s="1"/>
  <c r="S51" i="19"/>
  <c r="E50" i="49" s="1"/>
  <c r="S52" i="19"/>
  <c r="E51" i="49" s="1"/>
  <c r="S53" i="19"/>
  <c r="E52" i="49" s="1"/>
  <c r="S54" i="19"/>
  <c r="E53" i="49" s="1"/>
  <c r="S55" i="19"/>
  <c r="E54" i="49" s="1"/>
  <c r="S56" i="19"/>
  <c r="E55" i="49" s="1"/>
  <c r="S57" i="19"/>
  <c r="E56" i="49" s="1"/>
  <c r="S58" i="19"/>
  <c r="E57" i="49" s="1"/>
  <c r="S59" i="19"/>
  <c r="E58" i="49" s="1"/>
  <c r="S60" i="19"/>
  <c r="E59" i="49" s="1"/>
  <c r="S61" i="19"/>
  <c r="E60" i="49" s="1"/>
  <c r="S62" i="19"/>
  <c r="E61" i="49" s="1"/>
  <c r="S63" i="19"/>
  <c r="E62" i="49" s="1"/>
  <c r="S64" i="19"/>
  <c r="E63" i="49" s="1"/>
  <c r="S65" i="19"/>
  <c r="E64" i="49" s="1"/>
  <c r="S66" i="19"/>
  <c r="E65" i="49" s="1"/>
  <c r="S67" i="19"/>
  <c r="E66" i="49" s="1"/>
  <c r="S68" i="19"/>
  <c r="E67" i="49" s="1"/>
  <c r="S69" i="19"/>
  <c r="E68" i="49" s="1"/>
  <c r="S70" i="19"/>
  <c r="E69" i="49" s="1"/>
  <c r="S71" i="19"/>
  <c r="E70" i="49" s="1"/>
  <c r="S72" i="19"/>
  <c r="E71" i="49" s="1"/>
  <c r="S73" i="19"/>
  <c r="E72" i="49" s="1"/>
  <c r="S74" i="19"/>
  <c r="E73" i="49" s="1"/>
  <c r="S75" i="19"/>
  <c r="E74" i="49" s="1"/>
  <c r="S76" i="19"/>
  <c r="E75" i="49" s="1"/>
  <c r="S77" i="19"/>
  <c r="E76" i="49" s="1"/>
  <c r="S78" i="19"/>
  <c r="E77" i="49" s="1"/>
  <c r="S79" i="19"/>
  <c r="E78" i="49" s="1"/>
  <c r="S80" i="19"/>
  <c r="E79" i="49" s="1"/>
  <c r="S81" i="19"/>
  <c r="E80" i="49" s="1"/>
  <c r="S82" i="19"/>
  <c r="E81" i="49" s="1"/>
  <c r="S83" i="19"/>
  <c r="E82" i="49" s="1"/>
  <c r="S84" i="19"/>
  <c r="E83" i="49" s="1"/>
  <c r="S85" i="19"/>
  <c r="E84" i="49" s="1"/>
  <c r="S86" i="19"/>
  <c r="E85" i="49" s="1"/>
  <c r="S87" i="19"/>
  <c r="E86" i="49" s="1"/>
  <c r="S88" i="19"/>
  <c r="E87" i="49" s="1"/>
  <c r="S89" i="19"/>
  <c r="E88" i="49" s="1"/>
  <c r="S90" i="19"/>
  <c r="E89" i="49" s="1"/>
  <c r="S91" i="19"/>
  <c r="E90" i="49" s="1"/>
  <c r="S92" i="19"/>
  <c r="E91" i="49" s="1"/>
  <c r="S93" i="19"/>
  <c r="E92" i="49" s="1"/>
  <c r="S94" i="19"/>
  <c r="E93" i="49" s="1"/>
  <c r="S95" i="19"/>
  <c r="E94" i="49" s="1"/>
  <c r="S96" i="19"/>
  <c r="E95" i="49" s="1"/>
  <c r="S97" i="19"/>
  <c r="E96" i="49" s="1"/>
  <c r="S98" i="19"/>
  <c r="E97" i="49" s="1"/>
  <c r="S99" i="19"/>
  <c r="E98" i="49" s="1"/>
  <c r="S100" i="19"/>
  <c r="E99" i="49" s="1"/>
  <c r="S101" i="19"/>
  <c r="E100" i="49" s="1"/>
  <c r="S102" i="19"/>
  <c r="E101" i="49" s="1"/>
  <c r="S103" i="19"/>
  <c r="E102" i="49" s="1"/>
  <c r="S104" i="19"/>
  <c r="E103" i="49" s="1"/>
  <c r="S105" i="19"/>
  <c r="E104" i="49" s="1"/>
  <c r="S106" i="19"/>
  <c r="E105" i="49" s="1"/>
  <c r="S107" i="19"/>
  <c r="E106" i="49" s="1"/>
  <c r="S108" i="19"/>
  <c r="E107" i="49" s="1"/>
  <c r="S109" i="19"/>
  <c r="E108" i="49" s="1"/>
  <c r="S110" i="19"/>
  <c r="E109" i="49" s="1"/>
  <c r="S111" i="19"/>
  <c r="E110" i="49" s="1"/>
  <c r="S112" i="19"/>
  <c r="E111" i="49" s="1"/>
  <c r="S113" i="19"/>
  <c r="E112" i="49" s="1"/>
  <c r="S114" i="19"/>
  <c r="E113" i="49" s="1"/>
  <c r="S115" i="19"/>
  <c r="E114" i="49" s="1"/>
  <c r="S116" i="19"/>
  <c r="E115" i="49" s="1"/>
  <c r="S117" i="19"/>
  <c r="E116" i="49" s="1"/>
  <c r="S118" i="19"/>
  <c r="E117" i="49" s="1"/>
  <c r="S119" i="19"/>
  <c r="E118" i="49" s="1"/>
  <c r="S120" i="19"/>
  <c r="E119" i="49" s="1"/>
  <c r="S121" i="19"/>
  <c r="E120" i="49" s="1"/>
  <c r="S122" i="19"/>
  <c r="E121" i="49" s="1"/>
  <c r="S123" i="19"/>
  <c r="E122" i="49" s="1"/>
  <c r="S124" i="19"/>
  <c r="E123" i="49" s="1"/>
  <c r="S125" i="19"/>
  <c r="E124" i="49" s="1"/>
  <c r="S126" i="19"/>
  <c r="E125" i="49" s="1"/>
  <c r="S127" i="19"/>
  <c r="E126" i="49" s="1"/>
  <c r="S128" i="19"/>
  <c r="E127" i="49" s="1"/>
  <c r="S129" i="19"/>
  <c r="E128" i="49" s="1"/>
  <c r="S130" i="19"/>
  <c r="E129" i="49" s="1"/>
  <c r="S131" i="19"/>
  <c r="E130" i="49" s="1"/>
  <c r="S132" i="19"/>
  <c r="E131" i="49" s="1"/>
  <c r="S133" i="19"/>
  <c r="E132" i="49" s="1"/>
  <c r="S134" i="19"/>
  <c r="E133" i="49" s="1"/>
  <c r="S135" i="19"/>
  <c r="E134" i="49" s="1"/>
  <c r="S136" i="19"/>
  <c r="E135" i="49" s="1"/>
  <c r="S137" i="19"/>
  <c r="E136" i="49" s="1"/>
  <c r="S138" i="19"/>
  <c r="E137" i="49" s="1"/>
  <c r="S139" i="19"/>
  <c r="E138" i="49" s="1"/>
  <c r="S140" i="19"/>
  <c r="E139" i="49" s="1"/>
  <c r="S141" i="19"/>
  <c r="E140" i="49" s="1"/>
  <c r="S142" i="19"/>
  <c r="E141" i="49" s="1"/>
  <c r="S143" i="19"/>
  <c r="E142" i="49" s="1"/>
  <c r="S144" i="19"/>
  <c r="E143" i="49" s="1"/>
  <c r="S145" i="19"/>
  <c r="E144" i="49" s="1"/>
  <c r="S146" i="19"/>
  <c r="E145" i="49" s="1"/>
  <c r="S147" i="19"/>
  <c r="E146" i="49" s="1"/>
  <c r="S148" i="19"/>
  <c r="E147" i="49" s="1"/>
  <c r="S149" i="19"/>
  <c r="E148" i="49" s="1"/>
  <c r="S150" i="19"/>
  <c r="E149" i="49" s="1"/>
  <c r="S151" i="19"/>
  <c r="E150" i="49" s="1"/>
  <c r="S152" i="19"/>
  <c r="E151" i="49" s="1"/>
  <c r="S153" i="19"/>
  <c r="E152" i="49" s="1"/>
  <c r="S154" i="19"/>
  <c r="E153" i="49" s="1"/>
  <c r="S155" i="19"/>
  <c r="E154" i="49" s="1"/>
  <c r="S156" i="19"/>
  <c r="E155" i="49" s="1"/>
  <c r="S157" i="19"/>
  <c r="E156" i="49" s="1"/>
  <c r="S158" i="19"/>
  <c r="E157" i="49" s="1"/>
  <c r="S159" i="19"/>
  <c r="E158" i="49" s="1"/>
  <c r="S160" i="19"/>
  <c r="E159" i="49" s="1"/>
  <c r="S161" i="19"/>
  <c r="E160" i="49" s="1"/>
  <c r="S162" i="19"/>
  <c r="E161" i="49" s="1"/>
  <c r="S163" i="19"/>
  <c r="E162" i="49" s="1"/>
  <c r="S164" i="19"/>
  <c r="E163" i="49" s="1"/>
  <c r="S165" i="19"/>
  <c r="E164" i="49" s="1"/>
  <c r="S166" i="19"/>
  <c r="E165" i="49" s="1"/>
  <c r="S167" i="19"/>
  <c r="E166" i="49" s="1"/>
  <c r="S168" i="19"/>
  <c r="E167" i="49" s="1"/>
  <c r="S169" i="19"/>
  <c r="E168" i="49" s="1"/>
  <c r="S170" i="19"/>
  <c r="E169" i="49" s="1"/>
  <c r="S171" i="19"/>
  <c r="E170" i="49" s="1"/>
  <c r="S172" i="19"/>
  <c r="E171" i="49" s="1"/>
  <c r="S173" i="19"/>
  <c r="E172" i="49" s="1"/>
  <c r="S174" i="19"/>
  <c r="E173" i="49" s="1"/>
  <c r="S175" i="19"/>
  <c r="E174" i="49" s="1"/>
  <c r="S176" i="19"/>
  <c r="E175" i="49" s="1"/>
  <c r="S177" i="19"/>
  <c r="E176" i="49" s="1"/>
  <c r="S178" i="19"/>
  <c r="E177" i="49" s="1"/>
  <c r="S179" i="19"/>
  <c r="E178" i="49" s="1"/>
  <c r="S180" i="19"/>
  <c r="E179" i="49" s="1"/>
  <c r="S181" i="19"/>
  <c r="E180" i="49" s="1"/>
  <c r="S182" i="19"/>
  <c r="E181" i="49" s="1"/>
  <c r="S183" i="19"/>
  <c r="E182" i="49" s="1"/>
  <c r="S184" i="19"/>
  <c r="E183" i="49" s="1"/>
  <c r="S185" i="19"/>
  <c r="E184" i="49" s="1"/>
  <c r="S186" i="19"/>
  <c r="E185" i="49" s="1"/>
  <c r="S187" i="19"/>
  <c r="E186" i="49" s="1"/>
  <c r="S188" i="19"/>
  <c r="E187" i="49" s="1"/>
  <c r="S189" i="19"/>
  <c r="E188" i="49" s="1"/>
  <c r="S190" i="19"/>
  <c r="E189" i="49" s="1"/>
  <c r="S191" i="19"/>
  <c r="E190" i="49" s="1"/>
  <c r="S192" i="19"/>
  <c r="E191" i="49" s="1"/>
  <c r="S193" i="19"/>
  <c r="E192" i="49" s="1"/>
  <c r="S194" i="19"/>
  <c r="E193" i="49" s="1"/>
  <c r="S195" i="19"/>
  <c r="E194" i="49" s="1"/>
  <c r="S196" i="19"/>
  <c r="E195" i="49" s="1"/>
  <c r="S197" i="19"/>
  <c r="E196" i="49" s="1"/>
  <c r="S198" i="19"/>
  <c r="E197" i="49" s="1"/>
  <c r="S199" i="19"/>
  <c r="E198" i="49" s="1"/>
  <c r="S200" i="19"/>
  <c r="E199" i="49" s="1"/>
  <c r="S201" i="19"/>
  <c r="E200" i="49" s="1"/>
  <c r="S202" i="19"/>
  <c r="E201" i="49" s="1"/>
  <c r="S203" i="19"/>
  <c r="E202" i="49" s="1"/>
  <c r="S204" i="19"/>
  <c r="E203" i="49" s="1"/>
  <c r="S205" i="19"/>
  <c r="E204" i="49" s="1"/>
  <c r="S206" i="19"/>
  <c r="E205" i="49" s="1"/>
  <c r="S207" i="19"/>
  <c r="E206" i="49" s="1"/>
  <c r="S208" i="19"/>
  <c r="E207" i="49" s="1"/>
  <c r="S209" i="19"/>
  <c r="E208" i="49" s="1"/>
  <c r="S210" i="19"/>
  <c r="E209" i="49" s="1"/>
  <c r="S211" i="19"/>
  <c r="E210" i="49" s="1"/>
  <c r="S212" i="19"/>
  <c r="E211" i="49" s="1"/>
  <c r="S213" i="19"/>
  <c r="E212" i="49" s="1"/>
  <c r="S214" i="19"/>
  <c r="E213" i="49" s="1"/>
  <c r="S215" i="19"/>
  <c r="E214" i="49" s="1"/>
  <c r="S216" i="19"/>
  <c r="E215" i="49" s="1"/>
  <c r="S217" i="19"/>
  <c r="E216" i="49" s="1"/>
  <c r="S218" i="19"/>
  <c r="E217" i="49" s="1"/>
  <c r="S219" i="19"/>
  <c r="E218" i="49" s="1"/>
  <c r="S220" i="19"/>
  <c r="E219" i="49" s="1"/>
  <c r="S221" i="19"/>
  <c r="E220" i="49" s="1"/>
  <c r="S222" i="19"/>
  <c r="E221" i="49" s="1"/>
  <c r="S223" i="19"/>
  <c r="E222" i="49" s="1"/>
  <c r="S224" i="19"/>
  <c r="E223" i="49" s="1"/>
  <c r="S225" i="19"/>
  <c r="E224" i="49" s="1"/>
  <c r="S226" i="19"/>
  <c r="E225" i="49" s="1"/>
  <c r="S227" i="19"/>
  <c r="E226" i="49" s="1"/>
  <c r="S228" i="19"/>
  <c r="E227" i="49" s="1"/>
  <c r="S229" i="19"/>
  <c r="E228" i="49" s="1"/>
  <c r="S230" i="19"/>
  <c r="E229" i="49" s="1"/>
  <c r="S231" i="19"/>
  <c r="E230" i="49" s="1"/>
  <c r="S232" i="19"/>
  <c r="E231" i="49" s="1"/>
  <c r="S233" i="19"/>
  <c r="E232" i="49" s="1"/>
  <c r="S234" i="19"/>
  <c r="E233" i="49" s="1"/>
  <c r="S235" i="19"/>
  <c r="E234" i="49" s="1"/>
  <c r="S236" i="19"/>
  <c r="E235" i="49" s="1"/>
  <c r="S237" i="19"/>
  <c r="E236" i="49" s="1"/>
  <c r="S238" i="19"/>
  <c r="E237" i="49" s="1"/>
  <c r="S239" i="19"/>
  <c r="E238" i="49" s="1"/>
  <c r="S240" i="19"/>
  <c r="E239" i="49" s="1"/>
  <c r="S241" i="19"/>
  <c r="E240" i="49" s="1"/>
  <c r="S242" i="19"/>
  <c r="E241" i="49" s="1"/>
  <c r="S243" i="19"/>
  <c r="E242" i="49" s="1"/>
  <c r="S244" i="19"/>
  <c r="E243" i="49" s="1"/>
  <c r="S245" i="19"/>
  <c r="E244" i="49" s="1"/>
  <c r="S246" i="19"/>
  <c r="E245" i="49" s="1"/>
  <c r="S247" i="19"/>
  <c r="E246" i="49" s="1"/>
  <c r="S248" i="19"/>
  <c r="E247" i="49" s="1"/>
  <c r="S249" i="19"/>
  <c r="E248" i="49" s="1"/>
  <c r="S250" i="19"/>
  <c r="E249" i="49" s="1"/>
  <c r="S251" i="19"/>
  <c r="E250" i="49" s="1"/>
  <c r="S252" i="19"/>
  <c r="E251" i="49" s="1"/>
  <c r="S253" i="19"/>
  <c r="E252" i="49" s="1"/>
  <c r="S254" i="19"/>
  <c r="E253" i="49" s="1"/>
  <c r="S255" i="19"/>
  <c r="E254" i="49" s="1"/>
  <c r="S256" i="19"/>
  <c r="E255" i="49" s="1"/>
  <c r="S257" i="19"/>
  <c r="E256" i="49" s="1"/>
  <c r="S258" i="19"/>
  <c r="E257" i="49" s="1"/>
  <c r="S259" i="19"/>
  <c r="E258" i="49" s="1"/>
  <c r="S260" i="19"/>
  <c r="E259" i="49" s="1"/>
  <c r="S261" i="19"/>
  <c r="E260" i="49" s="1"/>
  <c r="S262" i="19"/>
  <c r="E261" i="49" s="1"/>
  <c r="S263" i="19"/>
  <c r="E262" i="49" s="1"/>
  <c r="S264" i="19"/>
  <c r="E263" i="49" s="1"/>
  <c r="S265" i="19"/>
  <c r="E264" i="49" s="1"/>
  <c r="S266" i="19"/>
  <c r="E265" i="49" s="1"/>
  <c r="S267" i="19"/>
  <c r="E266" i="49" s="1"/>
  <c r="S268" i="19"/>
  <c r="E267" i="49" s="1"/>
  <c r="S269" i="19"/>
  <c r="E268" i="49" s="1"/>
  <c r="S270" i="19"/>
  <c r="E269" i="49" s="1"/>
  <c r="S271" i="19"/>
  <c r="E270" i="49" s="1"/>
  <c r="S272" i="19"/>
  <c r="E271" i="49" s="1"/>
  <c r="S273" i="19"/>
  <c r="E272" i="49" s="1"/>
  <c r="S274" i="19"/>
  <c r="E273" i="49" s="1"/>
  <c r="S275" i="19"/>
  <c r="E274" i="49" s="1"/>
  <c r="S276" i="19"/>
  <c r="E275" i="49" s="1"/>
  <c r="S277" i="19"/>
  <c r="E276" i="49" s="1"/>
  <c r="S278" i="19"/>
  <c r="E277" i="49" s="1"/>
  <c r="S279" i="19"/>
  <c r="E278" i="49" s="1"/>
  <c r="S280" i="19"/>
  <c r="E279" i="49" s="1"/>
  <c r="S281" i="19"/>
  <c r="E280" i="49" s="1"/>
  <c r="S282" i="19"/>
  <c r="E281" i="49" s="1"/>
  <c r="S283" i="19"/>
  <c r="E282" i="49" s="1"/>
  <c r="S284" i="19"/>
  <c r="E283" i="49" s="1"/>
  <c r="S285" i="19"/>
  <c r="E284" i="49" s="1"/>
  <c r="S286" i="19"/>
  <c r="E285" i="49" s="1"/>
  <c r="S287" i="19"/>
  <c r="E286" i="49" s="1"/>
  <c r="S288" i="19"/>
  <c r="E287" i="49" s="1"/>
  <c r="S289" i="19"/>
  <c r="E288" i="49" s="1"/>
  <c r="S290" i="19"/>
  <c r="E289" i="49" s="1"/>
  <c r="S291" i="19"/>
  <c r="E290" i="49" s="1"/>
  <c r="S292" i="19"/>
  <c r="E291" i="49" s="1"/>
  <c r="S293" i="19"/>
  <c r="E292" i="49" s="1"/>
  <c r="S294" i="19"/>
  <c r="E293" i="49" s="1"/>
  <c r="S295" i="19"/>
  <c r="E294" i="49" s="1"/>
  <c r="S296" i="19"/>
  <c r="E295" i="49" s="1"/>
  <c r="S297" i="19"/>
  <c r="E296" i="49" s="1"/>
  <c r="S298" i="19"/>
  <c r="E297" i="49" s="1"/>
  <c r="S299" i="19"/>
  <c r="E298" i="49" s="1"/>
  <c r="S300" i="19"/>
  <c r="E299" i="49" s="1"/>
  <c r="S301" i="19"/>
  <c r="E300" i="49" s="1"/>
  <c r="S302" i="19"/>
  <c r="E301" i="49" s="1"/>
  <c r="S303" i="19"/>
  <c r="E302" i="49" s="1"/>
  <c r="S304" i="19"/>
  <c r="E303" i="49" s="1"/>
  <c r="S305" i="19"/>
  <c r="E304" i="49" s="1"/>
  <c r="S306" i="19"/>
  <c r="E305" i="49" s="1"/>
  <c r="S307" i="19"/>
  <c r="E306" i="49" s="1"/>
  <c r="S308" i="19"/>
  <c r="E307" i="49" s="1"/>
  <c r="S309" i="19"/>
  <c r="E308" i="49" s="1"/>
  <c r="S310" i="19"/>
  <c r="E309" i="49" s="1"/>
  <c r="S311" i="19"/>
  <c r="E310" i="49" s="1"/>
  <c r="S312" i="19"/>
  <c r="E311" i="49" s="1"/>
  <c r="S313" i="19"/>
  <c r="E312" i="49" s="1"/>
  <c r="S314" i="19"/>
  <c r="E313" i="49" s="1"/>
  <c r="S315" i="19"/>
  <c r="E314" i="49" s="1"/>
  <c r="S7" i="19"/>
  <c r="C78" i="19" l="1"/>
  <c r="T316" i="42" l="1"/>
  <c r="U316" i="42"/>
  <c r="AB24" i="19"/>
  <c r="AC24" i="19"/>
  <c r="AD24" i="19"/>
  <c r="AE24" i="19"/>
  <c r="AF24" i="19"/>
  <c r="AH24" i="19"/>
  <c r="AI24" i="19"/>
  <c r="AJ24" i="19"/>
  <c r="AK24" i="19"/>
  <c r="AL24" i="19"/>
  <c r="AM24" i="19"/>
  <c r="AN24" i="19"/>
  <c r="AO24" i="19"/>
  <c r="AP24" i="19"/>
  <c r="AQ24" i="19"/>
  <c r="AB25" i="19"/>
  <c r="AC25" i="19"/>
  <c r="AD25" i="19"/>
  <c r="AE25" i="19"/>
  <c r="AF25" i="19"/>
  <c r="AH25" i="19"/>
  <c r="AI25" i="19"/>
  <c r="AJ25" i="19"/>
  <c r="AK25" i="19"/>
  <c r="AL25" i="19"/>
  <c r="AM25" i="19"/>
  <c r="AN25" i="19"/>
  <c r="AO25" i="19"/>
  <c r="AP25" i="19"/>
  <c r="AQ25" i="19"/>
  <c r="AB26" i="19"/>
  <c r="AC26" i="19"/>
  <c r="AD26" i="19"/>
  <c r="AE26" i="19"/>
  <c r="AF26" i="19"/>
  <c r="AH26" i="19"/>
  <c r="AI26" i="19"/>
  <c r="AJ26" i="19"/>
  <c r="AK26" i="19"/>
  <c r="AL26" i="19"/>
  <c r="AM26" i="19"/>
  <c r="AN26" i="19"/>
  <c r="AO26" i="19"/>
  <c r="AP26" i="19"/>
  <c r="AQ26" i="19"/>
  <c r="AB27" i="19"/>
  <c r="AC27" i="19"/>
  <c r="AD27" i="19"/>
  <c r="AE27" i="19"/>
  <c r="AF27" i="19"/>
  <c r="AH27" i="19"/>
  <c r="AI27" i="19"/>
  <c r="AJ27" i="19"/>
  <c r="AK27" i="19"/>
  <c r="AL27" i="19"/>
  <c r="AM27" i="19"/>
  <c r="AN27" i="19"/>
  <c r="AO27" i="19"/>
  <c r="AP27" i="19"/>
  <c r="AQ27" i="19"/>
  <c r="AB28" i="19"/>
  <c r="AC28" i="19"/>
  <c r="AD28" i="19"/>
  <c r="AE28" i="19"/>
  <c r="AF28" i="19"/>
  <c r="AH28" i="19"/>
  <c r="AI28" i="19"/>
  <c r="AJ28" i="19"/>
  <c r="AK28" i="19"/>
  <c r="AL28" i="19"/>
  <c r="AM28" i="19"/>
  <c r="AN28" i="19"/>
  <c r="AO28" i="19"/>
  <c r="AP28" i="19"/>
  <c r="AQ28" i="19"/>
  <c r="AB29" i="19"/>
  <c r="AC29" i="19"/>
  <c r="AD29" i="19"/>
  <c r="AE29" i="19"/>
  <c r="AF29" i="19"/>
  <c r="AH29" i="19"/>
  <c r="AI29" i="19"/>
  <c r="AJ29" i="19"/>
  <c r="AK29" i="19"/>
  <c r="AL29" i="19"/>
  <c r="AM29" i="19"/>
  <c r="AN29" i="19"/>
  <c r="AO29" i="19"/>
  <c r="AP29" i="19"/>
  <c r="AQ29" i="19"/>
  <c r="AB30" i="19"/>
  <c r="AC30" i="19"/>
  <c r="AD30" i="19"/>
  <c r="AE30" i="19"/>
  <c r="AF30" i="19"/>
  <c r="AH30" i="19"/>
  <c r="AI30" i="19"/>
  <c r="AJ30" i="19"/>
  <c r="AK30" i="19"/>
  <c r="AL30" i="19"/>
  <c r="AM30" i="19"/>
  <c r="AN30" i="19"/>
  <c r="AO30" i="19"/>
  <c r="AP30" i="19"/>
  <c r="AQ30" i="19"/>
  <c r="AB31" i="19"/>
  <c r="AC31" i="19"/>
  <c r="AD31" i="19"/>
  <c r="AE31" i="19"/>
  <c r="AF31" i="19"/>
  <c r="AH31" i="19"/>
  <c r="AI31" i="19"/>
  <c r="AJ31" i="19"/>
  <c r="AK31" i="19"/>
  <c r="AL31" i="19"/>
  <c r="AM31" i="19"/>
  <c r="AN31" i="19"/>
  <c r="AO31" i="19"/>
  <c r="AP31" i="19"/>
  <c r="AQ31" i="19"/>
  <c r="AB32" i="19"/>
  <c r="AC32" i="19"/>
  <c r="AD32" i="19"/>
  <c r="AE32" i="19"/>
  <c r="AF32" i="19"/>
  <c r="AH32" i="19"/>
  <c r="AI32" i="19"/>
  <c r="AJ32" i="19"/>
  <c r="AK32" i="19"/>
  <c r="AL32" i="19"/>
  <c r="AM32" i="19"/>
  <c r="AN32" i="19"/>
  <c r="AO32" i="19"/>
  <c r="AP32" i="19"/>
  <c r="AQ32" i="19"/>
  <c r="AB33" i="19"/>
  <c r="AC33" i="19"/>
  <c r="AD33" i="19"/>
  <c r="AE33" i="19"/>
  <c r="AF33" i="19"/>
  <c r="AH33" i="19"/>
  <c r="AI33" i="19"/>
  <c r="AJ33" i="19"/>
  <c r="AK33" i="19"/>
  <c r="AL33" i="19"/>
  <c r="AM33" i="19"/>
  <c r="AN33" i="19"/>
  <c r="AO33" i="19"/>
  <c r="AP33" i="19"/>
  <c r="AQ33" i="19"/>
  <c r="AB34" i="19"/>
  <c r="AC34" i="19"/>
  <c r="AD34" i="19"/>
  <c r="AE34" i="19"/>
  <c r="AF34" i="19"/>
  <c r="AH34" i="19"/>
  <c r="AI34" i="19"/>
  <c r="AJ34" i="19"/>
  <c r="AK34" i="19"/>
  <c r="AL34" i="19"/>
  <c r="AM34" i="19"/>
  <c r="AN34" i="19"/>
  <c r="AO34" i="19"/>
  <c r="AP34" i="19"/>
  <c r="AQ34" i="19"/>
  <c r="AB35" i="19"/>
  <c r="AC35" i="19"/>
  <c r="AD35" i="19"/>
  <c r="AE35" i="19"/>
  <c r="AF35" i="19"/>
  <c r="AH35" i="19"/>
  <c r="AI35" i="19"/>
  <c r="AJ35" i="19"/>
  <c r="AK35" i="19"/>
  <c r="AL35" i="19"/>
  <c r="AM35" i="19"/>
  <c r="AN35" i="19"/>
  <c r="AO35" i="19"/>
  <c r="AP35" i="19"/>
  <c r="AQ35" i="19"/>
  <c r="AB36" i="19"/>
  <c r="AC36" i="19"/>
  <c r="AD36" i="19"/>
  <c r="AE36" i="19"/>
  <c r="AF36" i="19"/>
  <c r="AH36" i="19"/>
  <c r="AI36" i="19"/>
  <c r="AJ36" i="19"/>
  <c r="AK36" i="19"/>
  <c r="AL36" i="19"/>
  <c r="AM36" i="19"/>
  <c r="AN36" i="19"/>
  <c r="AO36" i="19"/>
  <c r="AP36" i="19"/>
  <c r="AQ36" i="19"/>
  <c r="AB37" i="19"/>
  <c r="AC37" i="19"/>
  <c r="AD37" i="19"/>
  <c r="AE37" i="19"/>
  <c r="AF37" i="19"/>
  <c r="AH37" i="19"/>
  <c r="AI37" i="19"/>
  <c r="AJ37" i="19"/>
  <c r="AK37" i="19"/>
  <c r="AL37" i="19"/>
  <c r="AM37" i="19"/>
  <c r="AN37" i="19"/>
  <c r="AO37" i="19"/>
  <c r="AP37" i="19"/>
  <c r="AQ37" i="19"/>
  <c r="AB38" i="19"/>
  <c r="AC38" i="19"/>
  <c r="AD38" i="19"/>
  <c r="AE38" i="19"/>
  <c r="AF38" i="19"/>
  <c r="AH38" i="19"/>
  <c r="AI38" i="19"/>
  <c r="AJ38" i="19"/>
  <c r="AK38" i="19"/>
  <c r="AL38" i="19"/>
  <c r="AM38" i="19"/>
  <c r="AN38" i="19"/>
  <c r="AO38" i="19"/>
  <c r="AP38" i="19"/>
  <c r="AQ38" i="19"/>
  <c r="AB39" i="19"/>
  <c r="AC39" i="19"/>
  <c r="AD39" i="19"/>
  <c r="AE39" i="19"/>
  <c r="AF39" i="19"/>
  <c r="AH39" i="19"/>
  <c r="AI39" i="19"/>
  <c r="AJ39" i="19"/>
  <c r="AK39" i="19"/>
  <c r="AL39" i="19"/>
  <c r="AM39" i="19"/>
  <c r="AN39" i="19"/>
  <c r="AO39" i="19"/>
  <c r="AP39" i="19"/>
  <c r="AQ39" i="19"/>
  <c r="AB40" i="19"/>
  <c r="AC40" i="19"/>
  <c r="AD40" i="19"/>
  <c r="AE40" i="19"/>
  <c r="AF40" i="19"/>
  <c r="AH40" i="19"/>
  <c r="AI40" i="19"/>
  <c r="AJ40" i="19"/>
  <c r="AK40" i="19"/>
  <c r="AL40" i="19"/>
  <c r="AM40" i="19"/>
  <c r="AN40" i="19"/>
  <c r="AO40" i="19"/>
  <c r="AP40" i="19"/>
  <c r="AQ40" i="19"/>
  <c r="AB41" i="19"/>
  <c r="AC41" i="19"/>
  <c r="AD41" i="19"/>
  <c r="AE41" i="19"/>
  <c r="AF41" i="19"/>
  <c r="AH41" i="19"/>
  <c r="AI41" i="19"/>
  <c r="AJ41" i="19"/>
  <c r="AK41" i="19"/>
  <c r="AL41" i="19"/>
  <c r="AM41" i="19"/>
  <c r="AN41" i="19"/>
  <c r="AO41" i="19"/>
  <c r="AP41" i="19"/>
  <c r="AQ41" i="19"/>
  <c r="AB42" i="19"/>
  <c r="AC42" i="19"/>
  <c r="AD42" i="19"/>
  <c r="AE42" i="19"/>
  <c r="AF42" i="19"/>
  <c r="AH42" i="19"/>
  <c r="AI42" i="19"/>
  <c r="AJ42" i="19"/>
  <c r="AK42" i="19"/>
  <c r="AL42" i="19"/>
  <c r="AM42" i="19"/>
  <c r="AN42" i="19"/>
  <c r="AO42" i="19"/>
  <c r="AP42" i="19"/>
  <c r="AQ42" i="19"/>
  <c r="AB43" i="19"/>
  <c r="AC43" i="19"/>
  <c r="AD43" i="19"/>
  <c r="AE43" i="19"/>
  <c r="AF43" i="19"/>
  <c r="AH43" i="19"/>
  <c r="AI43" i="19"/>
  <c r="AJ43" i="19"/>
  <c r="AK43" i="19"/>
  <c r="AL43" i="19"/>
  <c r="AM43" i="19"/>
  <c r="AN43" i="19"/>
  <c r="AO43" i="19"/>
  <c r="AP43" i="19"/>
  <c r="AQ43" i="19"/>
  <c r="AB44" i="19"/>
  <c r="AC44" i="19"/>
  <c r="AD44" i="19"/>
  <c r="AE44" i="19"/>
  <c r="AF44" i="19"/>
  <c r="AH44" i="19"/>
  <c r="AI44" i="19"/>
  <c r="AJ44" i="19"/>
  <c r="AK44" i="19"/>
  <c r="AL44" i="19"/>
  <c r="AM44" i="19"/>
  <c r="AN44" i="19"/>
  <c r="AO44" i="19"/>
  <c r="AP44" i="19"/>
  <c r="AQ44" i="19"/>
  <c r="AB45" i="19"/>
  <c r="AC45" i="19"/>
  <c r="AD45" i="19"/>
  <c r="AE45" i="19"/>
  <c r="AF45" i="19"/>
  <c r="AH45" i="19"/>
  <c r="AI45" i="19"/>
  <c r="AJ45" i="19"/>
  <c r="AK45" i="19"/>
  <c r="AL45" i="19"/>
  <c r="AM45" i="19"/>
  <c r="AN45" i="19"/>
  <c r="AO45" i="19"/>
  <c r="AP45" i="19"/>
  <c r="AQ45" i="19"/>
  <c r="AB46" i="19"/>
  <c r="AC46" i="19"/>
  <c r="AD46" i="19"/>
  <c r="AE46" i="19"/>
  <c r="AF46" i="19"/>
  <c r="AH46" i="19"/>
  <c r="AI46" i="19"/>
  <c r="AJ46" i="19"/>
  <c r="AK46" i="19"/>
  <c r="AL46" i="19"/>
  <c r="AM46" i="19"/>
  <c r="AN46" i="19"/>
  <c r="AO46" i="19"/>
  <c r="AP46" i="19"/>
  <c r="AQ46" i="19"/>
  <c r="AB47" i="19"/>
  <c r="AC47" i="19"/>
  <c r="AD47" i="19"/>
  <c r="AE47" i="19"/>
  <c r="AF47" i="19"/>
  <c r="AH47" i="19"/>
  <c r="AI47" i="19"/>
  <c r="AJ47" i="19"/>
  <c r="AK47" i="19"/>
  <c r="AL47" i="19"/>
  <c r="AM47" i="19"/>
  <c r="AN47" i="19"/>
  <c r="AO47" i="19"/>
  <c r="AP47" i="19"/>
  <c r="AQ47" i="19"/>
  <c r="AB48" i="19"/>
  <c r="AC48" i="19"/>
  <c r="AD48" i="19"/>
  <c r="AE48" i="19"/>
  <c r="AF48" i="19"/>
  <c r="AH48" i="19"/>
  <c r="AI48" i="19"/>
  <c r="AJ48" i="19"/>
  <c r="AK48" i="19"/>
  <c r="AL48" i="19"/>
  <c r="AM48" i="19"/>
  <c r="AN48" i="19"/>
  <c r="AO48" i="19"/>
  <c r="AP48" i="19"/>
  <c r="AQ48" i="19"/>
  <c r="AB49" i="19"/>
  <c r="AC49" i="19"/>
  <c r="AD49" i="19"/>
  <c r="AE49" i="19"/>
  <c r="AF49" i="19"/>
  <c r="AH49" i="19"/>
  <c r="AI49" i="19"/>
  <c r="AJ49" i="19"/>
  <c r="AK49" i="19"/>
  <c r="AL49" i="19"/>
  <c r="AM49" i="19"/>
  <c r="AN49" i="19"/>
  <c r="AO49" i="19"/>
  <c r="AP49" i="19"/>
  <c r="AQ49" i="19"/>
  <c r="AB50" i="19"/>
  <c r="AC50" i="19"/>
  <c r="AD50" i="19"/>
  <c r="AE50" i="19"/>
  <c r="AF50" i="19"/>
  <c r="AH50" i="19"/>
  <c r="AI50" i="19"/>
  <c r="AJ50" i="19"/>
  <c r="AK50" i="19"/>
  <c r="AL50" i="19"/>
  <c r="AM50" i="19"/>
  <c r="AN50" i="19"/>
  <c r="AO50" i="19"/>
  <c r="AP50" i="19"/>
  <c r="AQ50" i="19"/>
  <c r="AB51" i="19"/>
  <c r="AC51" i="19"/>
  <c r="AD51" i="19"/>
  <c r="AE51" i="19"/>
  <c r="AF51" i="19"/>
  <c r="AH51" i="19"/>
  <c r="AI51" i="19"/>
  <c r="AJ51" i="19"/>
  <c r="AK51" i="19"/>
  <c r="AL51" i="19"/>
  <c r="AM51" i="19"/>
  <c r="AN51" i="19"/>
  <c r="AO51" i="19"/>
  <c r="AP51" i="19"/>
  <c r="AQ51" i="19"/>
  <c r="AB52" i="19"/>
  <c r="AC52" i="19"/>
  <c r="AD52" i="19"/>
  <c r="AE52" i="19"/>
  <c r="AF52" i="19"/>
  <c r="AH52" i="19"/>
  <c r="AI52" i="19"/>
  <c r="AJ52" i="19"/>
  <c r="AK52" i="19"/>
  <c r="AL52" i="19"/>
  <c r="AM52" i="19"/>
  <c r="AN52" i="19"/>
  <c r="AO52" i="19"/>
  <c r="AP52" i="19"/>
  <c r="AQ52" i="19"/>
  <c r="AB53" i="19"/>
  <c r="AC53" i="19"/>
  <c r="AD53" i="19"/>
  <c r="AE53" i="19"/>
  <c r="AF53" i="19"/>
  <c r="AH53" i="19"/>
  <c r="AI53" i="19"/>
  <c r="AJ53" i="19"/>
  <c r="AK53" i="19"/>
  <c r="AL53" i="19"/>
  <c r="AM53" i="19"/>
  <c r="AN53" i="19"/>
  <c r="AO53" i="19"/>
  <c r="AP53" i="19"/>
  <c r="AQ53" i="19"/>
  <c r="AB54" i="19"/>
  <c r="AC54" i="19"/>
  <c r="AD54" i="19"/>
  <c r="AE54" i="19"/>
  <c r="AF54" i="19"/>
  <c r="AH54" i="19"/>
  <c r="AI54" i="19"/>
  <c r="AJ54" i="19"/>
  <c r="AK54" i="19"/>
  <c r="AL54" i="19"/>
  <c r="AM54" i="19"/>
  <c r="AN54" i="19"/>
  <c r="AO54" i="19"/>
  <c r="AP54" i="19"/>
  <c r="AQ54" i="19"/>
  <c r="AB55" i="19"/>
  <c r="AC55" i="19"/>
  <c r="AD55" i="19"/>
  <c r="AE55" i="19"/>
  <c r="AF55" i="19"/>
  <c r="AH55" i="19"/>
  <c r="AI55" i="19"/>
  <c r="AJ55" i="19"/>
  <c r="AK55" i="19"/>
  <c r="AL55" i="19"/>
  <c r="AM55" i="19"/>
  <c r="AN55" i="19"/>
  <c r="AO55" i="19"/>
  <c r="AP55" i="19"/>
  <c r="AQ55" i="19"/>
  <c r="AB56" i="19"/>
  <c r="AC56" i="19"/>
  <c r="AD56" i="19"/>
  <c r="AE56" i="19"/>
  <c r="AF56" i="19"/>
  <c r="AH56" i="19"/>
  <c r="AI56" i="19"/>
  <c r="AJ56" i="19"/>
  <c r="AK56" i="19"/>
  <c r="AL56" i="19"/>
  <c r="AM56" i="19"/>
  <c r="AN56" i="19"/>
  <c r="AO56" i="19"/>
  <c r="AP56" i="19"/>
  <c r="AQ56" i="19"/>
  <c r="AB57" i="19"/>
  <c r="AC57" i="19"/>
  <c r="AD57" i="19"/>
  <c r="AE57" i="19"/>
  <c r="AF57" i="19"/>
  <c r="AH57" i="19"/>
  <c r="AI57" i="19"/>
  <c r="AJ57" i="19"/>
  <c r="AK57" i="19"/>
  <c r="AL57" i="19"/>
  <c r="AM57" i="19"/>
  <c r="AN57" i="19"/>
  <c r="AO57" i="19"/>
  <c r="AP57" i="19"/>
  <c r="AQ57" i="19"/>
  <c r="AB58" i="19"/>
  <c r="AC58" i="19"/>
  <c r="AD58" i="19"/>
  <c r="AE58" i="19"/>
  <c r="AF58" i="19"/>
  <c r="AH58" i="19"/>
  <c r="AI58" i="19"/>
  <c r="AJ58" i="19"/>
  <c r="AK58" i="19"/>
  <c r="AL58" i="19"/>
  <c r="AM58" i="19"/>
  <c r="AN58" i="19"/>
  <c r="AO58" i="19"/>
  <c r="AP58" i="19"/>
  <c r="AQ58" i="19"/>
  <c r="AB59" i="19"/>
  <c r="AC59" i="19"/>
  <c r="AD59" i="19"/>
  <c r="AE59" i="19"/>
  <c r="AF59" i="19"/>
  <c r="AH59" i="19"/>
  <c r="AI59" i="19"/>
  <c r="AJ59" i="19"/>
  <c r="AK59" i="19"/>
  <c r="AL59" i="19"/>
  <c r="AM59" i="19"/>
  <c r="AN59" i="19"/>
  <c r="AO59" i="19"/>
  <c r="AP59" i="19"/>
  <c r="AQ59" i="19"/>
  <c r="AB60" i="19"/>
  <c r="AC60" i="19"/>
  <c r="AD60" i="19"/>
  <c r="AE60" i="19"/>
  <c r="AF60" i="19"/>
  <c r="AH60" i="19"/>
  <c r="AI60" i="19"/>
  <c r="AJ60" i="19"/>
  <c r="AK60" i="19"/>
  <c r="AL60" i="19"/>
  <c r="AM60" i="19"/>
  <c r="AN60" i="19"/>
  <c r="AO60" i="19"/>
  <c r="AP60" i="19"/>
  <c r="AQ60" i="19"/>
  <c r="AB61" i="19"/>
  <c r="AC61" i="19"/>
  <c r="AD61" i="19"/>
  <c r="AE61" i="19"/>
  <c r="AF61" i="19"/>
  <c r="AH61" i="19"/>
  <c r="AI61" i="19"/>
  <c r="AJ61" i="19"/>
  <c r="AK61" i="19"/>
  <c r="AL61" i="19"/>
  <c r="AM61" i="19"/>
  <c r="AN61" i="19"/>
  <c r="AO61" i="19"/>
  <c r="AP61" i="19"/>
  <c r="AQ61" i="19"/>
  <c r="AB62" i="19"/>
  <c r="AC62" i="19"/>
  <c r="AD62" i="19"/>
  <c r="AE62" i="19"/>
  <c r="AF62" i="19"/>
  <c r="AH62" i="19"/>
  <c r="AI62" i="19"/>
  <c r="AJ62" i="19"/>
  <c r="AK62" i="19"/>
  <c r="AL62" i="19"/>
  <c r="AM62" i="19"/>
  <c r="AN62" i="19"/>
  <c r="AO62" i="19"/>
  <c r="AP62" i="19"/>
  <c r="AQ62" i="19"/>
  <c r="AB63" i="19"/>
  <c r="AC63" i="19"/>
  <c r="AD63" i="19"/>
  <c r="AE63" i="19"/>
  <c r="AF63" i="19"/>
  <c r="AH63" i="19"/>
  <c r="AI63" i="19"/>
  <c r="AJ63" i="19"/>
  <c r="AK63" i="19"/>
  <c r="AL63" i="19"/>
  <c r="AM63" i="19"/>
  <c r="AN63" i="19"/>
  <c r="AO63" i="19"/>
  <c r="AP63" i="19"/>
  <c r="AQ63" i="19"/>
  <c r="AB64" i="19"/>
  <c r="AC64" i="19"/>
  <c r="AD64" i="19"/>
  <c r="AE64" i="19"/>
  <c r="AF64" i="19"/>
  <c r="AH64" i="19"/>
  <c r="AI64" i="19"/>
  <c r="AJ64" i="19"/>
  <c r="AK64" i="19"/>
  <c r="AL64" i="19"/>
  <c r="AM64" i="19"/>
  <c r="AN64" i="19"/>
  <c r="AO64" i="19"/>
  <c r="AP64" i="19"/>
  <c r="AQ64" i="19"/>
  <c r="AB65" i="19"/>
  <c r="AC65" i="19"/>
  <c r="AD65" i="19"/>
  <c r="AE65" i="19"/>
  <c r="AF65" i="19"/>
  <c r="AH65" i="19"/>
  <c r="AI65" i="19"/>
  <c r="AJ65" i="19"/>
  <c r="AK65" i="19"/>
  <c r="AL65" i="19"/>
  <c r="AM65" i="19"/>
  <c r="AN65" i="19"/>
  <c r="AO65" i="19"/>
  <c r="AP65" i="19"/>
  <c r="AQ65" i="19"/>
  <c r="AB66" i="19"/>
  <c r="AC66" i="19"/>
  <c r="AD66" i="19"/>
  <c r="AE66" i="19"/>
  <c r="AF66" i="19"/>
  <c r="AH66" i="19"/>
  <c r="AI66" i="19"/>
  <c r="AJ66" i="19"/>
  <c r="AK66" i="19"/>
  <c r="AL66" i="19"/>
  <c r="AM66" i="19"/>
  <c r="AN66" i="19"/>
  <c r="AO66" i="19"/>
  <c r="AP66" i="19"/>
  <c r="AQ66" i="19"/>
  <c r="AB67" i="19"/>
  <c r="AC67" i="19"/>
  <c r="AD67" i="19"/>
  <c r="AE67" i="19"/>
  <c r="AF67" i="19"/>
  <c r="AH67" i="19"/>
  <c r="AI67" i="19"/>
  <c r="AJ67" i="19"/>
  <c r="AK67" i="19"/>
  <c r="AL67" i="19"/>
  <c r="AM67" i="19"/>
  <c r="AN67" i="19"/>
  <c r="AO67" i="19"/>
  <c r="AP67" i="19"/>
  <c r="AQ67" i="19"/>
  <c r="AB68" i="19"/>
  <c r="AC68" i="19"/>
  <c r="AD68" i="19"/>
  <c r="AE68" i="19"/>
  <c r="AF68" i="19"/>
  <c r="AH68" i="19"/>
  <c r="AI68" i="19"/>
  <c r="AJ68" i="19"/>
  <c r="AK68" i="19"/>
  <c r="AL68" i="19"/>
  <c r="AM68" i="19"/>
  <c r="AN68" i="19"/>
  <c r="AO68" i="19"/>
  <c r="AP68" i="19"/>
  <c r="AQ68" i="19"/>
  <c r="AB69" i="19"/>
  <c r="AC69" i="19"/>
  <c r="AD69" i="19"/>
  <c r="AE69" i="19"/>
  <c r="AF69" i="19"/>
  <c r="AH69" i="19"/>
  <c r="AI69" i="19"/>
  <c r="AJ69" i="19"/>
  <c r="AK69" i="19"/>
  <c r="AL69" i="19"/>
  <c r="AM69" i="19"/>
  <c r="AN69" i="19"/>
  <c r="AO69" i="19"/>
  <c r="AP69" i="19"/>
  <c r="AQ69" i="19"/>
  <c r="AB70" i="19"/>
  <c r="AC70" i="19"/>
  <c r="AD70" i="19"/>
  <c r="AE70" i="19"/>
  <c r="AF70" i="19"/>
  <c r="AH70" i="19"/>
  <c r="AI70" i="19"/>
  <c r="AJ70" i="19"/>
  <c r="AK70" i="19"/>
  <c r="AL70" i="19"/>
  <c r="AM70" i="19"/>
  <c r="AN70" i="19"/>
  <c r="AO70" i="19"/>
  <c r="AP70" i="19"/>
  <c r="AQ70" i="19"/>
  <c r="AB71" i="19"/>
  <c r="AC71" i="19"/>
  <c r="AD71" i="19"/>
  <c r="AE71" i="19"/>
  <c r="AF71" i="19"/>
  <c r="AH71" i="19"/>
  <c r="AI71" i="19"/>
  <c r="AJ71" i="19"/>
  <c r="AK71" i="19"/>
  <c r="AL71" i="19"/>
  <c r="AM71" i="19"/>
  <c r="AN71" i="19"/>
  <c r="AO71" i="19"/>
  <c r="AP71" i="19"/>
  <c r="AQ71" i="19"/>
  <c r="AB72" i="19"/>
  <c r="AC72" i="19"/>
  <c r="AD72" i="19"/>
  <c r="AE72" i="19"/>
  <c r="AF72" i="19"/>
  <c r="AH72" i="19"/>
  <c r="AI72" i="19"/>
  <c r="AJ72" i="19"/>
  <c r="AK72" i="19"/>
  <c r="AL72" i="19"/>
  <c r="AM72" i="19"/>
  <c r="AN72" i="19"/>
  <c r="AO72" i="19"/>
  <c r="AP72" i="19"/>
  <c r="AQ72" i="19"/>
  <c r="AB73" i="19"/>
  <c r="AC73" i="19"/>
  <c r="AD73" i="19"/>
  <c r="AE73" i="19"/>
  <c r="AF73" i="19"/>
  <c r="AH73" i="19"/>
  <c r="AI73" i="19"/>
  <c r="AJ73" i="19"/>
  <c r="AK73" i="19"/>
  <c r="AL73" i="19"/>
  <c r="AM73" i="19"/>
  <c r="AN73" i="19"/>
  <c r="AO73" i="19"/>
  <c r="AP73" i="19"/>
  <c r="AQ73" i="19"/>
  <c r="AB74" i="19"/>
  <c r="AC74" i="19"/>
  <c r="AD74" i="19"/>
  <c r="AE74" i="19"/>
  <c r="AF74" i="19"/>
  <c r="AH74" i="19"/>
  <c r="AI74" i="19"/>
  <c r="AJ74" i="19"/>
  <c r="AK74" i="19"/>
  <c r="AL74" i="19"/>
  <c r="AM74" i="19"/>
  <c r="AN74" i="19"/>
  <c r="AO74" i="19"/>
  <c r="AP74" i="19"/>
  <c r="AQ74" i="19"/>
  <c r="AB75" i="19"/>
  <c r="AC75" i="19"/>
  <c r="AD75" i="19"/>
  <c r="AE75" i="19"/>
  <c r="AF75" i="19"/>
  <c r="AH75" i="19"/>
  <c r="AI75" i="19"/>
  <c r="AJ75" i="19"/>
  <c r="AK75" i="19"/>
  <c r="AL75" i="19"/>
  <c r="AM75" i="19"/>
  <c r="AN75" i="19"/>
  <c r="AO75" i="19"/>
  <c r="AP75" i="19"/>
  <c r="AQ75" i="19"/>
  <c r="AB76" i="19"/>
  <c r="AC76" i="19"/>
  <c r="AD76" i="19"/>
  <c r="AE76" i="19"/>
  <c r="AF76" i="19"/>
  <c r="AH76" i="19"/>
  <c r="AI76" i="19"/>
  <c r="AJ76" i="19"/>
  <c r="AK76" i="19"/>
  <c r="AL76" i="19"/>
  <c r="AM76" i="19"/>
  <c r="AN76" i="19"/>
  <c r="AO76" i="19"/>
  <c r="AP76" i="19"/>
  <c r="AQ76" i="19"/>
  <c r="AB77" i="19"/>
  <c r="AC77" i="19"/>
  <c r="AD77" i="19"/>
  <c r="AE77" i="19"/>
  <c r="AF77" i="19"/>
  <c r="AH77" i="19"/>
  <c r="AI77" i="19"/>
  <c r="AJ77" i="19"/>
  <c r="AK77" i="19"/>
  <c r="AL77" i="19"/>
  <c r="AM77" i="19"/>
  <c r="AN77" i="19"/>
  <c r="AO77" i="19"/>
  <c r="AP77" i="19"/>
  <c r="AQ77" i="19"/>
  <c r="AB78" i="19"/>
  <c r="AC78" i="19"/>
  <c r="AD78" i="19"/>
  <c r="AE78" i="19"/>
  <c r="AF78" i="19"/>
  <c r="AH78" i="19"/>
  <c r="AI78" i="19"/>
  <c r="AJ78" i="19"/>
  <c r="AK78" i="19"/>
  <c r="AL78" i="19"/>
  <c r="AM78" i="19"/>
  <c r="AN78" i="19"/>
  <c r="AO78" i="19"/>
  <c r="AP78" i="19"/>
  <c r="AQ78" i="19"/>
  <c r="AB79" i="19"/>
  <c r="AC79" i="19"/>
  <c r="AD79" i="19"/>
  <c r="AE79" i="19"/>
  <c r="AF79" i="19"/>
  <c r="AH79" i="19"/>
  <c r="AI79" i="19"/>
  <c r="AJ79" i="19"/>
  <c r="AK79" i="19"/>
  <c r="AL79" i="19"/>
  <c r="AM79" i="19"/>
  <c r="AN79" i="19"/>
  <c r="AO79" i="19"/>
  <c r="AP79" i="19"/>
  <c r="AQ79" i="19"/>
  <c r="AB80" i="19"/>
  <c r="AC80" i="19"/>
  <c r="AD80" i="19"/>
  <c r="AE80" i="19"/>
  <c r="AF80" i="19"/>
  <c r="AH80" i="19"/>
  <c r="AI80" i="19"/>
  <c r="AJ80" i="19"/>
  <c r="AK80" i="19"/>
  <c r="AL80" i="19"/>
  <c r="AM80" i="19"/>
  <c r="AN80" i="19"/>
  <c r="AO80" i="19"/>
  <c r="AP80" i="19"/>
  <c r="AQ80" i="19"/>
  <c r="AB81" i="19"/>
  <c r="AC81" i="19"/>
  <c r="AD81" i="19"/>
  <c r="AE81" i="19"/>
  <c r="AF81" i="19"/>
  <c r="AH81" i="19"/>
  <c r="AI81" i="19"/>
  <c r="AJ81" i="19"/>
  <c r="AK81" i="19"/>
  <c r="AL81" i="19"/>
  <c r="AM81" i="19"/>
  <c r="AN81" i="19"/>
  <c r="AO81" i="19"/>
  <c r="AP81" i="19"/>
  <c r="AQ81" i="19"/>
  <c r="AB82" i="19"/>
  <c r="AC82" i="19"/>
  <c r="AD82" i="19"/>
  <c r="AE82" i="19"/>
  <c r="AF82" i="19"/>
  <c r="AH82" i="19"/>
  <c r="AI82" i="19"/>
  <c r="AJ82" i="19"/>
  <c r="AK82" i="19"/>
  <c r="AL82" i="19"/>
  <c r="AM82" i="19"/>
  <c r="AN82" i="19"/>
  <c r="AO82" i="19"/>
  <c r="AP82" i="19"/>
  <c r="AQ82" i="19"/>
  <c r="AB83" i="19"/>
  <c r="AC83" i="19"/>
  <c r="AD83" i="19"/>
  <c r="AE83" i="19"/>
  <c r="AF83" i="19"/>
  <c r="AH83" i="19"/>
  <c r="AI83" i="19"/>
  <c r="AJ83" i="19"/>
  <c r="AK83" i="19"/>
  <c r="AL83" i="19"/>
  <c r="AM83" i="19"/>
  <c r="AN83" i="19"/>
  <c r="AO83" i="19"/>
  <c r="AP83" i="19"/>
  <c r="AQ83" i="19"/>
  <c r="AB84" i="19"/>
  <c r="AC84" i="19"/>
  <c r="AD84" i="19"/>
  <c r="AE84" i="19"/>
  <c r="AF84" i="19"/>
  <c r="AH84" i="19"/>
  <c r="AI84" i="19"/>
  <c r="AJ84" i="19"/>
  <c r="AK84" i="19"/>
  <c r="AL84" i="19"/>
  <c r="AM84" i="19"/>
  <c r="AN84" i="19"/>
  <c r="AO84" i="19"/>
  <c r="AP84" i="19"/>
  <c r="AQ84" i="19"/>
  <c r="AB85" i="19"/>
  <c r="AC85" i="19"/>
  <c r="AD85" i="19"/>
  <c r="AE85" i="19"/>
  <c r="AF85" i="19"/>
  <c r="AH85" i="19"/>
  <c r="AI85" i="19"/>
  <c r="AJ85" i="19"/>
  <c r="AK85" i="19"/>
  <c r="AL85" i="19"/>
  <c r="AM85" i="19"/>
  <c r="AN85" i="19"/>
  <c r="AO85" i="19"/>
  <c r="AP85" i="19"/>
  <c r="AQ85" i="19"/>
  <c r="AB86" i="19"/>
  <c r="AC86" i="19"/>
  <c r="AD86" i="19"/>
  <c r="AE86" i="19"/>
  <c r="AF86" i="19"/>
  <c r="AH86" i="19"/>
  <c r="AI86" i="19"/>
  <c r="AL86" i="19"/>
  <c r="AM86" i="19"/>
  <c r="AN86" i="19"/>
  <c r="AO86" i="19"/>
  <c r="AP86" i="19"/>
  <c r="AQ86" i="19"/>
  <c r="AB87" i="19"/>
  <c r="AC87" i="19"/>
  <c r="AD87" i="19"/>
  <c r="AE87" i="19"/>
  <c r="AF87" i="19"/>
  <c r="AH87" i="19"/>
  <c r="AI87" i="19"/>
  <c r="AJ87" i="19"/>
  <c r="AK87" i="19"/>
  <c r="AL87" i="19"/>
  <c r="AM87" i="19"/>
  <c r="AN87" i="19"/>
  <c r="AO87" i="19"/>
  <c r="AP87" i="19"/>
  <c r="AQ87" i="19"/>
  <c r="AB88" i="19"/>
  <c r="AC88" i="19"/>
  <c r="AD88" i="19"/>
  <c r="AE88" i="19"/>
  <c r="AF88" i="19"/>
  <c r="AH88" i="19"/>
  <c r="AI88" i="19"/>
  <c r="AJ88" i="19"/>
  <c r="AK88" i="19"/>
  <c r="AL88" i="19"/>
  <c r="AM88" i="19"/>
  <c r="AN88" i="19"/>
  <c r="AO88" i="19"/>
  <c r="AP88" i="19"/>
  <c r="AQ88" i="19"/>
  <c r="AB89" i="19"/>
  <c r="AC89" i="19"/>
  <c r="AD89" i="19"/>
  <c r="AE89" i="19"/>
  <c r="AF89" i="19"/>
  <c r="AH89" i="19"/>
  <c r="AI89" i="19"/>
  <c r="AJ89" i="19"/>
  <c r="AK89" i="19"/>
  <c r="AL89" i="19"/>
  <c r="AM89" i="19"/>
  <c r="AN89" i="19"/>
  <c r="AO89" i="19"/>
  <c r="AP89" i="19"/>
  <c r="AQ89" i="19"/>
  <c r="AB90" i="19"/>
  <c r="AC90" i="19"/>
  <c r="AD90" i="19"/>
  <c r="AE90" i="19"/>
  <c r="AF90" i="19"/>
  <c r="AH90" i="19"/>
  <c r="AI90" i="19"/>
  <c r="AJ90" i="19"/>
  <c r="AK90" i="19"/>
  <c r="AL90" i="19"/>
  <c r="AM90" i="19"/>
  <c r="AN90" i="19"/>
  <c r="AO90" i="19"/>
  <c r="AP90" i="19"/>
  <c r="AQ90" i="19"/>
  <c r="AB91" i="19"/>
  <c r="AC91" i="19"/>
  <c r="AD91" i="19"/>
  <c r="AE91" i="19"/>
  <c r="AF91" i="19"/>
  <c r="AH91" i="19"/>
  <c r="AI91" i="19"/>
  <c r="AJ91" i="19"/>
  <c r="AK91" i="19"/>
  <c r="AL91" i="19"/>
  <c r="AM91" i="19"/>
  <c r="AN91" i="19"/>
  <c r="AO91" i="19"/>
  <c r="AP91" i="19"/>
  <c r="AQ91" i="19"/>
  <c r="AB92" i="19"/>
  <c r="AC92" i="19"/>
  <c r="AD92" i="19"/>
  <c r="AE92" i="19"/>
  <c r="AF92" i="19"/>
  <c r="AH92" i="19"/>
  <c r="AI92" i="19"/>
  <c r="AJ92" i="19"/>
  <c r="AK92" i="19"/>
  <c r="AL92" i="19"/>
  <c r="AM92" i="19"/>
  <c r="AN92" i="19"/>
  <c r="AO92" i="19"/>
  <c r="AP92" i="19"/>
  <c r="AQ92" i="19"/>
  <c r="AB93" i="19"/>
  <c r="AC93" i="19"/>
  <c r="AD93" i="19"/>
  <c r="AE93" i="19"/>
  <c r="AF93" i="19"/>
  <c r="AH93" i="19"/>
  <c r="AI93" i="19"/>
  <c r="AJ93" i="19"/>
  <c r="AK93" i="19"/>
  <c r="AL93" i="19"/>
  <c r="AM93" i="19"/>
  <c r="AN93" i="19"/>
  <c r="AO93" i="19"/>
  <c r="AP93" i="19"/>
  <c r="AQ93" i="19"/>
  <c r="AB94" i="19"/>
  <c r="AC94" i="19"/>
  <c r="AD94" i="19"/>
  <c r="AE94" i="19"/>
  <c r="AF94" i="19"/>
  <c r="AH94" i="19"/>
  <c r="AI94" i="19"/>
  <c r="AJ94" i="19"/>
  <c r="AK94" i="19"/>
  <c r="AL94" i="19"/>
  <c r="AM94" i="19"/>
  <c r="AN94" i="19"/>
  <c r="AO94" i="19"/>
  <c r="AP94" i="19"/>
  <c r="AQ94" i="19"/>
  <c r="AB95" i="19"/>
  <c r="AC95" i="19"/>
  <c r="AD95" i="19"/>
  <c r="AE95" i="19"/>
  <c r="AF95" i="19"/>
  <c r="AH95" i="19"/>
  <c r="AI95" i="19"/>
  <c r="AJ95" i="19"/>
  <c r="AK95" i="19"/>
  <c r="AL95" i="19"/>
  <c r="AM95" i="19"/>
  <c r="AN95" i="19"/>
  <c r="AO95" i="19"/>
  <c r="AP95" i="19"/>
  <c r="AQ95" i="19"/>
  <c r="AB96" i="19"/>
  <c r="AC96" i="19"/>
  <c r="AD96" i="19"/>
  <c r="AE96" i="19"/>
  <c r="AF96" i="19"/>
  <c r="AH96" i="19"/>
  <c r="AI96" i="19"/>
  <c r="AJ96" i="19"/>
  <c r="AK96" i="19"/>
  <c r="AL96" i="19"/>
  <c r="AM96" i="19"/>
  <c r="AN96" i="19"/>
  <c r="AO96" i="19"/>
  <c r="AP96" i="19"/>
  <c r="AQ96" i="19"/>
  <c r="AB97" i="19"/>
  <c r="AC97" i="19"/>
  <c r="AD97" i="19"/>
  <c r="AE97" i="19"/>
  <c r="AF97" i="19"/>
  <c r="AH97" i="19"/>
  <c r="AI97" i="19"/>
  <c r="AJ97" i="19"/>
  <c r="AK97" i="19"/>
  <c r="AL97" i="19"/>
  <c r="AM97" i="19"/>
  <c r="AN97" i="19"/>
  <c r="AO97" i="19"/>
  <c r="AP97" i="19"/>
  <c r="AQ97" i="19"/>
  <c r="AB98" i="19"/>
  <c r="AC98" i="19"/>
  <c r="AD98" i="19"/>
  <c r="AE98" i="19"/>
  <c r="AF98" i="19"/>
  <c r="AH98" i="19"/>
  <c r="AI98" i="19"/>
  <c r="AJ98" i="19"/>
  <c r="AK98" i="19"/>
  <c r="AL98" i="19"/>
  <c r="AM98" i="19"/>
  <c r="AN98" i="19"/>
  <c r="AO98" i="19"/>
  <c r="AP98" i="19"/>
  <c r="AQ98" i="19"/>
  <c r="AB99" i="19"/>
  <c r="AC99" i="19"/>
  <c r="AD99" i="19"/>
  <c r="AE99" i="19"/>
  <c r="AF99" i="19"/>
  <c r="AH99" i="19"/>
  <c r="AI99" i="19"/>
  <c r="AJ99" i="19"/>
  <c r="AK99" i="19"/>
  <c r="AL99" i="19"/>
  <c r="AM99" i="19"/>
  <c r="AN99" i="19"/>
  <c r="AO99" i="19"/>
  <c r="AP99" i="19"/>
  <c r="AQ99" i="19"/>
  <c r="AB100" i="19"/>
  <c r="AC100" i="19"/>
  <c r="AD100" i="19"/>
  <c r="AE100" i="19"/>
  <c r="AF100" i="19"/>
  <c r="AH100" i="19"/>
  <c r="AI100" i="19"/>
  <c r="AJ100" i="19"/>
  <c r="AK100" i="19"/>
  <c r="AL100" i="19"/>
  <c r="AM100" i="19"/>
  <c r="AN100" i="19"/>
  <c r="AO100" i="19"/>
  <c r="AP100" i="19"/>
  <c r="AQ100" i="19"/>
  <c r="AB101" i="19"/>
  <c r="AC101" i="19"/>
  <c r="AD101" i="19"/>
  <c r="AE101" i="19"/>
  <c r="AF101" i="19"/>
  <c r="AH101" i="19"/>
  <c r="AI101" i="19"/>
  <c r="AJ101" i="19"/>
  <c r="AK101" i="19"/>
  <c r="AL101" i="19"/>
  <c r="AM101" i="19"/>
  <c r="AN101" i="19"/>
  <c r="AO101" i="19"/>
  <c r="AP101" i="19"/>
  <c r="AQ101" i="19"/>
  <c r="AB102" i="19"/>
  <c r="AC102" i="19"/>
  <c r="AD102" i="19"/>
  <c r="AE102" i="19"/>
  <c r="AF102" i="19"/>
  <c r="AH102" i="19"/>
  <c r="AI102" i="19"/>
  <c r="AJ102" i="19"/>
  <c r="AK102" i="19"/>
  <c r="AL102" i="19"/>
  <c r="AM102" i="19"/>
  <c r="AN102" i="19"/>
  <c r="AO102" i="19"/>
  <c r="AP102" i="19"/>
  <c r="AQ102" i="19"/>
  <c r="AB103" i="19"/>
  <c r="AC103" i="19"/>
  <c r="AD103" i="19"/>
  <c r="AE103" i="19"/>
  <c r="AF103" i="19"/>
  <c r="AH103" i="19"/>
  <c r="AI103" i="19"/>
  <c r="AJ103" i="19"/>
  <c r="AK103" i="19"/>
  <c r="AL103" i="19"/>
  <c r="AM103" i="19"/>
  <c r="AN103" i="19"/>
  <c r="AO103" i="19"/>
  <c r="AP103" i="19"/>
  <c r="AQ103" i="19"/>
  <c r="AB104" i="19"/>
  <c r="AC104" i="19"/>
  <c r="AD104" i="19"/>
  <c r="AE104" i="19"/>
  <c r="AF104" i="19"/>
  <c r="AH104" i="19"/>
  <c r="AI104" i="19"/>
  <c r="AJ104" i="19"/>
  <c r="AK104" i="19"/>
  <c r="AL104" i="19"/>
  <c r="AM104" i="19"/>
  <c r="AN104" i="19"/>
  <c r="AO104" i="19"/>
  <c r="AP104" i="19"/>
  <c r="AQ104" i="19"/>
  <c r="AB105" i="19"/>
  <c r="AC105" i="19"/>
  <c r="AD105" i="19"/>
  <c r="AE105" i="19"/>
  <c r="AF105" i="19"/>
  <c r="AH105" i="19"/>
  <c r="AI105" i="19"/>
  <c r="AJ105" i="19"/>
  <c r="AK105" i="19"/>
  <c r="AL105" i="19"/>
  <c r="AM105" i="19"/>
  <c r="AN105" i="19"/>
  <c r="AO105" i="19"/>
  <c r="AP105" i="19"/>
  <c r="AQ105" i="19"/>
  <c r="AB106" i="19"/>
  <c r="AC106" i="19"/>
  <c r="AD106" i="19"/>
  <c r="AE106" i="19"/>
  <c r="AF106" i="19"/>
  <c r="AH106" i="19"/>
  <c r="AI106" i="19"/>
  <c r="AJ106" i="19"/>
  <c r="AK106" i="19"/>
  <c r="AL106" i="19"/>
  <c r="AM106" i="19"/>
  <c r="AN106" i="19"/>
  <c r="AO106" i="19"/>
  <c r="AP106" i="19"/>
  <c r="AQ106" i="19"/>
  <c r="AB107" i="19"/>
  <c r="AC107" i="19"/>
  <c r="AD107" i="19"/>
  <c r="AE107" i="19"/>
  <c r="AF107" i="19"/>
  <c r="AH107" i="19"/>
  <c r="AI107" i="19"/>
  <c r="AJ107" i="19"/>
  <c r="AK107" i="19"/>
  <c r="AL107" i="19"/>
  <c r="AM107" i="19"/>
  <c r="AN107" i="19"/>
  <c r="AO107" i="19"/>
  <c r="AP107" i="19"/>
  <c r="AQ107" i="19"/>
  <c r="AB108" i="19"/>
  <c r="AC108" i="19"/>
  <c r="AD108" i="19"/>
  <c r="AE108" i="19"/>
  <c r="AF108" i="19"/>
  <c r="AH108" i="19"/>
  <c r="AI108" i="19"/>
  <c r="AJ108" i="19"/>
  <c r="AK108" i="19"/>
  <c r="AL108" i="19"/>
  <c r="AM108" i="19"/>
  <c r="AN108" i="19"/>
  <c r="AO108" i="19"/>
  <c r="AP108" i="19"/>
  <c r="AQ108" i="19"/>
  <c r="AB109" i="19"/>
  <c r="AC109" i="19"/>
  <c r="AD109" i="19"/>
  <c r="AE109" i="19"/>
  <c r="AF109" i="19"/>
  <c r="AH109" i="19"/>
  <c r="AI109" i="19"/>
  <c r="AJ109" i="19"/>
  <c r="AK109" i="19"/>
  <c r="AL109" i="19"/>
  <c r="AM109" i="19"/>
  <c r="AN109" i="19"/>
  <c r="AO109" i="19"/>
  <c r="AP109" i="19"/>
  <c r="AQ109" i="19"/>
  <c r="AB110" i="19"/>
  <c r="AC110" i="19"/>
  <c r="AD110" i="19"/>
  <c r="AE110" i="19"/>
  <c r="AF110" i="19"/>
  <c r="AH110" i="19"/>
  <c r="AI110" i="19"/>
  <c r="AJ110" i="19"/>
  <c r="AK110" i="19"/>
  <c r="AL110" i="19"/>
  <c r="AM110" i="19"/>
  <c r="AN110" i="19"/>
  <c r="AO110" i="19"/>
  <c r="AP110" i="19"/>
  <c r="AQ110" i="19"/>
  <c r="AB111" i="19"/>
  <c r="AC111" i="19"/>
  <c r="AD111" i="19"/>
  <c r="AE111" i="19"/>
  <c r="AF111" i="19"/>
  <c r="AH111" i="19"/>
  <c r="AI111" i="19"/>
  <c r="AJ111" i="19"/>
  <c r="AK111" i="19"/>
  <c r="AL111" i="19"/>
  <c r="AM111" i="19"/>
  <c r="AN111" i="19"/>
  <c r="AO111" i="19"/>
  <c r="AP111" i="19"/>
  <c r="AQ111" i="19"/>
  <c r="AB112" i="19"/>
  <c r="AC112" i="19"/>
  <c r="AD112" i="19"/>
  <c r="AE112" i="19"/>
  <c r="AF112" i="19"/>
  <c r="AH112" i="19"/>
  <c r="AI112" i="19"/>
  <c r="AJ112" i="19"/>
  <c r="AK112" i="19"/>
  <c r="AL112" i="19"/>
  <c r="AM112" i="19"/>
  <c r="AN112" i="19"/>
  <c r="AO112" i="19"/>
  <c r="AP112" i="19"/>
  <c r="AQ112" i="19"/>
  <c r="AB113" i="19"/>
  <c r="AC113" i="19"/>
  <c r="AD113" i="19"/>
  <c r="AE113" i="19"/>
  <c r="AF113" i="19"/>
  <c r="AH113" i="19"/>
  <c r="AI113" i="19"/>
  <c r="AJ113" i="19"/>
  <c r="AK113" i="19"/>
  <c r="AL113" i="19"/>
  <c r="AM113" i="19"/>
  <c r="AN113" i="19"/>
  <c r="AO113" i="19"/>
  <c r="AP113" i="19"/>
  <c r="AQ113" i="19"/>
  <c r="AB114" i="19"/>
  <c r="AC114" i="19"/>
  <c r="AD114" i="19"/>
  <c r="AE114" i="19"/>
  <c r="AF114" i="19"/>
  <c r="AH114" i="19"/>
  <c r="AI114" i="19"/>
  <c r="AJ114" i="19"/>
  <c r="AK114" i="19"/>
  <c r="AL114" i="19"/>
  <c r="AM114" i="19"/>
  <c r="AN114" i="19"/>
  <c r="AO114" i="19"/>
  <c r="AP114" i="19"/>
  <c r="AQ114" i="19"/>
  <c r="AB115" i="19"/>
  <c r="AC115" i="19"/>
  <c r="AD115" i="19"/>
  <c r="AE115" i="19"/>
  <c r="AF115" i="19"/>
  <c r="AH115" i="19"/>
  <c r="AI115" i="19"/>
  <c r="AJ115" i="19"/>
  <c r="AK115" i="19"/>
  <c r="AL115" i="19"/>
  <c r="AM115" i="19"/>
  <c r="AN115" i="19"/>
  <c r="AO115" i="19"/>
  <c r="AP115" i="19"/>
  <c r="AQ115" i="19"/>
  <c r="AB116" i="19"/>
  <c r="AC116" i="19"/>
  <c r="AD116" i="19"/>
  <c r="AE116" i="19"/>
  <c r="AF116" i="19"/>
  <c r="AH116" i="19"/>
  <c r="AI116" i="19"/>
  <c r="AJ116" i="19"/>
  <c r="AK116" i="19"/>
  <c r="AL116" i="19"/>
  <c r="AM116" i="19"/>
  <c r="AN116" i="19"/>
  <c r="AO116" i="19"/>
  <c r="AP116" i="19"/>
  <c r="AQ116" i="19"/>
  <c r="AB117" i="19"/>
  <c r="AC117" i="19"/>
  <c r="AD117" i="19"/>
  <c r="AE117" i="19"/>
  <c r="AF117" i="19"/>
  <c r="AH117" i="19"/>
  <c r="AI117" i="19"/>
  <c r="AJ117" i="19"/>
  <c r="AK117" i="19"/>
  <c r="AL117" i="19"/>
  <c r="AM117" i="19"/>
  <c r="AN117" i="19"/>
  <c r="AO117" i="19"/>
  <c r="AP117" i="19"/>
  <c r="AQ117" i="19"/>
  <c r="AB118" i="19"/>
  <c r="AC118" i="19"/>
  <c r="AD118" i="19"/>
  <c r="AE118" i="19"/>
  <c r="AF118" i="19"/>
  <c r="AH118" i="19"/>
  <c r="AI118" i="19"/>
  <c r="AJ118" i="19"/>
  <c r="AK118" i="19"/>
  <c r="AL118" i="19"/>
  <c r="AM118" i="19"/>
  <c r="AN118" i="19"/>
  <c r="AO118" i="19"/>
  <c r="AP118" i="19"/>
  <c r="AQ118" i="19"/>
  <c r="AB119" i="19"/>
  <c r="AC119" i="19"/>
  <c r="AD119" i="19"/>
  <c r="AE119" i="19"/>
  <c r="AF119" i="19"/>
  <c r="AH119" i="19"/>
  <c r="AI119" i="19"/>
  <c r="AJ119" i="19"/>
  <c r="AK119" i="19"/>
  <c r="AL119" i="19"/>
  <c r="AM119" i="19"/>
  <c r="AN119" i="19"/>
  <c r="AO119" i="19"/>
  <c r="AP119" i="19"/>
  <c r="AQ119" i="19"/>
  <c r="AB120" i="19"/>
  <c r="AC120" i="19"/>
  <c r="AD120" i="19"/>
  <c r="AE120" i="19"/>
  <c r="AF120" i="19"/>
  <c r="AH120" i="19"/>
  <c r="AI120" i="19"/>
  <c r="AJ120" i="19"/>
  <c r="AK120" i="19"/>
  <c r="AL120" i="19"/>
  <c r="AM120" i="19"/>
  <c r="AN120" i="19"/>
  <c r="AO120" i="19"/>
  <c r="AP120" i="19"/>
  <c r="AQ120" i="19"/>
  <c r="AB121" i="19"/>
  <c r="AC121" i="19"/>
  <c r="AD121" i="19"/>
  <c r="AE121" i="19"/>
  <c r="AF121" i="19"/>
  <c r="AH121" i="19"/>
  <c r="AI121" i="19"/>
  <c r="AJ121" i="19"/>
  <c r="AK121" i="19"/>
  <c r="AL121" i="19"/>
  <c r="AM121" i="19"/>
  <c r="AN121" i="19"/>
  <c r="AO121" i="19"/>
  <c r="AP121" i="19"/>
  <c r="AQ121" i="19"/>
  <c r="AB122" i="19"/>
  <c r="AC122" i="19"/>
  <c r="AD122" i="19"/>
  <c r="AE122" i="19"/>
  <c r="AF122" i="19"/>
  <c r="AH122" i="19"/>
  <c r="AI122" i="19"/>
  <c r="AJ122" i="19"/>
  <c r="AK122" i="19"/>
  <c r="AL122" i="19"/>
  <c r="AM122" i="19"/>
  <c r="AN122" i="19"/>
  <c r="AO122" i="19"/>
  <c r="AP122" i="19"/>
  <c r="AQ122" i="19"/>
  <c r="AB123" i="19"/>
  <c r="AC123" i="19"/>
  <c r="AD123" i="19"/>
  <c r="AE123" i="19"/>
  <c r="AF123" i="19"/>
  <c r="AH123" i="19"/>
  <c r="AI123" i="19"/>
  <c r="AJ123" i="19"/>
  <c r="AK123" i="19"/>
  <c r="AL123" i="19"/>
  <c r="AM123" i="19"/>
  <c r="AN123" i="19"/>
  <c r="AO123" i="19"/>
  <c r="AP123" i="19"/>
  <c r="AQ123" i="19"/>
  <c r="AB124" i="19"/>
  <c r="AC124" i="19"/>
  <c r="AD124" i="19"/>
  <c r="AE124" i="19"/>
  <c r="AF124" i="19"/>
  <c r="AH124" i="19"/>
  <c r="AI124" i="19"/>
  <c r="AJ124" i="19"/>
  <c r="AK124" i="19"/>
  <c r="AL124" i="19"/>
  <c r="AM124" i="19"/>
  <c r="AN124" i="19"/>
  <c r="AO124" i="19"/>
  <c r="AP124" i="19"/>
  <c r="AQ124" i="19"/>
  <c r="AB125" i="19"/>
  <c r="AC125" i="19"/>
  <c r="AD125" i="19"/>
  <c r="AE125" i="19"/>
  <c r="AF125" i="19"/>
  <c r="AH125" i="19"/>
  <c r="AI125" i="19"/>
  <c r="AJ125" i="19"/>
  <c r="AK125" i="19"/>
  <c r="AL125" i="19"/>
  <c r="AM125" i="19"/>
  <c r="AN125" i="19"/>
  <c r="AO125" i="19"/>
  <c r="AP125" i="19"/>
  <c r="AQ125" i="19"/>
  <c r="AB126" i="19"/>
  <c r="AC126" i="19"/>
  <c r="AD126" i="19"/>
  <c r="AE126" i="19"/>
  <c r="AF126" i="19"/>
  <c r="AH126" i="19"/>
  <c r="AI126" i="19"/>
  <c r="AJ126" i="19"/>
  <c r="AK126" i="19"/>
  <c r="AL126" i="19"/>
  <c r="AM126" i="19"/>
  <c r="AN126" i="19"/>
  <c r="AO126" i="19"/>
  <c r="AP126" i="19"/>
  <c r="AQ126" i="19"/>
  <c r="AB127" i="19"/>
  <c r="AC127" i="19"/>
  <c r="AD127" i="19"/>
  <c r="AE127" i="19"/>
  <c r="AF127" i="19"/>
  <c r="AH127" i="19"/>
  <c r="AI127" i="19"/>
  <c r="AJ127" i="19"/>
  <c r="AK127" i="19"/>
  <c r="AL127" i="19"/>
  <c r="AM127" i="19"/>
  <c r="AN127" i="19"/>
  <c r="AO127" i="19"/>
  <c r="AP127" i="19"/>
  <c r="AQ127" i="19"/>
  <c r="AB128" i="19"/>
  <c r="AC128" i="19"/>
  <c r="AD128" i="19"/>
  <c r="AE128" i="19"/>
  <c r="AF128" i="19"/>
  <c r="AH128" i="19"/>
  <c r="AI128" i="19"/>
  <c r="AJ128" i="19"/>
  <c r="AK128" i="19"/>
  <c r="AL128" i="19"/>
  <c r="AM128" i="19"/>
  <c r="AN128" i="19"/>
  <c r="AO128" i="19"/>
  <c r="AP128" i="19"/>
  <c r="AQ128" i="19"/>
  <c r="AB129" i="19"/>
  <c r="AC129" i="19"/>
  <c r="AD129" i="19"/>
  <c r="AE129" i="19"/>
  <c r="AF129" i="19"/>
  <c r="AH129" i="19"/>
  <c r="AI129" i="19"/>
  <c r="AJ129" i="19"/>
  <c r="AK129" i="19"/>
  <c r="AL129" i="19"/>
  <c r="AM129" i="19"/>
  <c r="AN129" i="19"/>
  <c r="AO129" i="19"/>
  <c r="AP129" i="19"/>
  <c r="AQ129" i="19"/>
  <c r="AB130" i="19"/>
  <c r="AC130" i="19"/>
  <c r="AD130" i="19"/>
  <c r="AE130" i="19"/>
  <c r="AF130" i="19"/>
  <c r="AH130" i="19"/>
  <c r="AI130" i="19"/>
  <c r="AJ130" i="19"/>
  <c r="AK130" i="19"/>
  <c r="AL130" i="19"/>
  <c r="AM130" i="19"/>
  <c r="AN130" i="19"/>
  <c r="AO130" i="19"/>
  <c r="AP130" i="19"/>
  <c r="AQ130" i="19"/>
  <c r="AB131" i="19"/>
  <c r="AC131" i="19"/>
  <c r="AD131" i="19"/>
  <c r="AE131" i="19"/>
  <c r="AF131" i="19"/>
  <c r="AH131" i="19"/>
  <c r="AI131" i="19"/>
  <c r="AJ131" i="19"/>
  <c r="AK131" i="19"/>
  <c r="AL131" i="19"/>
  <c r="AM131" i="19"/>
  <c r="AN131" i="19"/>
  <c r="AO131" i="19"/>
  <c r="AP131" i="19"/>
  <c r="AQ131" i="19"/>
  <c r="AB132" i="19"/>
  <c r="AC132" i="19"/>
  <c r="AD132" i="19"/>
  <c r="AE132" i="19"/>
  <c r="AF132" i="19"/>
  <c r="AH132" i="19"/>
  <c r="AI132" i="19"/>
  <c r="AJ132" i="19"/>
  <c r="AK132" i="19"/>
  <c r="AL132" i="19"/>
  <c r="AM132" i="19"/>
  <c r="AN132" i="19"/>
  <c r="AO132" i="19"/>
  <c r="AP132" i="19"/>
  <c r="AQ132" i="19"/>
  <c r="AB133" i="19"/>
  <c r="AC133" i="19"/>
  <c r="AD133" i="19"/>
  <c r="AE133" i="19"/>
  <c r="AF133" i="19"/>
  <c r="AH133" i="19"/>
  <c r="AI133" i="19"/>
  <c r="AJ133" i="19"/>
  <c r="AK133" i="19"/>
  <c r="AL133" i="19"/>
  <c r="AM133" i="19"/>
  <c r="AN133" i="19"/>
  <c r="AO133" i="19"/>
  <c r="AP133" i="19"/>
  <c r="AQ133" i="19"/>
  <c r="AB134" i="19"/>
  <c r="AC134" i="19"/>
  <c r="AD134" i="19"/>
  <c r="AE134" i="19"/>
  <c r="AF134" i="19"/>
  <c r="AH134" i="19"/>
  <c r="AI134" i="19"/>
  <c r="AJ134" i="19"/>
  <c r="AK134" i="19"/>
  <c r="AL134" i="19"/>
  <c r="AM134" i="19"/>
  <c r="AN134" i="19"/>
  <c r="AO134" i="19"/>
  <c r="AP134" i="19"/>
  <c r="AQ134" i="19"/>
  <c r="AB135" i="19"/>
  <c r="AC135" i="19"/>
  <c r="AD135" i="19"/>
  <c r="AE135" i="19"/>
  <c r="AF135" i="19"/>
  <c r="AH135" i="19"/>
  <c r="AI135" i="19"/>
  <c r="AJ135" i="19"/>
  <c r="AK135" i="19"/>
  <c r="AL135" i="19"/>
  <c r="AM135" i="19"/>
  <c r="AN135" i="19"/>
  <c r="AO135" i="19"/>
  <c r="AP135" i="19"/>
  <c r="AQ135" i="19"/>
  <c r="AB136" i="19"/>
  <c r="AC136" i="19"/>
  <c r="AD136" i="19"/>
  <c r="AE136" i="19"/>
  <c r="AF136" i="19"/>
  <c r="AH136" i="19"/>
  <c r="AI136" i="19"/>
  <c r="AJ136" i="19"/>
  <c r="AK136" i="19"/>
  <c r="AL136" i="19"/>
  <c r="AM136" i="19"/>
  <c r="AN136" i="19"/>
  <c r="AO136" i="19"/>
  <c r="AP136" i="19"/>
  <c r="AQ136" i="19"/>
  <c r="AB137" i="19"/>
  <c r="AC137" i="19"/>
  <c r="AD137" i="19"/>
  <c r="AE137" i="19"/>
  <c r="AF137" i="19"/>
  <c r="AH137" i="19"/>
  <c r="AI137" i="19"/>
  <c r="AJ137" i="19"/>
  <c r="AK137" i="19"/>
  <c r="AL137" i="19"/>
  <c r="AM137" i="19"/>
  <c r="AN137" i="19"/>
  <c r="AO137" i="19"/>
  <c r="AP137" i="19"/>
  <c r="AQ137" i="19"/>
  <c r="AB138" i="19"/>
  <c r="AC138" i="19"/>
  <c r="AD138" i="19"/>
  <c r="AE138" i="19"/>
  <c r="AF138" i="19"/>
  <c r="AH138" i="19"/>
  <c r="AI138" i="19"/>
  <c r="AJ138" i="19"/>
  <c r="AK138" i="19"/>
  <c r="AL138" i="19"/>
  <c r="AM138" i="19"/>
  <c r="AN138" i="19"/>
  <c r="AO138" i="19"/>
  <c r="AP138" i="19"/>
  <c r="AQ138" i="19"/>
  <c r="AB139" i="19"/>
  <c r="AC139" i="19"/>
  <c r="AD139" i="19"/>
  <c r="AE139" i="19"/>
  <c r="AF139" i="19"/>
  <c r="AH139" i="19"/>
  <c r="AI139" i="19"/>
  <c r="AJ139" i="19"/>
  <c r="AK139" i="19"/>
  <c r="AL139" i="19"/>
  <c r="AM139" i="19"/>
  <c r="AN139" i="19"/>
  <c r="AO139" i="19"/>
  <c r="AP139" i="19"/>
  <c r="AQ139" i="19"/>
  <c r="AB140" i="19"/>
  <c r="AC140" i="19"/>
  <c r="AD140" i="19"/>
  <c r="AE140" i="19"/>
  <c r="AF140" i="19"/>
  <c r="AH140" i="19"/>
  <c r="AI140" i="19"/>
  <c r="AJ140" i="19"/>
  <c r="AK140" i="19"/>
  <c r="AL140" i="19"/>
  <c r="AM140" i="19"/>
  <c r="AN140" i="19"/>
  <c r="AO140" i="19"/>
  <c r="AP140" i="19"/>
  <c r="AQ140" i="19"/>
  <c r="AB141" i="19"/>
  <c r="AC141" i="19"/>
  <c r="AD141" i="19"/>
  <c r="AE141" i="19"/>
  <c r="AF141" i="19"/>
  <c r="AH141" i="19"/>
  <c r="AI141" i="19"/>
  <c r="AJ141" i="19"/>
  <c r="AK141" i="19"/>
  <c r="AL141" i="19"/>
  <c r="AM141" i="19"/>
  <c r="AN141" i="19"/>
  <c r="AO141" i="19"/>
  <c r="AP141" i="19"/>
  <c r="AQ141" i="19"/>
  <c r="AB142" i="19"/>
  <c r="AC142" i="19"/>
  <c r="AD142" i="19"/>
  <c r="AE142" i="19"/>
  <c r="AF142" i="19"/>
  <c r="AH142" i="19"/>
  <c r="AI142" i="19"/>
  <c r="AJ142" i="19"/>
  <c r="AK142" i="19"/>
  <c r="AL142" i="19"/>
  <c r="AM142" i="19"/>
  <c r="AN142" i="19"/>
  <c r="AO142" i="19"/>
  <c r="AP142" i="19"/>
  <c r="AQ142" i="19"/>
  <c r="AB143" i="19"/>
  <c r="AC143" i="19"/>
  <c r="AD143" i="19"/>
  <c r="AE143" i="19"/>
  <c r="AF143" i="19"/>
  <c r="AH143" i="19"/>
  <c r="AI143" i="19"/>
  <c r="AJ143" i="19"/>
  <c r="AK143" i="19"/>
  <c r="AL143" i="19"/>
  <c r="AM143" i="19"/>
  <c r="AN143" i="19"/>
  <c r="AO143" i="19"/>
  <c r="AP143" i="19"/>
  <c r="AQ143" i="19"/>
  <c r="AB144" i="19"/>
  <c r="AC144" i="19"/>
  <c r="AD144" i="19"/>
  <c r="AE144" i="19"/>
  <c r="AF144" i="19"/>
  <c r="AH144" i="19"/>
  <c r="AI144" i="19"/>
  <c r="AJ144" i="19"/>
  <c r="AK144" i="19"/>
  <c r="AL144" i="19"/>
  <c r="AM144" i="19"/>
  <c r="AN144" i="19"/>
  <c r="AO144" i="19"/>
  <c r="AP144" i="19"/>
  <c r="AQ144" i="19"/>
  <c r="AB145" i="19"/>
  <c r="AC145" i="19"/>
  <c r="AD145" i="19"/>
  <c r="AE145" i="19"/>
  <c r="AF145" i="19"/>
  <c r="AH145" i="19"/>
  <c r="AI145" i="19"/>
  <c r="AJ145" i="19"/>
  <c r="AK145" i="19"/>
  <c r="AL145" i="19"/>
  <c r="AM145" i="19"/>
  <c r="AN145" i="19"/>
  <c r="AO145" i="19"/>
  <c r="AP145" i="19"/>
  <c r="AQ145" i="19"/>
  <c r="AB146" i="19"/>
  <c r="AC146" i="19"/>
  <c r="AD146" i="19"/>
  <c r="AE146" i="19"/>
  <c r="AF146" i="19"/>
  <c r="AH146" i="19"/>
  <c r="AI146" i="19"/>
  <c r="AJ146" i="19"/>
  <c r="AK146" i="19"/>
  <c r="AL146" i="19"/>
  <c r="AM146" i="19"/>
  <c r="AN146" i="19"/>
  <c r="AO146" i="19"/>
  <c r="AP146" i="19"/>
  <c r="AQ146" i="19"/>
  <c r="AB147" i="19"/>
  <c r="AC147" i="19"/>
  <c r="AD147" i="19"/>
  <c r="AE147" i="19"/>
  <c r="AF147" i="19"/>
  <c r="AH147" i="19"/>
  <c r="AI147" i="19"/>
  <c r="AJ147" i="19"/>
  <c r="AK147" i="19"/>
  <c r="AL147" i="19"/>
  <c r="AM147" i="19"/>
  <c r="AN147" i="19"/>
  <c r="AO147" i="19"/>
  <c r="AP147" i="19"/>
  <c r="AQ147" i="19"/>
  <c r="AB148" i="19"/>
  <c r="AC148" i="19"/>
  <c r="AD148" i="19"/>
  <c r="AE148" i="19"/>
  <c r="AF148" i="19"/>
  <c r="AH148" i="19"/>
  <c r="AI148" i="19"/>
  <c r="AJ148" i="19"/>
  <c r="AK148" i="19"/>
  <c r="AL148" i="19"/>
  <c r="AM148" i="19"/>
  <c r="AN148" i="19"/>
  <c r="AO148" i="19"/>
  <c r="AP148" i="19"/>
  <c r="AQ148" i="19"/>
  <c r="AB149" i="19"/>
  <c r="AC149" i="19"/>
  <c r="AD149" i="19"/>
  <c r="AE149" i="19"/>
  <c r="AF149" i="19"/>
  <c r="AH149" i="19"/>
  <c r="AI149" i="19"/>
  <c r="AJ149" i="19"/>
  <c r="AK149" i="19"/>
  <c r="AL149" i="19"/>
  <c r="AM149" i="19"/>
  <c r="AN149" i="19"/>
  <c r="AO149" i="19"/>
  <c r="AP149" i="19"/>
  <c r="AQ149" i="19"/>
  <c r="AB150" i="19"/>
  <c r="AC150" i="19"/>
  <c r="AD150" i="19"/>
  <c r="AE150" i="19"/>
  <c r="AF150" i="19"/>
  <c r="AH150" i="19"/>
  <c r="AI150" i="19"/>
  <c r="AJ150" i="19"/>
  <c r="AK150" i="19"/>
  <c r="AL150" i="19"/>
  <c r="AM150" i="19"/>
  <c r="AN150" i="19"/>
  <c r="AO150" i="19"/>
  <c r="AP150" i="19"/>
  <c r="AQ150" i="19"/>
  <c r="AB151" i="19"/>
  <c r="AC151" i="19"/>
  <c r="AD151" i="19"/>
  <c r="AE151" i="19"/>
  <c r="AF151" i="19"/>
  <c r="AH151" i="19"/>
  <c r="AI151" i="19"/>
  <c r="AJ151" i="19"/>
  <c r="AK151" i="19"/>
  <c r="AL151" i="19"/>
  <c r="AM151" i="19"/>
  <c r="AN151" i="19"/>
  <c r="AO151" i="19"/>
  <c r="AP151" i="19"/>
  <c r="AQ151" i="19"/>
  <c r="AB152" i="19"/>
  <c r="AC152" i="19"/>
  <c r="AD152" i="19"/>
  <c r="AE152" i="19"/>
  <c r="AF152" i="19"/>
  <c r="AH152" i="19"/>
  <c r="AI152" i="19"/>
  <c r="AJ152" i="19"/>
  <c r="AK152" i="19"/>
  <c r="AL152" i="19"/>
  <c r="AM152" i="19"/>
  <c r="AN152" i="19"/>
  <c r="AO152" i="19"/>
  <c r="AP152" i="19"/>
  <c r="AQ152" i="19"/>
  <c r="AB153" i="19"/>
  <c r="AC153" i="19"/>
  <c r="AD153" i="19"/>
  <c r="AE153" i="19"/>
  <c r="AF153" i="19"/>
  <c r="AH153" i="19"/>
  <c r="AI153" i="19"/>
  <c r="AJ153" i="19"/>
  <c r="AK153" i="19"/>
  <c r="AL153" i="19"/>
  <c r="AM153" i="19"/>
  <c r="AN153" i="19"/>
  <c r="AO153" i="19"/>
  <c r="AP153" i="19"/>
  <c r="AQ153" i="19"/>
  <c r="AB154" i="19"/>
  <c r="AC154" i="19"/>
  <c r="AD154" i="19"/>
  <c r="AE154" i="19"/>
  <c r="AF154" i="19"/>
  <c r="AH154" i="19"/>
  <c r="AI154" i="19"/>
  <c r="AJ154" i="19"/>
  <c r="AK154" i="19"/>
  <c r="AL154" i="19"/>
  <c r="AM154" i="19"/>
  <c r="AN154" i="19"/>
  <c r="AO154" i="19"/>
  <c r="AP154" i="19"/>
  <c r="AQ154" i="19"/>
  <c r="AB155" i="19"/>
  <c r="AC155" i="19"/>
  <c r="AD155" i="19"/>
  <c r="AE155" i="19"/>
  <c r="AF155" i="19"/>
  <c r="AH155" i="19"/>
  <c r="AI155" i="19"/>
  <c r="AJ155" i="19"/>
  <c r="AK155" i="19"/>
  <c r="AL155" i="19"/>
  <c r="AM155" i="19"/>
  <c r="AN155" i="19"/>
  <c r="AO155" i="19"/>
  <c r="AP155" i="19"/>
  <c r="AQ155" i="19"/>
  <c r="AB156" i="19"/>
  <c r="AC156" i="19"/>
  <c r="AD156" i="19"/>
  <c r="AE156" i="19"/>
  <c r="AF156" i="19"/>
  <c r="AH156" i="19"/>
  <c r="AI156" i="19"/>
  <c r="AJ156" i="19"/>
  <c r="AK156" i="19"/>
  <c r="AL156" i="19"/>
  <c r="AM156" i="19"/>
  <c r="AN156" i="19"/>
  <c r="AO156" i="19"/>
  <c r="AP156" i="19"/>
  <c r="AQ156" i="19"/>
  <c r="AB157" i="19"/>
  <c r="AC157" i="19"/>
  <c r="AD157" i="19"/>
  <c r="AE157" i="19"/>
  <c r="AF157" i="19"/>
  <c r="AH157" i="19"/>
  <c r="AI157" i="19"/>
  <c r="AJ157" i="19"/>
  <c r="AK157" i="19"/>
  <c r="AL157" i="19"/>
  <c r="AM157" i="19"/>
  <c r="AN157" i="19"/>
  <c r="AO157" i="19"/>
  <c r="AP157" i="19"/>
  <c r="AQ157" i="19"/>
  <c r="AB158" i="19"/>
  <c r="AC158" i="19"/>
  <c r="AD158" i="19"/>
  <c r="AE158" i="19"/>
  <c r="AF158" i="19"/>
  <c r="AH158" i="19"/>
  <c r="AI158" i="19"/>
  <c r="AJ158" i="19"/>
  <c r="AK158" i="19"/>
  <c r="AL158" i="19"/>
  <c r="AM158" i="19"/>
  <c r="AN158" i="19"/>
  <c r="AO158" i="19"/>
  <c r="AP158" i="19"/>
  <c r="AQ158" i="19"/>
  <c r="AB159" i="19"/>
  <c r="AC159" i="19"/>
  <c r="AD159" i="19"/>
  <c r="AE159" i="19"/>
  <c r="AF159" i="19"/>
  <c r="AH159" i="19"/>
  <c r="AI159" i="19"/>
  <c r="AJ159" i="19"/>
  <c r="AK159" i="19"/>
  <c r="AL159" i="19"/>
  <c r="AM159" i="19"/>
  <c r="AN159" i="19"/>
  <c r="AO159" i="19"/>
  <c r="AP159" i="19"/>
  <c r="AQ159" i="19"/>
  <c r="AB160" i="19"/>
  <c r="AC160" i="19"/>
  <c r="AD160" i="19"/>
  <c r="AE160" i="19"/>
  <c r="AF160" i="19"/>
  <c r="AH160" i="19"/>
  <c r="AI160" i="19"/>
  <c r="AJ160" i="19"/>
  <c r="AK160" i="19"/>
  <c r="AL160" i="19"/>
  <c r="AM160" i="19"/>
  <c r="AN160" i="19"/>
  <c r="AO160" i="19"/>
  <c r="AP160" i="19"/>
  <c r="AQ160" i="19"/>
  <c r="AB161" i="19"/>
  <c r="AC161" i="19"/>
  <c r="AD161" i="19"/>
  <c r="AE161" i="19"/>
  <c r="AF161" i="19"/>
  <c r="AH161" i="19"/>
  <c r="AI161" i="19"/>
  <c r="AJ161" i="19"/>
  <c r="AK161" i="19"/>
  <c r="AL161" i="19"/>
  <c r="AM161" i="19"/>
  <c r="AN161" i="19"/>
  <c r="AO161" i="19"/>
  <c r="AP161" i="19"/>
  <c r="AQ161" i="19"/>
  <c r="AB162" i="19"/>
  <c r="AC162" i="19"/>
  <c r="AD162" i="19"/>
  <c r="AE162" i="19"/>
  <c r="AF162" i="19"/>
  <c r="AH162" i="19"/>
  <c r="AI162" i="19"/>
  <c r="AJ162" i="19"/>
  <c r="AK162" i="19"/>
  <c r="AL162" i="19"/>
  <c r="AM162" i="19"/>
  <c r="AN162" i="19"/>
  <c r="AO162" i="19"/>
  <c r="AP162" i="19"/>
  <c r="AQ162" i="19"/>
  <c r="AB163" i="19"/>
  <c r="AC163" i="19"/>
  <c r="AD163" i="19"/>
  <c r="AE163" i="19"/>
  <c r="AF163" i="19"/>
  <c r="AH163" i="19"/>
  <c r="AI163" i="19"/>
  <c r="AJ163" i="19"/>
  <c r="AK163" i="19"/>
  <c r="AL163" i="19"/>
  <c r="AM163" i="19"/>
  <c r="AN163" i="19"/>
  <c r="AO163" i="19"/>
  <c r="AP163" i="19"/>
  <c r="AQ163" i="19"/>
  <c r="AB164" i="19"/>
  <c r="AC164" i="19"/>
  <c r="AD164" i="19"/>
  <c r="AE164" i="19"/>
  <c r="AF164" i="19"/>
  <c r="AH164" i="19"/>
  <c r="AI164" i="19"/>
  <c r="AJ164" i="19"/>
  <c r="AK164" i="19"/>
  <c r="AL164" i="19"/>
  <c r="AM164" i="19"/>
  <c r="AN164" i="19"/>
  <c r="AO164" i="19"/>
  <c r="AP164" i="19"/>
  <c r="AQ164" i="19"/>
  <c r="AB165" i="19"/>
  <c r="AC165" i="19"/>
  <c r="AD165" i="19"/>
  <c r="AE165" i="19"/>
  <c r="AF165" i="19"/>
  <c r="AH165" i="19"/>
  <c r="AI165" i="19"/>
  <c r="AJ165" i="19"/>
  <c r="AK165" i="19"/>
  <c r="AL165" i="19"/>
  <c r="AM165" i="19"/>
  <c r="AN165" i="19"/>
  <c r="AO165" i="19"/>
  <c r="AP165" i="19"/>
  <c r="AQ165" i="19"/>
  <c r="AB166" i="19"/>
  <c r="AC166" i="19"/>
  <c r="AD166" i="19"/>
  <c r="AE166" i="19"/>
  <c r="AF166" i="19"/>
  <c r="AH166" i="19"/>
  <c r="AI166" i="19"/>
  <c r="AJ166" i="19"/>
  <c r="AK166" i="19"/>
  <c r="AL166" i="19"/>
  <c r="AM166" i="19"/>
  <c r="AN166" i="19"/>
  <c r="AO166" i="19"/>
  <c r="AP166" i="19"/>
  <c r="AQ166" i="19"/>
  <c r="AB167" i="19"/>
  <c r="AC167" i="19"/>
  <c r="AD167" i="19"/>
  <c r="AE167" i="19"/>
  <c r="AF167" i="19"/>
  <c r="AH167" i="19"/>
  <c r="AI167" i="19"/>
  <c r="AJ167" i="19"/>
  <c r="AK167" i="19"/>
  <c r="AL167" i="19"/>
  <c r="AM167" i="19"/>
  <c r="AN167" i="19"/>
  <c r="AO167" i="19"/>
  <c r="AP167" i="19"/>
  <c r="AQ167" i="19"/>
  <c r="AB168" i="19"/>
  <c r="AC168" i="19"/>
  <c r="AD168" i="19"/>
  <c r="AE168" i="19"/>
  <c r="AF168" i="19"/>
  <c r="AH168" i="19"/>
  <c r="AI168" i="19"/>
  <c r="AJ168" i="19"/>
  <c r="AK168" i="19"/>
  <c r="AL168" i="19"/>
  <c r="AM168" i="19"/>
  <c r="AN168" i="19"/>
  <c r="AO168" i="19"/>
  <c r="AP168" i="19"/>
  <c r="AQ168" i="19"/>
  <c r="AB169" i="19"/>
  <c r="AC169" i="19"/>
  <c r="AD169" i="19"/>
  <c r="AE169" i="19"/>
  <c r="AF169" i="19"/>
  <c r="AH169" i="19"/>
  <c r="AI169" i="19"/>
  <c r="AJ169" i="19"/>
  <c r="AK169" i="19"/>
  <c r="AL169" i="19"/>
  <c r="AM169" i="19"/>
  <c r="AN169" i="19"/>
  <c r="AO169" i="19"/>
  <c r="AP169" i="19"/>
  <c r="AQ169" i="19"/>
  <c r="AB170" i="19"/>
  <c r="AC170" i="19"/>
  <c r="AD170" i="19"/>
  <c r="AE170" i="19"/>
  <c r="AF170" i="19"/>
  <c r="AH170" i="19"/>
  <c r="AI170" i="19"/>
  <c r="AJ170" i="19"/>
  <c r="AK170" i="19"/>
  <c r="AL170" i="19"/>
  <c r="AM170" i="19"/>
  <c r="AN170" i="19"/>
  <c r="AO170" i="19"/>
  <c r="AP170" i="19"/>
  <c r="AQ170" i="19"/>
  <c r="AB171" i="19"/>
  <c r="AC171" i="19"/>
  <c r="AD171" i="19"/>
  <c r="AE171" i="19"/>
  <c r="AF171" i="19"/>
  <c r="AH171" i="19"/>
  <c r="AI171" i="19"/>
  <c r="AJ171" i="19"/>
  <c r="AK171" i="19"/>
  <c r="AL171" i="19"/>
  <c r="AM171" i="19"/>
  <c r="AN171" i="19"/>
  <c r="AO171" i="19"/>
  <c r="AP171" i="19"/>
  <c r="AQ171" i="19"/>
  <c r="AB172" i="19"/>
  <c r="AC172" i="19"/>
  <c r="AD172" i="19"/>
  <c r="AE172" i="19"/>
  <c r="AF172" i="19"/>
  <c r="AH172" i="19"/>
  <c r="AI172" i="19"/>
  <c r="AJ172" i="19"/>
  <c r="AK172" i="19"/>
  <c r="AL172" i="19"/>
  <c r="AM172" i="19"/>
  <c r="AN172" i="19"/>
  <c r="AO172" i="19"/>
  <c r="AP172" i="19"/>
  <c r="AQ172" i="19"/>
  <c r="AB173" i="19"/>
  <c r="AC173" i="19"/>
  <c r="AD173" i="19"/>
  <c r="AE173" i="19"/>
  <c r="AF173" i="19"/>
  <c r="AH173" i="19"/>
  <c r="AI173" i="19"/>
  <c r="AJ173" i="19"/>
  <c r="AK173" i="19"/>
  <c r="AL173" i="19"/>
  <c r="AM173" i="19"/>
  <c r="AN173" i="19"/>
  <c r="AO173" i="19"/>
  <c r="AP173" i="19"/>
  <c r="AQ173" i="19"/>
  <c r="AB174" i="19"/>
  <c r="AC174" i="19"/>
  <c r="AD174" i="19"/>
  <c r="AE174" i="19"/>
  <c r="AF174" i="19"/>
  <c r="AH174" i="19"/>
  <c r="AI174" i="19"/>
  <c r="AJ174" i="19"/>
  <c r="AK174" i="19"/>
  <c r="AL174" i="19"/>
  <c r="AM174" i="19"/>
  <c r="AN174" i="19"/>
  <c r="AO174" i="19"/>
  <c r="AP174" i="19"/>
  <c r="AQ174" i="19"/>
  <c r="AB175" i="19"/>
  <c r="AC175" i="19"/>
  <c r="AD175" i="19"/>
  <c r="AE175" i="19"/>
  <c r="AF175" i="19"/>
  <c r="AH175" i="19"/>
  <c r="AI175" i="19"/>
  <c r="AJ175" i="19"/>
  <c r="AK175" i="19"/>
  <c r="AL175" i="19"/>
  <c r="AM175" i="19"/>
  <c r="AN175" i="19"/>
  <c r="AO175" i="19"/>
  <c r="AP175" i="19"/>
  <c r="AQ175" i="19"/>
  <c r="AB176" i="19"/>
  <c r="AC176" i="19"/>
  <c r="AD176" i="19"/>
  <c r="AE176" i="19"/>
  <c r="AF176" i="19"/>
  <c r="AH176" i="19"/>
  <c r="AI176" i="19"/>
  <c r="AJ176" i="19"/>
  <c r="AK176" i="19"/>
  <c r="AL176" i="19"/>
  <c r="AM176" i="19"/>
  <c r="AN176" i="19"/>
  <c r="AO176" i="19"/>
  <c r="AP176" i="19"/>
  <c r="AQ176" i="19"/>
  <c r="AB177" i="19"/>
  <c r="AC177" i="19"/>
  <c r="AD177" i="19"/>
  <c r="AE177" i="19"/>
  <c r="AF177" i="19"/>
  <c r="AH177" i="19"/>
  <c r="AI177" i="19"/>
  <c r="AJ177" i="19"/>
  <c r="AK177" i="19"/>
  <c r="AL177" i="19"/>
  <c r="AM177" i="19"/>
  <c r="AN177" i="19"/>
  <c r="AO177" i="19"/>
  <c r="AP177" i="19"/>
  <c r="AQ177" i="19"/>
  <c r="AB178" i="19"/>
  <c r="AC178" i="19"/>
  <c r="AD178" i="19"/>
  <c r="AE178" i="19"/>
  <c r="AF178" i="19"/>
  <c r="AH178" i="19"/>
  <c r="AI178" i="19"/>
  <c r="AJ178" i="19"/>
  <c r="AK178" i="19"/>
  <c r="AL178" i="19"/>
  <c r="AM178" i="19"/>
  <c r="AN178" i="19"/>
  <c r="AO178" i="19"/>
  <c r="AP178" i="19"/>
  <c r="AQ178" i="19"/>
  <c r="AB179" i="19"/>
  <c r="AC179" i="19"/>
  <c r="AD179" i="19"/>
  <c r="AE179" i="19"/>
  <c r="AF179" i="19"/>
  <c r="AH179" i="19"/>
  <c r="AI179" i="19"/>
  <c r="AJ179" i="19"/>
  <c r="AK179" i="19"/>
  <c r="AL179" i="19"/>
  <c r="AM179" i="19"/>
  <c r="AN179" i="19"/>
  <c r="AO179" i="19"/>
  <c r="AP179" i="19"/>
  <c r="AQ179" i="19"/>
  <c r="AB180" i="19"/>
  <c r="AC180" i="19"/>
  <c r="AD180" i="19"/>
  <c r="AE180" i="19"/>
  <c r="AF180" i="19"/>
  <c r="AH180" i="19"/>
  <c r="AI180" i="19"/>
  <c r="AJ180" i="19"/>
  <c r="AK180" i="19"/>
  <c r="AL180" i="19"/>
  <c r="AM180" i="19"/>
  <c r="AN180" i="19"/>
  <c r="AO180" i="19"/>
  <c r="AP180" i="19"/>
  <c r="AQ180" i="19"/>
  <c r="AB181" i="19"/>
  <c r="AC181" i="19"/>
  <c r="AD181" i="19"/>
  <c r="AE181" i="19"/>
  <c r="AF181" i="19"/>
  <c r="AH181" i="19"/>
  <c r="AI181" i="19"/>
  <c r="AJ181" i="19"/>
  <c r="AK181" i="19"/>
  <c r="AL181" i="19"/>
  <c r="AM181" i="19"/>
  <c r="AN181" i="19"/>
  <c r="AO181" i="19"/>
  <c r="AP181" i="19"/>
  <c r="AQ181" i="19"/>
  <c r="AB182" i="19"/>
  <c r="AC182" i="19"/>
  <c r="AD182" i="19"/>
  <c r="AE182" i="19"/>
  <c r="AF182" i="19"/>
  <c r="AH182" i="19"/>
  <c r="AI182" i="19"/>
  <c r="AJ182" i="19"/>
  <c r="AK182" i="19"/>
  <c r="AL182" i="19"/>
  <c r="AM182" i="19"/>
  <c r="AN182" i="19"/>
  <c r="AO182" i="19"/>
  <c r="AP182" i="19"/>
  <c r="AQ182" i="19"/>
  <c r="AB183" i="19"/>
  <c r="AC183" i="19"/>
  <c r="AD183" i="19"/>
  <c r="AE183" i="19"/>
  <c r="AF183" i="19"/>
  <c r="AH183" i="19"/>
  <c r="AI183" i="19"/>
  <c r="AJ183" i="19"/>
  <c r="AK183" i="19"/>
  <c r="AL183" i="19"/>
  <c r="AM183" i="19"/>
  <c r="AN183" i="19"/>
  <c r="AO183" i="19"/>
  <c r="AP183" i="19"/>
  <c r="AQ183" i="19"/>
  <c r="AB184" i="19"/>
  <c r="AC184" i="19"/>
  <c r="AD184" i="19"/>
  <c r="AE184" i="19"/>
  <c r="AF184" i="19"/>
  <c r="AH184" i="19"/>
  <c r="AI184" i="19"/>
  <c r="AJ184" i="19"/>
  <c r="AK184" i="19"/>
  <c r="AL184" i="19"/>
  <c r="AM184" i="19"/>
  <c r="AN184" i="19"/>
  <c r="AO184" i="19"/>
  <c r="AP184" i="19"/>
  <c r="AQ184" i="19"/>
  <c r="AB185" i="19"/>
  <c r="AC185" i="19"/>
  <c r="AD185" i="19"/>
  <c r="AE185" i="19"/>
  <c r="AF185" i="19"/>
  <c r="AH185" i="19"/>
  <c r="AI185" i="19"/>
  <c r="AJ185" i="19"/>
  <c r="AK185" i="19"/>
  <c r="AL185" i="19"/>
  <c r="AM185" i="19"/>
  <c r="AN185" i="19"/>
  <c r="AO185" i="19"/>
  <c r="AP185" i="19"/>
  <c r="AQ185" i="19"/>
  <c r="AB186" i="19"/>
  <c r="AC186" i="19"/>
  <c r="AD186" i="19"/>
  <c r="AE186" i="19"/>
  <c r="AF186" i="19"/>
  <c r="AH186" i="19"/>
  <c r="AI186" i="19"/>
  <c r="AJ186" i="19"/>
  <c r="AK186" i="19"/>
  <c r="AL186" i="19"/>
  <c r="AM186" i="19"/>
  <c r="AN186" i="19"/>
  <c r="AO186" i="19"/>
  <c r="AP186" i="19"/>
  <c r="AQ186" i="19"/>
  <c r="AB187" i="19"/>
  <c r="AC187" i="19"/>
  <c r="AD187" i="19"/>
  <c r="AE187" i="19"/>
  <c r="AF187" i="19"/>
  <c r="AH187" i="19"/>
  <c r="AI187" i="19"/>
  <c r="AJ187" i="19"/>
  <c r="AK187" i="19"/>
  <c r="AL187" i="19"/>
  <c r="AM187" i="19"/>
  <c r="AN187" i="19"/>
  <c r="AO187" i="19"/>
  <c r="AP187" i="19"/>
  <c r="AQ187" i="19"/>
  <c r="AB188" i="19"/>
  <c r="AC188" i="19"/>
  <c r="AD188" i="19"/>
  <c r="AE188" i="19"/>
  <c r="AF188" i="19"/>
  <c r="AH188" i="19"/>
  <c r="AI188" i="19"/>
  <c r="AJ188" i="19"/>
  <c r="AK188" i="19"/>
  <c r="AL188" i="19"/>
  <c r="AM188" i="19"/>
  <c r="AN188" i="19"/>
  <c r="AO188" i="19"/>
  <c r="AP188" i="19"/>
  <c r="AQ188" i="19"/>
  <c r="AB189" i="19"/>
  <c r="AC189" i="19"/>
  <c r="AD189" i="19"/>
  <c r="AE189" i="19"/>
  <c r="AF189" i="19"/>
  <c r="AH189" i="19"/>
  <c r="AI189" i="19"/>
  <c r="AJ189" i="19"/>
  <c r="AK189" i="19"/>
  <c r="AL189" i="19"/>
  <c r="AM189" i="19"/>
  <c r="AN189" i="19"/>
  <c r="AO189" i="19"/>
  <c r="AP189" i="19"/>
  <c r="AQ189" i="19"/>
  <c r="AB190" i="19"/>
  <c r="AC190" i="19"/>
  <c r="AD190" i="19"/>
  <c r="AE190" i="19"/>
  <c r="AF190" i="19"/>
  <c r="AH190" i="19"/>
  <c r="AI190" i="19"/>
  <c r="AJ190" i="19"/>
  <c r="AK190" i="19"/>
  <c r="AL190" i="19"/>
  <c r="AM190" i="19"/>
  <c r="AN190" i="19"/>
  <c r="AO190" i="19"/>
  <c r="AP190" i="19"/>
  <c r="AQ190" i="19"/>
  <c r="AB191" i="19"/>
  <c r="AC191" i="19"/>
  <c r="AD191" i="19"/>
  <c r="AE191" i="19"/>
  <c r="AF191" i="19"/>
  <c r="AH191" i="19"/>
  <c r="AI191" i="19"/>
  <c r="AJ191" i="19"/>
  <c r="AK191" i="19"/>
  <c r="AL191" i="19"/>
  <c r="AM191" i="19"/>
  <c r="AN191" i="19"/>
  <c r="AO191" i="19"/>
  <c r="AP191" i="19"/>
  <c r="AQ191" i="19"/>
  <c r="AB192" i="19"/>
  <c r="AC192" i="19"/>
  <c r="AD192" i="19"/>
  <c r="AE192" i="19"/>
  <c r="AF192" i="19"/>
  <c r="AH192" i="19"/>
  <c r="AI192" i="19"/>
  <c r="AJ192" i="19"/>
  <c r="AK192" i="19"/>
  <c r="AL192" i="19"/>
  <c r="AM192" i="19"/>
  <c r="AN192" i="19"/>
  <c r="AO192" i="19"/>
  <c r="AP192" i="19"/>
  <c r="AQ192" i="19"/>
  <c r="AB193" i="19"/>
  <c r="AC193" i="19"/>
  <c r="AD193" i="19"/>
  <c r="AE193" i="19"/>
  <c r="AF193" i="19"/>
  <c r="AH193" i="19"/>
  <c r="AI193" i="19"/>
  <c r="AJ193" i="19"/>
  <c r="AK193" i="19"/>
  <c r="AL193" i="19"/>
  <c r="AM193" i="19"/>
  <c r="AN193" i="19"/>
  <c r="AO193" i="19"/>
  <c r="AP193" i="19"/>
  <c r="AQ193" i="19"/>
  <c r="AB194" i="19"/>
  <c r="AC194" i="19"/>
  <c r="AD194" i="19"/>
  <c r="AE194" i="19"/>
  <c r="AF194" i="19"/>
  <c r="AH194" i="19"/>
  <c r="AI194" i="19"/>
  <c r="AJ194" i="19"/>
  <c r="AK194" i="19"/>
  <c r="AL194" i="19"/>
  <c r="AM194" i="19"/>
  <c r="AN194" i="19"/>
  <c r="AO194" i="19"/>
  <c r="AP194" i="19"/>
  <c r="AQ194" i="19"/>
  <c r="AB195" i="19"/>
  <c r="AC195" i="19"/>
  <c r="AD195" i="19"/>
  <c r="AE195" i="19"/>
  <c r="AF195" i="19"/>
  <c r="AH195" i="19"/>
  <c r="AI195" i="19"/>
  <c r="AJ195" i="19"/>
  <c r="AK195" i="19"/>
  <c r="AL195" i="19"/>
  <c r="AM195" i="19"/>
  <c r="AN195" i="19"/>
  <c r="AO195" i="19"/>
  <c r="AP195" i="19"/>
  <c r="AQ195" i="19"/>
  <c r="AB196" i="19"/>
  <c r="AC196" i="19"/>
  <c r="AD196" i="19"/>
  <c r="AE196" i="19"/>
  <c r="AF196" i="19"/>
  <c r="AH196" i="19"/>
  <c r="AI196" i="19"/>
  <c r="AJ196" i="19"/>
  <c r="AK196" i="19"/>
  <c r="AL196" i="19"/>
  <c r="AM196" i="19"/>
  <c r="AN196" i="19"/>
  <c r="AO196" i="19"/>
  <c r="AP196" i="19"/>
  <c r="AQ196" i="19"/>
  <c r="AB197" i="19"/>
  <c r="AC197" i="19"/>
  <c r="AD197" i="19"/>
  <c r="AE197" i="19"/>
  <c r="AF197" i="19"/>
  <c r="AH197" i="19"/>
  <c r="AI197" i="19"/>
  <c r="AJ197" i="19"/>
  <c r="AK197" i="19"/>
  <c r="AL197" i="19"/>
  <c r="AM197" i="19"/>
  <c r="AN197" i="19"/>
  <c r="AO197" i="19"/>
  <c r="AP197" i="19"/>
  <c r="AQ197" i="19"/>
  <c r="AB198" i="19"/>
  <c r="AC198" i="19"/>
  <c r="AD198" i="19"/>
  <c r="AE198" i="19"/>
  <c r="AF198" i="19"/>
  <c r="AH198" i="19"/>
  <c r="AI198" i="19"/>
  <c r="AJ198" i="19"/>
  <c r="AK198" i="19"/>
  <c r="AL198" i="19"/>
  <c r="AM198" i="19"/>
  <c r="AN198" i="19"/>
  <c r="AO198" i="19"/>
  <c r="AP198" i="19"/>
  <c r="AQ198" i="19"/>
  <c r="AB199" i="19"/>
  <c r="AC199" i="19"/>
  <c r="AD199" i="19"/>
  <c r="AE199" i="19"/>
  <c r="AF199" i="19"/>
  <c r="AH199" i="19"/>
  <c r="AI199" i="19"/>
  <c r="AJ199" i="19"/>
  <c r="AK199" i="19"/>
  <c r="AL199" i="19"/>
  <c r="AM199" i="19"/>
  <c r="AN199" i="19"/>
  <c r="AO199" i="19"/>
  <c r="AP199" i="19"/>
  <c r="AQ199" i="19"/>
  <c r="AB200" i="19"/>
  <c r="AC200" i="19"/>
  <c r="AD200" i="19"/>
  <c r="AE200" i="19"/>
  <c r="AF200" i="19"/>
  <c r="AH200" i="19"/>
  <c r="AI200" i="19"/>
  <c r="AJ200" i="19"/>
  <c r="AK200" i="19"/>
  <c r="AL200" i="19"/>
  <c r="AM200" i="19"/>
  <c r="AN200" i="19"/>
  <c r="AO200" i="19"/>
  <c r="AP200" i="19"/>
  <c r="AQ200" i="19"/>
  <c r="AB201" i="19"/>
  <c r="AC201" i="19"/>
  <c r="AD201" i="19"/>
  <c r="AE201" i="19"/>
  <c r="AF201" i="19"/>
  <c r="AH201" i="19"/>
  <c r="AI201" i="19"/>
  <c r="AJ201" i="19"/>
  <c r="AK201" i="19"/>
  <c r="AL201" i="19"/>
  <c r="AM201" i="19"/>
  <c r="AN201" i="19"/>
  <c r="AO201" i="19"/>
  <c r="AP201" i="19"/>
  <c r="AQ201" i="19"/>
  <c r="AB202" i="19"/>
  <c r="AC202" i="19"/>
  <c r="AD202" i="19"/>
  <c r="AE202" i="19"/>
  <c r="AF202" i="19"/>
  <c r="AH202" i="19"/>
  <c r="AI202" i="19"/>
  <c r="AJ202" i="19"/>
  <c r="AK202" i="19"/>
  <c r="AL202" i="19"/>
  <c r="AM202" i="19"/>
  <c r="AN202" i="19"/>
  <c r="AO202" i="19"/>
  <c r="AP202" i="19"/>
  <c r="AQ202" i="19"/>
  <c r="AB203" i="19"/>
  <c r="AC203" i="19"/>
  <c r="AD203" i="19"/>
  <c r="AE203" i="19"/>
  <c r="AF203" i="19"/>
  <c r="AH203" i="19"/>
  <c r="AI203" i="19"/>
  <c r="AJ203" i="19"/>
  <c r="AK203" i="19"/>
  <c r="AL203" i="19"/>
  <c r="AM203" i="19"/>
  <c r="AN203" i="19"/>
  <c r="AO203" i="19"/>
  <c r="AP203" i="19"/>
  <c r="AQ203" i="19"/>
  <c r="AB204" i="19"/>
  <c r="AC204" i="19"/>
  <c r="AD204" i="19"/>
  <c r="AE204" i="19"/>
  <c r="AF204" i="19"/>
  <c r="AH204" i="19"/>
  <c r="AI204" i="19"/>
  <c r="AJ204" i="19"/>
  <c r="AK204" i="19"/>
  <c r="AL204" i="19"/>
  <c r="AM204" i="19"/>
  <c r="AN204" i="19"/>
  <c r="AO204" i="19"/>
  <c r="AP204" i="19"/>
  <c r="AQ204" i="19"/>
  <c r="AB205" i="19"/>
  <c r="AC205" i="19"/>
  <c r="AD205" i="19"/>
  <c r="AE205" i="19"/>
  <c r="AF205" i="19"/>
  <c r="AH205" i="19"/>
  <c r="AI205" i="19"/>
  <c r="AJ205" i="19"/>
  <c r="AK205" i="19"/>
  <c r="AL205" i="19"/>
  <c r="AM205" i="19"/>
  <c r="AN205" i="19"/>
  <c r="AO205" i="19"/>
  <c r="AP205" i="19"/>
  <c r="AQ205" i="19"/>
  <c r="AB206" i="19"/>
  <c r="AC206" i="19"/>
  <c r="AD206" i="19"/>
  <c r="AE206" i="19"/>
  <c r="AF206" i="19"/>
  <c r="AH206" i="19"/>
  <c r="AI206" i="19"/>
  <c r="AJ206" i="19"/>
  <c r="AK206" i="19"/>
  <c r="AL206" i="19"/>
  <c r="AM206" i="19"/>
  <c r="AN206" i="19"/>
  <c r="AO206" i="19"/>
  <c r="AP206" i="19"/>
  <c r="AQ206" i="19"/>
  <c r="AB207" i="19"/>
  <c r="AC207" i="19"/>
  <c r="AD207" i="19"/>
  <c r="AE207" i="19"/>
  <c r="AF207" i="19"/>
  <c r="AH207" i="19"/>
  <c r="AI207" i="19"/>
  <c r="AJ207" i="19"/>
  <c r="AK207" i="19"/>
  <c r="AL207" i="19"/>
  <c r="AM207" i="19"/>
  <c r="AN207" i="19"/>
  <c r="AO207" i="19"/>
  <c r="AP207" i="19"/>
  <c r="AQ207" i="19"/>
  <c r="AB208" i="19"/>
  <c r="AC208" i="19"/>
  <c r="AD208" i="19"/>
  <c r="AE208" i="19"/>
  <c r="AF208" i="19"/>
  <c r="AH208" i="19"/>
  <c r="AI208" i="19"/>
  <c r="AJ208" i="19"/>
  <c r="AK208" i="19"/>
  <c r="AL208" i="19"/>
  <c r="AM208" i="19"/>
  <c r="AN208" i="19"/>
  <c r="AO208" i="19"/>
  <c r="AP208" i="19"/>
  <c r="AQ208" i="19"/>
  <c r="AB209" i="19"/>
  <c r="AC209" i="19"/>
  <c r="AD209" i="19"/>
  <c r="AE209" i="19"/>
  <c r="AF209" i="19"/>
  <c r="AH209" i="19"/>
  <c r="AI209" i="19"/>
  <c r="AJ209" i="19"/>
  <c r="AK209" i="19"/>
  <c r="AL209" i="19"/>
  <c r="AM209" i="19"/>
  <c r="AN209" i="19"/>
  <c r="AO209" i="19"/>
  <c r="AP209" i="19"/>
  <c r="AQ209" i="19"/>
  <c r="AB210" i="19"/>
  <c r="AC210" i="19"/>
  <c r="AD210" i="19"/>
  <c r="AE210" i="19"/>
  <c r="AF210" i="19"/>
  <c r="AH210" i="19"/>
  <c r="AI210" i="19"/>
  <c r="AJ210" i="19"/>
  <c r="AK210" i="19"/>
  <c r="AL210" i="19"/>
  <c r="AM210" i="19"/>
  <c r="AN210" i="19"/>
  <c r="AO210" i="19"/>
  <c r="AP210" i="19"/>
  <c r="AQ210" i="19"/>
  <c r="AB211" i="19"/>
  <c r="AC211" i="19"/>
  <c r="AD211" i="19"/>
  <c r="AE211" i="19"/>
  <c r="AF211" i="19"/>
  <c r="AH211" i="19"/>
  <c r="AI211" i="19"/>
  <c r="AJ211" i="19"/>
  <c r="AK211" i="19"/>
  <c r="AL211" i="19"/>
  <c r="AM211" i="19"/>
  <c r="AN211" i="19"/>
  <c r="AO211" i="19"/>
  <c r="AP211" i="19"/>
  <c r="AQ211" i="19"/>
  <c r="AB212" i="19"/>
  <c r="AC212" i="19"/>
  <c r="AD212" i="19"/>
  <c r="AE212" i="19"/>
  <c r="AF212" i="19"/>
  <c r="AH212" i="19"/>
  <c r="AI212" i="19"/>
  <c r="AJ212" i="19"/>
  <c r="AK212" i="19"/>
  <c r="AL212" i="19"/>
  <c r="AM212" i="19"/>
  <c r="AN212" i="19"/>
  <c r="AO212" i="19"/>
  <c r="AP212" i="19"/>
  <c r="AQ212" i="19"/>
  <c r="AB213" i="19"/>
  <c r="AC213" i="19"/>
  <c r="AD213" i="19"/>
  <c r="AE213" i="19"/>
  <c r="AF213" i="19"/>
  <c r="AH213" i="19"/>
  <c r="AI213" i="19"/>
  <c r="AJ213" i="19"/>
  <c r="AK213" i="19"/>
  <c r="AL213" i="19"/>
  <c r="AM213" i="19"/>
  <c r="AN213" i="19"/>
  <c r="AO213" i="19"/>
  <c r="AP213" i="19"/>
  <c r="AQ213" i="19"/>
  <c r="AB214" i="19"/>
  <c r="AC214" i="19"/>
  <c r="AD214" i="19"/>
  <c r="AE214" i="19"/>
  <c r="AF214" i="19"/>
  <c r="AH214" i="19"/>
  <c r="AI214" i="19"/>
  <c r="AJ214" i="19"/>
  <c r="AK214" i="19"/>
  <c r="AL214" i="19"/>
  <c r="AM214" i="19"/>
  <c r="AN214" i="19"/>
  <c r="AO214" i="19"/>
  <c r="AP214" i="19"/>
  <c r="AQ214" i="19"/>
  <c r="AB215" i="19"/>
  <c r="AC215" i="19"/>
  <c r="AD215" i="19"/>
  <c r="AE215" i="19"/>
  <c r="AF215" i="19"/>
  <c r="AH215" i="19"/>
  <c r="AI215" i="19"/>
  <c r="AJ215" i="19"/>
  <c r="AK215" i="19"/>
  <c r="AL215" i="19"/>
  <c r="AM215" i="19"/>
  <c r="AN215" i="19"/>
  <c r="AO215" i="19"/>
  <c r="AP215" i="19"/>
  <c r="AQ215" i="19"/>
  <c r="AB216" i="19"/>
  <c r="AC216" i="19"/>
  <c r="AD216" i="19"/>
  <c r="AE216" i="19"/>
  <c r="AF216" i="19"/>
  <c r="AH216" i="19"/>
  <c r="AI216" i="19"/>
  <c r="AJ216" i="19"/>
  <c r="AK216" i="19"/>
  <c r="AL216" i="19"/>
  <c r="AM216" i="19"/>
  <c r="AN216" i="19"/>
  <c r="AO216" i="19"/>
  <c r="AP216" i="19"/>
  <c r="AQ216" i="19"/>
  <c r="AB217" i="19"/>
  <c r="AC217" i="19"/>
  <c r="AD217" i="19"/>
  <c r="AE217" i="19"/>
  <c r="AF217" i="19"/>
  <c r="AH217" i="19"/>
  <c r="AI217" i="19"/>
  <c r="AJ217" i="19"/>
  <c r="AK217" i="19"/>
  <c r="AL217" i="19"/>
  <c r="AM217" i="19"/>
  <c r="AN217" i="19"/>
  <c r="AO217" i="19"/>
  <c r="AP217" i="19"/>
  <c r="AQ217" i="19"/>
  <c r="AB218" i="19"/>
  <c r="AC218" i="19"/>
  <c r="AD218" i="19"/>
  <c r="AE218" i="19"/>
  <c r="AF218" i="19"/>
  <c r="AH218" i="19"/>
  <c r="AI218" i="19"/>
  <c r="AJ218" i="19"/>
  <c r="AK218" i="19"/>
  <c r="AL218" i="19"/>
  <c r="AM218" i="19"/>
  <c r="AN218" i="19"/>
  <c r="AO218" i="19"/>
  <c r="AP218" i="19"/>
  <c r="AQ218" i="19"/>
  <c r="AB219" i="19"/>
  <c r="AC219" i="19"/>
  <c r="AD219" i="19"/>
  <c r="AE219" i="19"/>
  <c r="AF219" i="19"/>
  <c r="AH219" i="19"/>
  <c r="AI219" i="19"/>
  <c r="AJ219" i="19"/>
  <c r="AK219" i="19"/>
  <c r="AL219" i="19"/>
  <c r="AM219" i="19"/>
  <c r="AN219" i="19"/>
  <c r="AO219" i="19"/>
  <c r="AP219" i="19"/>
  <c r="AQ219" i="19"/>
  <c r="AB220" i="19"/>
  <c r="AC220" i="19"/>
  <c r="AD220" i="19"/>
  <c r="AE220" i="19"/>
  <c r="AF220" i="19"/>
  <c r="AH220" i="19"/>
  <c r="AI220" i="19"/>
  <c r="AJ220" i="19"/>
  <c r="AK220" i="19"/>
  <c r="AL220" i="19"/>
  <c r="AM220" i="19"/>
  <c r="AN220" i="19"/>
  <c r="AO220" i="19"/>
  <c r="AP220" i="19"/>
  <c r="AQ220" i="19"/>
  <c r="AB221" i="19"/>
  <c r="AC221" i="19"/>
  <c r="AD221" i="19"/>
  <c r="AE221" i="19"/>
  <c r="AF221" i="19"/>
  <c r="AH221" i="19"/>
  <c r="AI221" i="19"/>
  <c r="AJ221" i="19"/>
  <c r="AK221" i="19"/>
  <c r="AL221" i="19"/>
  <c r="AM221" i="19"/>
  <c r="AN221" i="19"/>
  <c r="AO221" i="19"/>
  <c r="AP221" i="19"/>
  <c r="AQ221" i="19"/>
  <c r="AB222" i="19"/>
  <c r="AC222" i="19"/>
  <c r="AD222" i="19"/>
  <c r="AE222" i="19"/>
  <c r="AF222" i="19"/>
  <c r="AH222" i="19"/>
  <c r="AI222" i="19"/>
  <c r="AJ222" i="19"/>
  <c r="AK222" i="19"/>
  <c r="AL222" i="19"/>
  <c r="AM222" i="19"/>
  <c r="AN222" i="19"/>
  <c r="AO222" i="19"/>
  <c r="AP222" i="19"/>
  <c r="AQ222" i="19"/>
  <c r="AB223" i="19"/>
  <c r="AC223" i="19"/>
  <c r="AD223" i="19"/>
  <c r="AE223" i="19"/>
  <c r="AF223" i="19"/>
  <c r="AH223" i="19"/>
  <c r="AI223" i="19"/>
  <c r="AJ223" i="19"/>
  <c r="AK223" i="19"/>
  <c r="AL223" i="19"/>
  <c r="AM223" i="19"/>
  <c r="AN223" i="19"/>
  <c r="AO223" i="19"/>
  <c r="AP223" i="19"/>
  <c r="AQ223" i="19"/>
  <c r="AB224" i="19"/>
  <c r="AC224" i="19"/>
  <c r="AD224" i="19"/>
  <c r="AE224" i="19"/>
  <c r="AF224" i="19"/>
  <c r="AH224" i="19"/>
  <c r="AI224" i="19"/>
  <c r="AJ224" i="19"/>
  <c r="AK224" i="19"/>
  <c r="AL224" i="19"/>
  <c r="AM224" i="19"/>
  <c r="AN224" i="19"/>
  <c r="AO224" i="19"/>
  <c r="AP224" i="19"/>
  <c r="AQ224" i="19"/>
  <c r="AB225" i="19"/>
  <c r="AC225" i="19"/>
  <c r="AD225" i="19"/>
  <c r="AE225" i="19"/>
  <c r="AF225" i="19"/>
  <c r="AH225" i="19"/>
  <c r="AI225" i="19"/>
  <c r="AJ225" i="19"/>
  <c r="AK225" i="19"/>
  <c r="AL225" i="19"/>
  <c r="AM225" i="19"/>
  <c r="AN225" i="19"/>
  <c r="AO225" i="19"/>
  <c r="AP225" i="19"/>
  <c r="AQ225" i="19"/>
  <c r="AB226" i="19"/>
  <c r="AC226" i="19"/>
  <c r="AD226" i="19"/>
  <c r="AE226" i="19"/>
  <c r="AF226" i="19"/>
  <c r="AH226" i="19"/>
  <c r="AI226" i="19"/>
  <c r="AJ226" i="19"/>
  <c r="AK226" i="19"/>
  <c r="AL226" i="19"/>
  <c r="AM226" i="19"/>
  <c r="AN226" i="19"/>
  <c r="AO226" i="19"/>
  <c r="AP226" i="19"/>
  <c r="AQ226" i="19"/>
  <c r="AB227" i="19"/>
  <c r="AC227" i="19"/>
  <c r="AD227" i="19"/>
  <c r="AE227" i="19"/>
  <c r="AF227" i="19"/>
  <c r="AH227" i="19"/>
  <c r="AI227" i="19"/>
  <c r="AJ227" i="19"/>
  <c r="AK227" i="19"/>
  <c r="AL227" i="19"/>
  <c r="AM227" i="19"/>
  <c r="AN227" i="19"/>
  <c r="AO227" i="19"/>
  <c r="AP227" i="19"/>
  <c r="AQ227" i="19"/>
  <c r="AB228" i="19"/>
  <c r="AC228" i="19"/>
  <c r="AD228" i="19"/>
  <c r="AE228" i="19"/>
  <c r="AF228" i="19"/>
  <c r="AH228" i="19"/>
  <c r="AI228" i="19"/>
  <c r="AJ228" i="19"/>
  <c r="AK228" i="19"/>
  <c r="AL228" i="19"/>
  <c r="AM228" i="19"/>
  <c r="AN228" i="19"/>
  <c r="AO228" i="19"/>
  <c r="AP228" i="19"/>
  <c r="AQ228" i="19"/>
  <c r="AB229" i="19"/>
  <c r="AC229" i="19"/>
  <c r="AD229" i="19"/>
  <c r="AE229" i="19"/>
  <c r="AF229" i="19"/>
  <c r="AH229" i="19"/>
  <c r="AI229" i="19"/>
  <c r="AJ229" i="19"/>
  <c r="AK229" i="19"/>
  <c r="AL229" i="19"/>
  <c r="AM229" i="19"/>
  <c r="AN229" i="19"/>
  <c r="AO229" i="19"/>
  <c r="AP229" i="19"/>
  <c r="AQ229" i="19"/>
  <c r="AB230" i="19"/>
  <c r="AC230" i="19"/>
  <c r="AD230" i="19"/>
  <c r="AE230" i="19"/>
  <c r="AF230" i="19"/>
  <c r="AH230" i="19"/>
  <c r="AI230" i="19"/>
  <c r="AJ230" i="19"/>
  <c r="AK230" i="19"/>
  <c r="AL230" i="19"/>
  <c r="AM230" i="19"/>
  <c r="AN230" i="19"/>
  <c r="AO230" i="19"/>
  <c r="AP230" i="19"/>
  <c r="AQ230" i="19"/>
  <c r="AB231" i="19"/>
  <c r="AC231" i="19"/>
  <c r="AD231" i="19"/>
  <c r="AE231" i="19"/>
  <c r="AF231" i="19"/>
  <c r="AH231" i="19"/>
  <c r="AI231" i="19"/>
  <c r="AJ231" i="19"/>
  <c r="AK231" i="19"/>
  <c r="AL231" i="19"/>
  <c r="AM231" i="19"/>
  <c r="AN231" i="19"/>
  <c r="AO231" i="19"/>
  <c r="AP231" i="19"/>
  <c r="AQ231" i="19"/>
  <c r="AB232" i="19"/>
  <c r="AC232" i="19"/>
  <c r="AD232" i="19"/>
  <c r="AE232" i="19"/>
  <c r="AF232" i="19"/>
  <c r="AH232" i="19"/>
  <c r="AI232" i="19"/>
  <c r="AJ232" i="19"/>
  <c r="AK232" i="19"/>
  <c r="AL232" i="19"/>
  <c r="AM232" i="19"/>
  <c r="AN232" i="19"/>
  <c r="AO232" i="19"/>
  <c r="AP232" i="19"/>
  <c r="AQ232" i="19"/>
  <c r="AB233" i="19"/>
  <c r="AC233" i="19"/>
  <c r="AD233" i="19"/>
  <c r="AE233" i="19"/>
  <c r="AF233" i="19"/>
  <c r="AH233" i="19"/>
  <c r="AI233" i="19"/>
  <c r="AJ233" i="19"/>
  <c r="AK233" i="19"/>
  <c r="AL233" i="19"/>
  <c r="AM233" i="19"/>
  <c r="AN233" i="19"/>
  <c r="AO233" i="19"/>
  <c r="AP233" i="19"/>
  <c r="AQ233" i="19"/>
  <c r="AB234" i="19"/>
  <c r="AC234" i="19"/>
  <c r="AD234" i="19"/>
  <c r="AE234" i="19"/>
  <c r="AF234" i="19"/>
  <c r="AH234" i="19"/>
  <c r="AI234" i="19"/>
  <c r="AJ234" i="19"/>
  <c r="AK234" i="19"/>
  <c r="AL234" i="19"/>
  <c r="AM234" i="19"/>
  <c r="AN234" i="19"/>
  <c r="AO234" i="19"/>
  <c r="AP234" i="19"/>
  <c r="AQ234" i="19"/>
  <c r="AB235" i="19"/>
  <c r="AC235" i="19"/>
  <c r="AD235" i="19"/>
  <c r="AE235" i="19"/>
  <c r="AF235" i="19"/>
  <c r="AH235" i="19"/>
  <c r="AI235" i="19"/>
  <c r="AJ235" i="19"/>
  <c r="AK235" i="19"/>
  <c r="AL235" i="19"/>
  <c r="AM235" i="19"/>
  <c r="AN235" i="19"/>
  <c r="AO235" i="19"/>
  <c r="AP235" i="19"/>
  <c r="AQ235" i="19"/>
  <c r="AB236" i="19"/>
  <c r="AC236" i="19"/>
  <c r="AD236" i="19"/>
  <c r="AE236" i="19"/>
  <c r="AF236" i="19"/>
  <c r="AH236" i="19"/>
  <c r="AI236" i="19"/>
  <c r="AJ236" i="19"/>
  <c r="AK236" i="19"/>
  <c r="AL236" i="19"/>
  <c r="AM236" i="19"/>
  <c r="AN236" i="19"/>
  <c r="AO236" i="19"/>
  <c r="AP236" i="19"/>
  <c r="AQ236" i="19"/>
  <c r="AB237" i="19"/>
  <c r="AC237" i="19"/>
  <c r="AD237" i="19"/>
  <c r="AE237" i="19"/>
  <c r="AF237" i="19"/>
  <c r="AH237" i="19"/>
  <c r="AI237" i="19"/>
  <c r="AJ237" i="19"/>
  <c r="AK237" i="19"/>
  <c r="AL237" i="19"/>
  <c r="AM237" i="19"/>
  <c r="AN237" i="19"/>
  <c r="AO237" i="19"/>
  <c r="AP237" i="19"/>
  <c r="AQ237" i="19"/>
  <c r="AB238" i="19"/>
  <c r="AC238" i="19"/>
  <c r="AD238" i="19"/>
  <c r="AE238" i="19"/>
  <c r="AF238" i="19"/>
  <c r="AH238" i="19"/>
  <c r="AI238" i="19"/>
  <c r="AJ238" i="19"/>
  <c r="AK238" i="19"/>
  <c r="AL238" i="19"/>
  <c r="AM238" i="19"/>
  <c r="AN238" i="19"/>
  <c r="AO238" i="19"/>
  <c r="AP238" i="19"/>
  <c r="AQ238" i="19"/>
  <c r="AB239" i="19"/>
  <c r="AC239" i="19"/>
  <c r="AD239" i="19"/>
  <c r="AE239" i="19"/>
  <c r="AF239" i="19"/>
  <c r="AH239" i="19"/>
  <c r="AI239" i="19"/>
  <c r="AJ239" i="19"/>
  <c r="AK239" i="19"/>
  <c r="AL239" i="19"/>
  <c r="AM239" i="19"/>
  <c r="AN239" i="19"/>
  <c r="AO239" i="19"/>
  <c r="AP239" i="19"/>
  <c r="AQ239" i="19"/>
  <c r="AB240" i="19"/>
  <c r="AC240" i="19"/>
  <c r="AD240" i="19"/>
  <c r="AE240" i="19"/>
  <c r="AF240" i="19"/>
  <c r="AH240" i="19"/>
  <c r="AI240" i="19"/>
  <c r="AJ240" i="19"/>
  <c r="AK240" i="19"/>
  <c r="AL240" i="19"/>
  <c r="AM240" i="19"/>
  <c r="AN240" i="19"/>
  <c r="AO240" i="19"/>
  <c r="AP240" i="19"/>
  <c r="AQ240" i="19"/>
  <c r="AB241" i="19"/>
  <c r="AC241" i="19"/>
  <c r="AD241" i="19"/>
  <c r="AE241" i="19"/>
  <c r="AF241" i="19"/>
  <c r="AH241" i="19"/>
  <c r="AI241" i="19"/>
  <c r="AJ241" i="19"/>
  <c r="AK241" i="19"/>
  <c r="AL241" i="19"/>
  <c r="AM241" i="19"/>
  <c r="AN241" i="19"/>
  <c r="AO241" i="19"/>
  <c r="AP241" i="19"/>
  <c r="AQ241" i="19"/>
  <c r="AB242" i="19"/>
  <c r="AC242" i="19"/>
  <c r="AD242" i="19"/>
  <c r="AE242" i="19"/>
  <c r="AF242" i="19"/>
  <c r="AH242" i="19"/>
  <c r="AI242" i="19"/>
  <c r="AJ242" i="19"/>
  <c r="AK242" i="19"/>
  <c r="AL242" i="19"/>
  <c r="AM242" i="19"/>
  <c r="AN242" i="19"/>
  <c r="AO242" i="19"/>
  <c r="AP242" i="19"/>
  <c r="AQ242" i="19"/>
  <c r="AB243" i="19"/>
  <c r="AC243" i="19"/>
  <c r="AD243" i="19"/>
  <c r="AE243" i="19"/>
  <c r="AF243" i="19"/>
  <c r="AH243" i="19"/>
  <c r="AI243" i="19"/>
  <c r="AJ243" i="19"/>
  <c r="AK243" i="19"/>
  <c r="AL243" i="19"/>
  <c r="AM243" i="19"/>
  <c r="AN243" i="19"/>
  <c r="AO243" i="19"/>
  <c r="AP243" i="19"/>
  <c r="AQ243" i="19"/>
  <c r="AB244" i="19"/>
  <c r="AC244" i="19"/>
  <c r="AD244" i="19"/>
  <c r="AE244" i="19"/>
  <c r="AF244" i="19"/>
  <c r="AH244" i="19"/>
  <c r="AI244" i="19"/>
  <c r="AJ244" i="19"/>
  <c r="AK244" i="19"/>
  <c r="AL244" i="19"/>
  <c r="AM244" i="19"/>
  <c r="AN244" i="19"/>
  <c r="AO244" i="19"/>
  <c r="AP244" i="19"/>
  <c r="AQ244" i="19"/>
  <c r="AB245" i="19"/>
  <c r="AC245" i="19"/>
  <c r="AD245" i="19"/>
  <c r="AE245" i="19"/>
  <c r="AF245" i="19"/>
  <c r="AH245" i="19"/>
  <c r="AI245" i="19"/>
  <c r="AJ245" i="19"/>
  <c r="AK245" i="19"/>
  <c r="AL245" i="19"/>
  <c r="AM245" i="19"/>
  <c r="AN245" i="19"/>
  <c r="AO245" i="19"/>
  <c r="AP245" i="19"/>
  <c r="AQ245" i="19"/>
  <c r="AB246" i="19"/>
  <c r="AC246" i="19"/>
  <c r="AD246" i="19"/>
  <c r="AE246" i="19"/>
  <c r="AF246" i="19"/>
  <c r="AH246" i="19"/>
  <c r="AI246" i="19"/>
  <c r="AJ246" i="19"/>
  <c r="AK246" i="19"/>
  <c r="AL246" i="19"/>
  <c r="AM246" i="19"/>
  <c r="AN246" i="19"/>
  <c r="AO246" i="19"/>
  <c r="AP246" i="19"/>
  <c r="AQ246" i="19"/>
  <c r="AB247" i="19"/>
  <c r="AC247" i="19"/>
  <c r="AD247" i="19"/>
  <c r="AE247" i="19"/>
  <c r="AF247" i="19"/>
  <c r="AH247" i="19"/>
  <c r="AI247" i="19"/>
  <c r="AJ247" i="19"/>
  <c r="AK247" i="19"/>
  <c r="AL247" i="19"/>
  <c r="AM247" i="19"/>
  <c r="AN247" i="19"/>
  <c r="AO247" i="19"/>
  <c r="AP247" i="19"/>
  <c r="AQ247" i="19"/>
  <c r="AB248" i="19"/>
  <c r="AC248" i="19"/>
  <c r="AD248" i="19"/>
  <c r="AE248" i="19"/>
  <c r="AF248" i="19"/>
  <c r="AH248" i="19"/>
  <c r="AI248" i="19"/>
  <c r="AJ248" i="19"/>
  <c r="AK248" i="19"/>
  <c r="AL248" i="19"/>
  <c r="AM248" i="19"/>
  <c r="AN248" i="19"/>
  <c r="AO248" i="19"/>
  <c r="AP248" i="19"/>
  <c r="AQ248" i="19"/>
  <c r="AB249" i="19"/>
  <c r="AC249" i="19"/>
  <c r="AD249" i="19"/>
  <c r="AE249" i="19"/>
  <c r="AF249" i="19"/>
  <c r="AH249" i="19"/>
  <c r="AI249" i="19"/>
  <c r="AJ249" i="19"/>
  <c r="AK249" i="19"/>
  <c r="AL249" i="19"/>
  <c r="AM249" i="19"/>
  <c r="AN249" i="19"/>
  <c r="AO249" i="19"/>
  <c r="AP249" i="19"/>
  <c r="AQ249" i="19"/>
  <c r="AB250" i="19"/>
  <c r="AC250" i="19"/>
  <c r="AD250" i="19"/>
  <c r="AE250" i="19"/>
  <c r="AF250" i="19"/>
  <c r="AH250" i="19"/>
  <c r="AI250" i="19"/>
  <c r="AJ250" i="19"/>
  <c r="AK250" i="19"/>
  <c r="AL250" i="19"/>
  <c r="AM250" i="19"/>
  <c r="AN250" i="19"/>
  <c r="AO250" i="19"/>
  <c r="AP250" i="19"/>
  <c r="AQ250" i="19"/>
  <c r="AB251" i="19"/>
  <c r="AC251" i="19"/>
  <c r="AD251" i="19"/>
  <c r="AE251" i="19"/>
  <c r="AF251" i="19"/>
  <c r="AH251" i="19"/>
  <c r="AI251" i="19"/>
  <c r="AJ251" i="19"/>
  <c r="AK251" i="19"/>
  <c r="AL251" i="19"/>
  <c r="AM251" i="19"/>
  <c r="AN251" i="19"/>
  <c r="AO251" i="19"/>
  <c r="AP251" i="19"/>
  <c r="AQ251" i="19"/>
  <c r="AB252" i="19"/>
  <c r="AC252" i="19"/>
  <c r="AD252" i="19"/>
  <c r="AE252" i="19"/>
  <c r="AF252" i="19"/>
  <c r="AH252" i="19"/>
  <c r="AI252" i="19"/>
  <c r="AJ252" i="19"/>
  <c r="AK252" i="19"/>
  <c r="AL252" i="19"/>
  <c r="AM252" i="19"/>
  <c r="AN252" i="19"/>
  <c r="AO252" i="19"/>
  <c r="AP252" i="19"/>
  <c r="AQ252" i="19"/>
  <c r="AB253" i="19"/>
  <c r="AC253" i="19"/>
  <c r="AD253" i="19"/>
  <c r="AE253" i="19"/>
  <c r="AF253" i="19"/>
  <c r="AH253" i="19"/>
  <c r="AI253" i="19"/>
  <c r="AJ253" i="19"/>
  <c r="AK253" i="19"/>
  <c r="AL253" i="19"/>
  <c r="AM253" i="19"/>
  <c r="AN253" i="19"/>
  <c r="AO253" i="19"/>
  <c r="AP253" i="19"/>
  <c r="AQ253" i="19"/>
  <c r="AB254" i="19"/>
  <c r="AC254" i="19"/>
  <c r="AD254" i="19"/>
  <c r="AE254" i="19"/>
  <c r="AF254" i="19"/>
  <c r="AH254" i="19"/>
  <c r="AI254" i="19"/>
  <c r="AJ254" i="19"/>
  <c r="AK254" i="19"/>
  <c r="AL254" i="19"/>
  <c r="AM254" i="19"/>
  <c r="AN254" i="19"/>
  <c r="AO254" i="19"/>
  <c r="AP254" i="19"/>
  <c r="AQ254" i="19"/>
  <c r="AB255" i="19"/>
  <c r="AC255" i="19"/>
  <c r="AD255" i="19"/>
  <c r="AE255" i="19"/>
  <c r="AF255" i="19"/>
  <c r="AH255" i="19"/>
  <c r="AI255" i="19"/>
  <c r="AJ255" i="19"/>
  <c r="AK255" i="19"/>
  <c r="AL255" i="19"/>
  <c r="AM255" i="19"/>
  <c r="AN255" i="19"/>
  <c r="AO255" i="19"/>
  <c r="AP255" i="19"/>
  <c r="AQ255" i="19"/>
  <c r="AB256" i="19"/>
  <c r="AC256" i="19"/>
  <c r="AD256" i="19"/>
  <c r="AE256" i="19"/>
  <c r="AF256" i="19"/>
  <c r="AH256" i="19"/>
  <c r="AI256" i="19"/>
  <c r="AJ256" i="19"/>
  <c r="AK256" i="19"/>
  <c r="AL256" i="19"/>
  <c r="AM256" i="19"/>
  <c r="AN256" i="19"/>
  <c r="AO256" i="19"/>
  <c r="AP256" i="19"/>
  <c r="AQ256" i="19"/>
  <c r="AB257" i="19"/>
  <c r="AC257" i="19"/>
  <c r="AD257" i="19"/>
  <c r="AE257" i="19"/>
  <c r="AF257" i="19"/>
  <c r="AH257" i="19"/>
  <c r="AI257" i="19"/>
  <c r="AJ257" i="19"/>
  <c r="AK257" i="19"/>
  <c r="AL257" i="19"/>
  <c r="AM257" i="19"/>
  <c r="AN257" i="19"/>
  <c r="AO257" i="19"/>
  <c r="AP257" i="19"/>
  <c r="AQ257" i="19"/>
  <c r="AB258" i="19"/>
  <c r="AC258" i="19"/>
  <c r="AD258" i="19"/>
  <c r="AE258" i="19"/>
  <c r="AF258" i="19"/>
  <c r="AH258" i="19"/>
  <c r="AI258" i="19"/>
  <c r="AJ258" i="19"/>
  <c r="AK258" i="19"/>
  <c r="AL258" i="19"/>
  <c r="AM258" i="19"/>
  <c r="AN258" i="19"/>
  <c r="AO258" i="19"/>
  <c r="AP258" i="19"/>
  <c r="AQ258" i="19"/>
  <c r="AB259" i="19"/>
  <c r="AC259" i="19"/>
  <c r="AD259" i="19"/>
  <c r="AE259" i="19"/>
  <c r="AF259" i="19"/>
  <c r="AH259" i="19"/>
  <c r="AI259" i="19"/>
  <c r="AJ259" i="19"/>
  <c r="AK259" i="19"/>
  <c r="AL259" i="19"/>
  <c r="AM259" i="19"/>
  <c r="AN259" i="19"/>
  <c r="AO259" i="19"/>
  <c r="AP259" i="19"/>
  <c r="AQ259" i="19"/>
  <c r="AB260" i="19"/>
  <c r="AC260" i="19"/>
  <c r="AD260" i="19"/>
  <c r="AE260" i="19"/>
  <c r="AF260" i="19"/>
  <c r="AH260" i="19"/>
  <c r="AI260" i="19"/>
  <c r="AJ260" i="19"/>
  <c r="AK260" i="19"/>
  <c r="AL260" i="19"/>
  <c r="AM260" i="19"/>
  <c r="AN260" i="19"/>
  <c r="AO260" i="19"/>
  <c r="AP260" i="19"/>
  <c r="AQ260" i="19"/>
  <c r="AB261" i="19"/>
  <c r="AC261" i="19"/>
  <c r="AD261" i="19"/>
  <c r="AE261" i="19"/>
  <c r="AF261" i="19"/>
  <c r="AH261" i="19"/>
  <c r="AI261" i="19"/>
  <c r="AJ261" i="19"/>
  <c r="AK261" i="19"/>
  <c r="AL261" i="19"/>
  <c r="AM261" i="19"/>
  <c r="AN261" i="19"/>
  <c r="AO261" i="19"/>
  <c r="AP261" i="19"/>
  <c r="AQ261" i="19"/>
  <c r="AB262" i="19"/>
  <c r="AC262" i="19"/>
  <c r="AD262" i="19"/>
  <c r="AE262" i="19"/>
  <c r="AF262" i="19"/>
  <c r="AH262" i="19"/>
  <c r="AI262" i="19"/>
  <c r="AJ262" i="19"/>
  <c r="AK262" i="19"/>
  <c r="AL262" i="19"/>
  <c r="AM262" i="19"/>
  <c r="AN262" i="19"/>
  <c r="AO262" i="19"/>
  <c r="AP262" i="19"/>
  <c r="AQ262" i="19"/>
  <c r="AB263" i="19"/>
  <c r="AC263" i="19"/>
  <c r="AD263" i="19"/>
  <c r="AE263" i="19"/>
  <c r="AF263" i="19"/>
  <c r="AH263" i="19"/>
  <c r="AI263" i="19"/>
  <c r="AJ263" i="19"/>
  <c r="AK263" i="19"/>
  <c r="AL263" i="19"/>
  <c r="AM263" i="19"/>
  <c r="AN263" i="19"/>
  <c r="AO263" i="19"/>
  <c r="AP263" i="19"/>
  <c r="AQ263" i="19"/>
  <c r="AB264" i="19"/>
  <c r="AC264" i="19"/>
  <c r="AD264" i="19"/>
  <c r="AE264" i="19"/>
  <c r="AF264" i="19"/>
  <c r="AH264" i="19"/>
  <c r="AI264" i="19"/>
  <c r="AJ264" i="19"/>
  <c r="AK264" i="19"/>
  <c r="AL264" i="19"/>
  <c r="AM264" i="19"/>
  <c r="AN264" i="19"/>
  <c r="AO264" i="19"/>
  <c r="AP264" i="19"/>
  <c r="AQ264" i="19"/>
  <c r="AB265" i="19"/>
  <c r="AC265" i="19"/>
  <c r="AD265" i="19"/>
  <c r="AE265" i="19"/>
  <c r="AF265" i="19"/>
  <c r="AH265" i="19"/>
  <c r="AI265" i="19"/>
  <c r="AJ265" i="19"/>
  <c r="AK265" i="19"/>
  <c r="AL265" i="19"/>
  <c r="AM265" i="19"/>
  <c r="AN265" i="19"/>
  <c r="AO265" i="19"/>
  <c r="AP265" i="19"/>
  <c r="AQ265" i="19"/>
  <c r="AB266" i="19"/>
  <c r="AC266" i="19"/>
  <c r="AD266" i="19"/>
  <c r="AE266" i="19"/>
  <c r="AF266" i="19"/>
  <c r="AH266" i="19"/>
  <c r="AI266" i="19"/>
  <c r="AJ266" i="19"/>
  <c r="AK266" i="19"/>
  <c r="AL266" i="19"/>
  <c r="AM266" i="19"/>
  <c r="AN266" i="19"/>
  <c r="AO266" i="19"/>
  <c r="AP266" i="19"/>
  <c r="AQ266" i="19"/>
  <c r="AB267" i="19"/>
  <c r="AC267" i="19"/>
  <c r="AD267" i="19"/>
  <c r="AE267" i="19"/>
  <c r="AF267" i="19"/>
  <c r="AH267" i="19"/>
  <c r="AI267" i="19"/>
  <c r="AJ267" i="19"/>
  <c r="AK267" i="19"/>
  <c r="AL267" i="19"/>
  <c r="AM267" i="19"/>
  <c r="AN267" i="19"/>
  <c r="AO267" i="19"/>
  <c r="AP267" i="19"/>
  <c r="AQ267" i="19"/>
  <c r="AB268" i="19"/>
  <c r="AC268" i="19"/>
  <c r="AD268" i="19"/>
  <c r="AE268" i="19"/>
  <c r="AF268" i="19"/>
  <c r="AH268" i="19"/>
  <c r="AI268" i="19"/>
  <c r="AJ268" i="19"/>
  <c r="AK268" i="19"/>
  <c r="AL268" i="19"/>
  <c r="AM268" i="19"/>
  <c r="AN268" i="19"/>
  <c r="AO268" i="19"/>
  <c r="AP268" i="19"/>
  <c r="AQ268" i="19"/>
  <c r="AB269" i="19"/>
  <c r="AC269" i="19"/>
  <c r="AD269" i="19"/>
  <c r="AE269" i="19"/>
  <c r="AF269" i="19"/>
  <c r="AH269" i="19"/>
  <c r="AI269" i="19"/>
  <c r="AJ269" i="19"/>
  <c r="AK269" i="19"/>
  <c r="AL269" i="19"/>
  <c r="AM269" i="19"/>
  <c r="AN269" i="19"/>
  <c r="AO269" i="19"/>
  <c r="AP269" i="19"/>
  <c r="AQ269" i="19"/>
  <c r="AB270" i="19"/>
  <c r="AC270" i="19"/>
  <c r="AD270" i="19"/>
  <c r="AE270" i="19"/>
  <c r="AF270" i="19"/>
  <c r="AH270" i="19"/>
  <c r="AI270" i="19"/>
  <c r="AJ270" i="19"/>
  <c r="AK270" i="19"/>
  <c r="AL270" i="19"/>
  <c r="AM270" i="19"/>
  <c r="AN270" i="19"/>
  <c r="AO270" i="19"/>
  <c r="AP270" i="19"/>
  <c r="AQ270" i="19"/>
  <c r="AB271" i="19"/>
  <c r="AC271" i="19"/>
  <c r="AD271" i="19"/>
  <c r="AE271" i="19"/>
  <c r="AF271" i="19"/>
  <c r="AH271" i="19"/>
  <c r="AI271" i="19"/>
  <c r="AJ271" i="19"/>
  <c r="AK271" i="19"/>
  <c r="AL271" i="19"/>
  <c r="AM271" i="19"/>
  <c r="AN271" i="19"/>
  <c r="AO271" i="19"/>
  <c r="AP271" i="19"/>
  <c r="AQ271" i="19"/>
  <c r="AB272" i="19"/>
  <c r="AC272" i="19"/>
  <c r="AD272" i="19"/>
  <c r="AE272" i="19"/>
  <c r="AF272" i="19"/>
  <c r="AH272" i="19"/>
  <c r="AI272" i="19"/>
  <c r="AJ272" i="19"/>
  <c r="AK272" i="19"/>
  <c r="AL272" i="19"/>
  <c r="AM272" i="19"/>
  <c r="AN272" i="19"/>
  <c r="AO272" i="19"/>
  <c r="AP272" i="19"/>
  <c r="AQ272" i="19"/>
  <c r="AB273" i="19"/>
  <c r="AC273" i="19"/>
  <c r="AD273" i="19"/>
  <c r="AE273" i="19"/>
  <c r="AF273" i="19"/>
  <c r="AH273" i="19"/>
  <c r="AI273" i="19"/>
  <c r="AJ273" i="19"/>
  <c r="AK273" i="19"/>
  <c r="AL273" i="19"/>
  <c r="AM273" i="19"/>
  <c r="AN273" i="19"/>
  <c r="AO273" i="19"/>
  <c r="AP273" i="19"/>
  <c r="AQ273" i="19"/>
  <c r="AB274" i="19"/>
  <c r="AC274" i="19"/>
  <c r="AD274" i="19"/>
  <c r="AE274" i="19"/>
  <c r="AF274" i="19"/>
  <c r="AH274" i="19"/>
  <c r="AI274" i="19"/>
  <c r="AJ274" i="19"/>
  <c r="AK274" i="19"/>
  <c r="AL274" i="19"/>
  <c r="AM274" i="19"/>
  <c r="AN274" i="19"/>
  <c r="AO274" i="19"/>
  <c r="AP274" i="19"/>
  <c r="AQ274" i="19"/>
  <c r="AB275" i="19"/>
  <c r="AC275" i="19"/>
  <c r="AD275" i="19"/>
  <c r="AE275" i="19"/>
  <c r="AF275" i="19"/>
  <c r="AH275" i="19"/>
  <c r="AI275" i="19"/>
  <c r="AJ275" i="19"/>
  <c r="AK275" i="19"/>
  <c r="AL275" i="19"/>
  <c r="AM275" i="19"/>
  <c r="AN275" i="19"/>
  <c r="AO275" i="19"/>
  <c r="AP275" i="19"/>
  <c r="AQ275" i="19"/>
  <c r="AB276" i="19"/>
  <c r="AC276" i="19"/>
  <c r="AD276" i="19"/>
  <c r="AE276" i="19"/>
  <c r="AF276" i="19"/>
  <c r="AH276" i="19"/>
  <c r="AI276" i="19"/>
  <c r="AJ276" i="19"/>
  <c r="AK276" i="19"/>
  <c r="AL276" i="19"/>
  <c r="AM276" i="19"/>
  <c r="AN276" i="19"/>
  <c r="AO276" i="19"/>
  <c r="AP276" i="19"/>
  <c r="AQ276" i="19"/>
  <c r="AB277" i="19"/>
  <c r="AC277" i="19"/>
  <c r="AD277" i="19"/>
  <c r="AE277" i="19"/>
  <c r="AF277" i="19"/>
  <c r="AH277" i="19"/>
  <c r="AI277" i="19"/>
  <c r="AJ277" i="19"/>
  <c r="AK277" i="19"/>
  <c r="AL277" i="19"/>
  <c r="AM277" i="19"/>
  <c r="AN277" i="19"/>
  <c r="AO277" i="19"/>
  <c r="AP277" i="19"/>
  <c r="AQ277" i="19"/>
  <c r="AB278" i="19"/>
  <c r="AC278" i="19"/>
  <c r="AD278" i="19"/>
  <c r="AE278" i="19"/>
  <c r="AF278" i="19"/>
  <c r="AH278" i="19"/>
  <c r="AI278" i="19"/>
  <c r="AJ278" i="19"/>
  <c r="AK278" i="19"/>
  <c r="AL278" i="19"/>
  <c r="AM278" i="19"/>
  <c r="AN278" i="19"/>
  <c r="AO278" i="19"/>
  <c r="AP278" i="19"/>
  <c r="AQ278" i="19"/>
  <c r="AB279" i="19"/>
  <c r="AC279" i="19"/>
  <c r="AD279" i="19"/>
  <c r="AE279" i="19"/>
  <c r="AF279" i="19"/>
  <c r="AH279" i="19"/>
  <c r="AI279" i="19"/>
  <c r="AJ279" i="19"/>
  <c r="AK279" i="19"/>
  <c r="AL279" i="19"/>
  <c r="AM279" i="19"/>
  <c r="AN279" i="19"/>
  <c r="AO279" i="19"/>
  <c r="AP279" i="19"/>
  <c r="AQ279" i="19"/>
  <c r="AB280" i="19"/>
  <c r="AC280" i="19"/>
  <c r="AD280" i="19"/>
  <c r="AE280" i="19"/>
  <c r="AF280" i="19"/>
  <c r="AH280" i="19"/>
  <c r="AI280" i="19"/>
  <c r="AJ280" i="19"/>
  <c r="AK280" i="19"/>
  <c r="AL280" i="19"/>
  <c r="AM280" i="19"/>
  <c r="AN280" i="19"/>
  <c r="AO280" i="19"/>
  <c r="AP280" i="19"/>
  <c r="AQ280" i="19"/>
  <c r="AB281" i="19"/>
  <c r="AC281" i="19"/>
  <c r="AD281" i="19"/>
  <c r="AE281" i="19"/>
  <c r="AF281" i="19"/>
  <c r="AH281" i="19"/>
  <c r="AI281" i="19"/>
  <c r="AJ281" i="19"/>
  <c r="AK281" i="19"/>
  <c r="AL281" i="19"/>
  <c r="AM281" i="19"/>
  <c r="AN281" i="19"/>
  <c r="AO281" i="19"/>
  <c r="AP281" i="19"/>
  <c r="AQ281" i="19"/>
  <c r="AB282" i="19"/>
  <c r="AC282" i="19"/>
  <c r="AD282" i="19"/>
  <c r="AE282" i="19"/>
  <c r="AF282" i="19"/>
  <c r="AH282" i="19"/>
  <c r="AI282" i="19"/>
  <c r="AJ282" i="19"/>
  <c r="AK282" i="19"/>
  <c r="AL282" i="19"/>
  <c r="AM282" i="19"/>
  <c r="AN282" i="19"/>
  <c r="AO282" i="19"/>
  <c r="AP282" i="19"/>
  <c r="AQ282" i="19"/>
  <c r="AB283" i="19"/>
  <c r="AC283" i="19"/>
  <c r="AD283" i="19"/>
  <c r="AE283" i="19"/>
  <c r="AF283" i="19"/>
  <c r="AH283" i="19"/>
  <c r="AI283" i="19"/>
  <c r="AJ283" i="19"/>
  <c r="AK283" i="19"/>
  <c r="AL283" i="19"/>
  <c r="AM283" i="19"/>
  <c r="AN283" i="19"/>
  <c r="AO283" i="19"/>
  <c r="AP283" i="19"/>
  <c r="AQ283" i="19"/>
  <c r="AB284" i="19"/>
  <c r="AC284" i="19"/>
  <c r="AD284" i="19"/>
  <c r="AE284" i="19"/>
  <c r="AF284" i="19"/>
  <c r="AH284" i="19"/>
  <c r="AI284" i="19"/>
  <c r="AJ284" i="19"/>
  <c r="AK284" i="19"/>
  <c r="AL284" i="19"/>
  <c r="AM284" i="19"/>
  <c r="AN284" i="19"/>
  <c r="AO284" i="19"/>
  <c r="AP284" i="19"/>
  <c r="AQ284" i="19"/>
  <c r="AB285" i="19"/>
  <c r="AC285" i="19"/>
  <c r="AD285" i="19"/>
  <c r="AE285" i="19"/>
  <c r="AF285" i="19"/>
  <c r="AH285" i="19"/>
  <c r="AI285" i="19"/>
  <c r="AJ285" i="19"/>
  <c r="AK285" i="19"/>
  <c r="AL285" i="19"/>
  <c r="AM285" i="19"/>
  <c r="AN285" i="19"/>
  <c r="AO285" i="19"/>
  <c r="AP285" i="19"/>
  <c r="AQ285" i="19"/>
  <c r="AB286" i="19"/>
  <c r="AC286" i="19"/>
  <c r="AD286" i="19"/>
  <c r="AE286" i="19"/>
  <c r="AF286" i="19"/>
  <c r="AH286" i="19"/>
  <c r="AI286" i="19"/>
  <c r="AJ286" i="19"/>
  <c r="AK286" i="19"/>
  <c r="AL286" i="19"/>
  <c r="AM286" i="19"/>
  <c r="AN286" i="19"/>
  <c r="AO286" i="19"/>
  <c r="AP286" i="19"/>
  <c r="AQ286" i="19"/>
  <c r="AB287" i="19"/>
  <c r="AC287" i="19"/>
  <c r="AD287" i="19"/>
  <c r="AE287" i="19"/>
  <c r="AF287" i="19"/>
  <c r="AH287" i="19"/>
  <c r="AI287" i="19"/>
  <c r="AJ287" i="19"/>
  <c r="AK287" i="19"/>
  <c r="AL287" i="19"/>
  <c r="AM287" i="19"/>
  <c r="AN287" i="19"/>
  <c r="AO287" i="19"/>
  <c r="AP287" i="19"/>
  <c r="AQ287" i="19"/>
  <c r="AB288" i="19"/>
  <c r="AC288" i="19"/>
  <c r="AD288" i="19"/>
  <c r="AE288" i="19"/>
  <c r="AF288" i="19"/>
  <c r="AH288" i="19"/>
  <c r="AI288" i="19"/>
  <c r="AJ288" i="19"/>
  <c r="AK288" i="19"/>
  <c r="AL288" i="19"/>
  <c r="AM288" i="19"/>
  <c r="AN288" i="19"/>
  <c r="AO288" i="19"/>
  <c r="AP288" i="19"/>
  <c r="AQ288" i="19"/>
  <c r="AB289" i="19"/>
  <c r="AC289" i="19"/>
  <c r="AD289" i="19"/>
  <c r="AE289" i="19"/>
  <c r="AF289" i="19"/>
  <c r="AH289" i="19"/>
  <c r="AI289" i="19"/>
  <c r="AJ289" i="19"/>
  <c r="AK289" i="19"/>
  <c r="AL289" i="19"/>
  <c r="AM289" i="19"/>
  <c r="AN289" i="19"/>
  <c r="AO289" i="19"/>
  <c r="AP289" i="19"/>
  <c r="AQ289" i="19"/>
  <c r="AB290" i="19"/>
  <c r="AC290" i="19"/>
  <c r="AD290" i="19"/>
  <c r="AE290" i="19"/>
  <c r="AF290" i="19"/>
  <c r="AH290" i="19"/>
  <c r="AI290" i="19"/>
  <c r="AJ290" i="19"/>
  <c r="AK290" i="19"/>
  <c r="AL290" i="19"/>
  <c r="AM290" i="19"/>
  <c r="AN290" i="19"/>
  <c r="AO290" i="19"/>
  <c r="AP290" i="19"/>
  <c r="AQ290" i="19"/>
  <c r="AB291" i="19"/>
  <c r="AC291" i="19"/>
  <c r="AD291" i="19"/>
  <c r="AE291" i="19"/>
  <c r="AF291" i="19"/>
  <c r="AH291" i="19"/>
  <c r="AI291" i="19"/>
  <c r="AJ291" i="19"/>
  <c r="AK291" i="19"/>
  <c r="AL291" i="19"/>
  <c r="AM291" i="19"/>
  <c r="AN291" i="19"/>
  <c r="AO291" i="19"/>
  <c r="AP291" i="19"/>
  <c r="AQ291" i="19"/>
  <c r="AB292" i="19"/>
  <c r="AC292" i="19"/>
  <c r="AD292" i="19"/>
  <c r="AE292" i="19"/>
  <c r="AF292" i="19"/>
  <c r="AH292" i="19"/>
  <c r="AI292" i="19"/>
  <c r="AJ292" i="19"/>
  <c r="AK292" i="19"/>
  <c r="AL292" i="19"/>
  <c r="AM292" i="19"/>
  <c r="AN292" i="19"/>
  <c r="AO292" i="19"/>
  <c r="AP292" i="19"/>
  <c r="AQ292" i="19"/>
  <c r="AB293" i="19"/>
  <c r="AC293" i="19"/>
  <c r="AD293" i="19"/>
  <c r="AE293" i="19"/>
  <c r="AF293" i="19"/>
  <c r="AH293" i="19"/>
  <c r="AI293" i="19"/>
  <c r="AJ293" i="19"/>
  <c r="AK293" i="19"/>
  <c r="AL293" i="19"/>
  <c r="AM293" i="19"/>
  <c r="AN293" i="19"/>
  <c r="AO293" i="19"/>
  <c r="AP293" i="19"/>
  <c r="AQ293" i="19"/>
  <c r="AB294" i="19"/>
  <c r="AC294" i="19"/>
  <c r="AD294" i="19"/>
  <c r="AE294" i="19"/>
  <c r="AF294" i="19"/>
  <c r="AH294" i="19"/>
  <c r="AI294" i="19"/>
  <c r="AJ294" i="19"/>
  <c r="AK294" i="19"/>
  <c r="AL294" i="19"/>
  <c r="AM294" i="19"/>
  <c r="AN294" i="19"/>
  <c r="AO294" i="19"/>
  <c r="AP294" i="19"/>
  <c r="AQ294" i="19"/>
  <c r="AB295" i="19"/>
  <c r="AC295" i="19"/>
  <c r="AD295" i="19"/>
  <c r="AE295" i="19"/>
  <c r="AF295" i="19"/>
  <c r="AH295" i="19"/>
  <c r="AI295" i="19"/>
  <c r="AJ295" i="19"/>
  <c r="AK295" i="19"/>
  <c r="AL295" i="19"/>
  <c r="AM295" i="19"/>
  <c r="AN295" i="19"/>
  <c r="AO295" i="19"/>
  <c r="AP295" i="19"/>
  <c r="AQ295" i="19"/>
  <c r="AB296" i="19"/>
  <c r="AC296" i="19"/>
  <c r="AD296" i="19"/>
  <c r="AE296" i="19"/>
  <c r="AF296" i="19"/>
  <c r="AH296" i="19"/>
  <c r="AI296" i="19"/>
  <c r="AJ296" i="19"/>
  <c r="AK296" i="19"/>
  <c r="AL296" i="19"/>
  <c r="AM296" i="19"/>
  <c r="AN296" i="19"/>
  <c r="AO296" i="19"/>
  <c r="AP296" i="19"/>
  <c r="AQ296" i="19"/>
  <c r="AB297" i="19"/>
  <c r="AC297" i="19"/>
  <c r="AD297" i="19"/>
  <c r="AE297" i="19"/>
  <c r="AF297" i="19"/>
  <c r="AH297" i="19"/>
  <c r="AI297" i="19"/>
  <c r="AJ297" i="19"/>
  <c r="AK297" i="19"/>
  <c r="AL297" i="19"/>
  <c r="AM297" i="19"/>
  <c r="AN297" i="19"/>
  <c r="AO297" i="19"/>
  <c r="AP297" i="19"/>
  <c r="AQ297" i="19"/>
  <c r="AB298" i="19"/>
  <c r="AC298" i="19"/>
  <c r="AD298" i="19"/>
  <c r="AE298" i="19"/>
  <c r="AF298" i="19"/>
  <c r="AH298" i="19"/>
  <c r="AI298" i="19"/>
  <c r="AJ298" i="19"/>
  <c r="AK298" i="19"/>
  <c r="AL298" i="19"/>
  <c r="AM298" i="19"/>
  <c r="AN298" i="19"/>
  <c r="AO298" i="19"/>
  <c r="AP298" i="19"/>
  <c r="AQ298" i="19"/>
  <c r="AB299" i="19"/>
  <c r="AC299" i="19"/>
  <c r="AD299" i="19"/>
  <c r="AE299" i="19"/>
  <c r="AF299" i="19"/>
  <c r="AH299" i="19"/>
  <c r="AI299" i="19"/>
  <c r="AJ299" i="19"/>
  <c r="AK299" i="19"/>
  <c r="AL299" i="19"/>
  <c r="AM299" i="19"/>
  <c r="AN299" i="19"/>
  <c r="AO299" i="19"/>
  <c r="AP299" i="19"/>
  <c r="AQ299" i="19"/>
  <c r="AB300" i="19"/>
  <c r="AC300" i="19"/>
  <c r="AD300" i="19"/>
  <c r="AE300" i="19"/>
  <c r="AF300" i="19"/>
  <c r="AH300" i="19"/>
  <c r="AI300" i="19"/>
  <c r="AJ300" i="19"/>
  <c r="AK300" i="19"/>
  <c r="AL300" i="19"/>
  <c r="AM300" i="19"/>
  <c r="AN300" i="19"/>
  <c r="AO300" i="19"/>
  <c r="AP300" i="19"/>
  <c r="AQ300" i="19"/>
  <c r="AB301" i="19"/>
  <c r="AC301" i="19"/>
  <c r="AD301" i="19"/>
  <c r="AE301" i="19"/>
  <c r="AF301" i="19"/>
  <c r="AH301" i="19"/>
  <c r="AI301" i="19"/>
  <c r="AJ301" i="19"/>
  <c r="AK301" i="19"/>
  <c r="AL301" i="19"/>
  <c r="AM301" i="19"/>
  <c r="AN301" i="19"/>
  <c r="AO301" i="19"/>
  <c r="AP301" i="19"/>
  <c r="AQ301" i="19"/>
  <c r="AB302" i="19"/>
  <c r="AC302" i="19"/>
  <c r="AD302" i="19"/>
  <c r="AE302" i="19"/>
  <c r="AF302" i="19"/>
  <c r="AH302" i="19"/>
  <c r="AI302" i="19"/>
  <c r="AJ302" i="19"/>
  <c r="AK302" i="19"/>
  <c r="AL302" i="19"/>
  <c r="AM302" i="19"/>
  <c r="AN302" i="19"/>
  <c r="AO302" i="19"/>
  <c r="AP302" i="19"/>
  <c r="AQ302" i="19"/>
  <c r="AB303" i="19"/>
  <c r="AC303" i="19"/>
  <c r="AD303" i="19"/>
  <c r="AE303" i="19"/>
  <c r="AF303" i="19"/>
  <c r="AH303" i="19"/>
  <c r="AI303" i="19"/>
  <c r="AJ303" i="19"/>
  <c r="AK303" i="19"/>
  <c r="AL303" i="19"/>
  <c r="AM303" i="19"/>
  <c r="AN303" i="19"/>
  <c r="AO303" i="19"/>
  <c r="AP303" i="19"/>
  <c r="AQ303" i="19"/>
  <c r="AB304" i="19"/>
  <c r="AC304" i="19"/>
  <c r="AD304" i="19"/>
  <c r="AE304" i="19"/>
  <c r="AF304" i="19"/>
  <c r="AH304" i="19"/>
  <c r="AI304" i="19"/>
  <c r="AJ304" i="19"/>
  <c r="AK304" i="19"/>
  <c r="AL304" i="19"/>
  <c r="AM304" i="19"/>
  <c r="AN304" i="19"/>
  <c r="AO304" i="19"/>
  <c r="AP304" i="19"/>
  <c r="AQ304" i="19"/>
  <c r="AB305" i="19"/>
  <c r="AC305" i="19"/>
  <c r="AD305" i="19"/>
  <c r="AE305" i="19"/>
  <c r="AF305" i="19"/>
  <c r="AH305" i="19"/>
  <c r="AI305" i="19"/>
  <c r="AJ305" i="19"/>
  <c r="AK305" i="19"/>
  <c r="AL305" i="19"/>
  <c r="AM305" i="19"/>
  <c r="AN305" i="19"/>
  <c r="AO305" i="19"/>
  <c r="AP305" i="19"/>
  <c r="AQ305" i="19"/>
  <c r="AB306" i="19"/>
  <c r="AC306" i="19"/>
  <c r="AD306" i="19"/>
  <c r="AE306" i="19"/>
  <c r="AF306" i="19"/>
  <c r="AH306" i="19"/>
  <c r="AI306" i="19"/>
  <c r="AJ306" i="19"/>
  <c r="AK306" i="19"/>
  <c r="AL306" i="19"/>
  <c r="AM306" i="19"/>
  <c r="AN306" i="19"/>
  <c r="AO306" i="19"/>
  <c r="AP306" i="19"/>
  <c r="AQ306" i="19"/>
  <c r="AB307" i="19"/>
  <c r="AC307" i="19"/>
  <c r="AD307" i="19"/>
  <c r="AE307" i="19"/>
  <c r="AF307" i="19"/>
  <c r="AH307" i="19"/>
  <c r="AI307" i="19"/>
  <c r="AJ307" i="19"/>
  <c r="AK307" i="19"/>
  <c r="AL307" i="19"/>
  <c r="AM307" i="19"/>
  <c r="AN307" i="19"/>
  <c r="AO307" i="19"/>
  <c r="AP307" i="19"/>
  <c r="AQ307" i="19"/>
  <c r="AB308" i="19"/>
  <c r="AC308" i="19"/>
  <c r="AD308" i="19"/>
  <c r="AE308" i="19"/>
  <c r="AF308" i="19"/>
  <c r="AH308" i="19"/>
  <c r="AI308" i="19"/>
  <c r="AJ308" i="19"/>
  <c r="AK308" i="19"/>
  <c r="AL308" i="19"/>
  <c r="AM308" i="19"/>
  <c r="AN308" i="19"/>
  <c r="AO308" i="19"/>
  <c r="AP308" i="19"/>
  <c r="AQ308" i="19"/>
  <c r="AB309" i="19"/>
  <c r="AC309" i="19"/>
  <c r="AD309" i="19"/>
  <c r="AE309" i="19"/>
  <c r="AF309" i="19"/>
  <c r="AH309" i="19"/>
  <c r="AI309" i="19"/>
  <c r="AJ309" i="19"/>
  <c r="AK309" i="19"/>
  <c r="AL309" i="19"/>
  <c r="AM309" i="19"/>
  <c r="AN309" i="19"/>
  <c r="AO309" i="19"/>
  <c r="AP309" i="19"/>
  <c r="AQ309" i="19"/>
  <c r="AB310" i="19"/>
  <c r="AC310" i="19"/>
  <c r="AD310" i="19"/>
  <c r="AE310" i="19"/>
  <c r="AF310" i="19"/>
  <c r="AH310" i="19"/>
  <c r="AI310" i="19"/>
  <c r="AJ310" i="19"/>
  <c r="AK310" i="19"/>
  <c r="AL310" i="19"/>
  <c r="AM310" i="19"/>
  <c r="AN310" i="19"/>
  <c r="AO310" i="19"/>
  <c r="AP310" i="19"/>
  <c r="AQ310" i="19"/>
  <c r="AB311" i="19"/>
  <c r="AC311" i="19"/>
  <c r="AD311" i="19"/>
  <c r="AE311" i="19"/>
  <c r="AF311" i="19"/>
  <c r="AH311" i="19"/>
  <c r="AI311" i="19"/>
  <c r="AJ311" i="19"/>
  <c r="AK311" i="19"/>
  <c r="AL311" i="19"/>
  <c r="AM311" i="19"/>
  <c r="AN311" i="19"/>
  <c r="AO311" i="19"/>
  <c r="AP311" i="19"/>
  <c r="AQ311" i="19"/>
  <c r="AB312" i="19"/>
  <c r="AC312" i="19"/>
  <c r="AD312" i="19"/>
  <c r="AE312" i="19"/>
  <c r="AF312" i="19"/>
  <c r="AH312" i="19"/>
  <c r="AI312" i="19"/>
  <c r="AJ312" i="19"/>
  <c r="AK312" i="19"/>
  <c r="AL312" i="19"/>
  <c r="AM312" i="19"/>
  <c r="AN312" i="19"/>
  <c r="AO312" i="19"/>
  <c r="AP312" i="19"/>
  <c r="AQ312" i="19"/>
  <c r="AB313" i="19"/>
  <c r="AC313" i="19"/>
  <c r="AD313" i="19"/>
  <c r="AE313" i="19"/>
  <c r="AF313" i="19"/>
  <c r="AH313" i="19"/>
  <c r="AI313" i="19"/>
  <c r="AJ313" i="19"/>
  <c r="AK313" i="19"/>
  <c r="AL313" i="19"/>
  <c r="AM313" i="19"/>
  <c r="AN313" i="19"/>
  <c r="AO313" i="19"/>
  <c r="AP313" i="19"/>
  <c r="AQ313" i="19"/>
  <c r="AB314" i="19"/>
  <c r="AC314" i="19"/>
  <c r="AD314" i="19"/>
  <c r="AE314" i="19"/>
  <c r="AF314" i="19"/>
  <c r="AH314" i="19"/>
  <c r="AI314" i="19"/>
  <c r="AJ314" i="19"/>
  <c r="AK314" i="19"/>
  <c r="AL314" i="19"/>
  <c r="AM314" i="19"/>
  <c r="AN314" i="19"/>
  <c r="AO314" i="19"/>
  <c r="AP314" i="19"/>
  <c r="AQ314" i="19"/>
  <c r="AB315" i="19"/>
  <c r="AC315" i="19"/>
  <c r="AD315" i="19"/>
  <c r="AE315" i="19"/>
  <c r="AF315" i="19"/>
  <c r="AH315" i="19"/>
  <c r="AI315" i="19"/>
  <c r="AJ315" i="19"/>
  <c r="AK315" i="19"/>
  <c r="AL315" i="19"/>
  <c r="AM315" i="19"/>
  <c r="AN315" i="19"/>
  <c r="AO315" i="19"/>
  <c r="AP315" i="19"/>
  <c r="AQ315" i="19"/>
  <c r="AB8" i="19"/>
  <c r="AC8" i="19"/>
  <c r="AD8" i="19"/>
  <c r="AE8" i="19"/>
  <c r="AF8" i="19"/>
  <c r="AH8" i="19"/>
  <c r="AI8" i="19"/>
  <c r="AJ8" i="19"/>
  <c r="AK8" i="19"/>
  <c r="AL8" i="19"/>
  <c r="AM8" i="19"/>
  <c r="AN8" i="19"/>
  <c r="AO8" i="19"/>
  <c r="AP8" i="19"/>
  <c r="AQ8" i="19"/>
  <c r="AB9" i="19"/>
  <c r="AC9" i="19"/>
  <c r="AD9" i="19"/>
  <c r="AE9" i="19"/>
  <c r="AF9" i="19"/>
  <c r="AH9" i="19"/>
  <c r="AI9" i="19"/>
  <c r="AJ9" i="19"/>
  <c r="AK9" i="19"/>
  <c r="AL9" i="19"/>
  <c r="AM9" i="19"/>
  <c r="AN9" i="19"/>
  <c r="AO9" i="19"/>
  <c r="AP9" i="19"/>
  <c r="AQ9" i="19"/>
  <c r="AB10" i="19"/>
  <c r="AC10" i="19"/>
  <c r="AD10" i="19"/>
  <c r="AE10" i="19"/>
  <c r="AF10" i="19"/>
  <c r="AH10" i="19"/>
  <c r="AI10" i="19"/>
  <c r="AJ10" i="19"/>
  <c r="AK10" i="19"/>
  <c r="AL10" i="19"/>
  <c r="AM10" i="19"/>
  <c r="AN10" i="19"/>
  <c r="AO10" i="19"/>
  <c r="AP10" i="19"/>
  <c r="AQ10" i="19"/>
  <c r="AB11" i="19"/>
  <c r="AC11" i="19"/>
  <c r="AD11" i="19"/>
  <c r="AE11" i="19"/>
  <c r="AF11" i="19"/>
  <c r="AH11" i="19"/>
  <c r="AI11" i="19"/>
  <c r="AJ11" i="19"/>
  <c r="AK11" i="19"/>
  <c r="AL11" i="19"/>
  <c r="AM11" i="19"/>
  <c r="AN11" i="19"/>
  <c r="AO11" i="19"/>
  <c r="AP11" i="19"/>
  <c r="AQ11" i="19"/>
  <c r="AB12" i="19"/>
  <c r="AC12" i="19"/>
  <c r="AD12" i="19"/>
  <c r="AE12" i="19"/>
  <c r="AF12" i="19"/>
  <c r="AH12" i="19"/>
  <c r="AI12" i="19"/>
  <c r="AJ12" i="19"/>
  <c r="AK12" i="19"/>
  <c r="AL12" i="19"/>
  <c r="AM12" i="19"/>
  <c r="AN12" i="19"/>
  <c r="AO12" i="19"/>
  <c r="AP12" i="19"/>
  <c r="AQ12" i="19"/>
  <c r="AB13" i="19"/>
  <c r="AC13" i="19"/>
  <c r="AD13" i="19"/>
  <c r="AE13" i="19"/>
  <c r="AF13" i="19"/>
  <c r="AH13" i="19"/>
  <c r="AI13" i="19"/>
  <c r="AJ13" i="19"/>
  <c r="AK13" i="19"/>
  <c r="AL13" i="19"/>
  <c r="AM13" i="19"/>
  <c r="AN13" i="19"/>
  <c r="AO13" i="19"/>
  <c r="AP13" i="19"/>
  <c r="AQ13" i="19"/>
  <c r="AB14" i="19"/>
  <c r="AC14" i="19"/>
  <c r="AD14" i="19"/>
  <c r="AE14" i="19"/>
  <c r="AF14" i="19"/>
  <c r="AH14" i="19"/>
  <c r="AI14" i="19"/>
  <c r="AJ14" i="19"/>
  <c r="AK14" i="19"/>
  <c r="AL14" i="19"/>
  <c r="AM14" i="19"/>
  <c r="AN14" i="19"/>
  <c r="AO14" i="19"/>
  <c r="AP14" i="19"/>
  <c r="AQ14" i="19"/>
  <c r="AB15" i="19"/>
  <c r="AC15" i="19"/>
  <c r="AD15" i="19"/>
  <c r="AE15" i="19"/>
  <c r="AF15" i="19"/>
  <c r="AH15" i="19"/>
  <c r="AI15" i="19"/>
  <c r="AJ15" i="19"/>
  <c r="AK15" i="19"/>
  <c r="AL15" i="19"/>
  <c r="AM15" i="19"/>
  <c r="AN15" i="19"/>
  <c r="AO15" i="19"/>
  <c r="AP15" i="19"/>
  <c r="AQ15" i="19"/>
  <c r="AB16" i="19"/>
  <c r="AC16" i="19"/>
  <c r="AD16" i="19"/>
  <c r="AE16" i="19"/>
  <c r="AF16" i="19"/>
  <c r="AH16" i="19"/>
  <c r="AI16" i="19"/>
  <c r="AJ16" i="19"/>
  <c r="AK16" i="19"/>
  <c r="AL16" i="19"/>
  <c r="AM16" i="19"/>
  <c r="AN16" i="19"/>
  <c r="AO16" i="19"/>
  <c r="AP16" i="19"/>
  <c r="AQ16" i="19"/>
  <c r="AB17" i="19"/>
  <c r="AC17" i="19"/>
  <c r="AD17" i="19"/>
  <c r="AE17" i="19"/>
  <c r="AF17" i="19"/>
  <c r="AH17" i="19"/>
  <c r="AI17" i="19"/>
  <c r="AJ17" i="19"/>
  <c r="AK17" i="19"/>
  <c r="AL17" i="19"/>
  <c r="AM17" i="19"/>
  <c r="AN17" i="19"/>
  <c r="AO17" i="19"/>
  <c r="AP17" i="19"/>
  <c r="AQ17" i="19"/>
  <c r="AB18" i="19"/>
  <c r="AC18" i="19"/>
  <c r="AD18" i="19"/>
  <c r="AE18" i="19"/>
  <c r="AF18" i="19"/>
  <c r="AH18" i="19"/>
  <c r="AI18" i="19"/>
  <c r="AJ18" i="19"/>
  <c r="AK18" i="19"/>
  <c r="AL18" i="19"/>
  <c r="AM18" i="19"/>
  <c r="AN18" i="19"/>
  <c r="AO18" i="19"/>
  <c r="AP18" i="19"/>
  <c r="AQ18" i="19"/>
  <c r="AB19" i="19"/>
  <c r="AC19" i="19"/>
  <c r="AD19" i="19"/>
  <c r="AE19" i="19"/>
  <c r="AF19" i="19"/>
  <c r="AH19" i="19"/>
  <c r="AI19" i="19"/>
  <c r="AJ19" i="19"/>
  <c r="AK19" i="19"/>
  <c r="AL19" i="19"/>
  <c r="AM19" i="19"/>
  <c r="AN19" i="19"/>
  <c r="AO19" i="19"/>
  <c r="AP19" i="19"/>
  <c r="AQ19" i="19"/>
  <c r="AB20" i="19"/>
  <c r="AC20" i="19"/>
  <c r="AD20" i="19"/>
  <c r="AE20" i="19"/>
  <c r="AF20" i="19"/>
  <c r="AH20" i="19"/>
  <c r="AI20" i="19"/>
  <c r="AJ20" i="19"/>
  <c r="AK20" i="19"/>
  <c r="AL20" i="19"/>
  <c r="AM20" i="19"/>
  <c r="AN20" i="19"/>
  <c r="AO20" i="19"/>
  <c r="AP20" i="19"/>
  <c r="AQ20" i="19"/>
  <c r="AB21" i="19"/>
  <c r="AC21" i="19"/>
  <c r="AD21" i="19"/>
  <c r="AE21" i="19"/>
  <c r="AF21" i="19"/>
  <c r="AH21" i="19"/>
  <c r="AI21" i="19"/>
  <c r="AJ21" i="19"/>
  <c r="AK21" i="19"/>
  <c r="AL21" i="19"/>
  <c r="AM21" i="19"/>
  <c r="AN21" i="19"/>
  <c r="AO21" i="19"/>
  <c r="AP21" i="19"/>
  <c r="AQ21" i="19"/>
  <c r="AB22" i="19"/>
  <c r="AC22" i="19"/>
  <c r="AD22" i="19"/>
  <c r="AE22" i="19"/>
  <c r="AF22" i="19"/>
  <c r="AH22" i="19"/>
  <c r="AI22" i="19"/>
  <c r="AJ22" i="19"/>
  <c r="AK22" i="19"/>
  <c r="AL22" i="19"/>
  <c r="AM22" i="19"/>
  <c r="AN22" i="19"/>
  <c r="AO22" i="19"/>
  <c r="AP22" i="19"/>
  <c r="AQ22" i="19"/>
  <c r="AB23" i="19"/>
  <c r="AC23" i="19"/>
  <c r="AD23" i="19"/>
  <c r="AE23" i="19"/>
  <c r="AF23" i="19"/>
  <c r="AH23" i="19"/>
  <c r="AI23" i="19"/>
  <c r="AJ23" i="19"/>
  <c r="AK23" i="19"/>
  <c r="AL23" i="19"/>
  <c r="AM23" i="19"/>
  <c r="AN23" i="19"/>
  <c r="AO23" i="19"/>
  <c r="AP23" i="19"/>
  <c r="AQ23" i="19"/>
  <c r="AI7" i="19"/>
  <c r="AJ7" i="19"/>
  <c r="AK7" i="19"/>
  <c r="AL7" i="19"/>
  <c r="AM7" i="19"/>
  <c r="AN7" i="19"/>
  <c r="AO7" i="19"/>
  <c r="AP7" i="19"/>
  <c r="AQ7" i="19"/>
  <c r="AH7" i="19"/>
  <c r="AF7" i="19"/>
  <c r="AE7" i="19"/>
  <c r="AD7" i="19"/>
  <c r="AC7" i="19"/>
  <c r="AB7" i="19"/>
  <c r="AM6" i="42"/>
  <c r="AN6" i="42"/>
  <c r="AJ316" i="19" l="1"/>
  <c r="AL316" i="19"/>
  <c r="AP316" i="19"/>
  <c r="AO316" i="19"/>
  <c r="AF316" i="19"/>
  <c r="AQ316" i="19"/>
  <c r="AH316" i="19"/>
  <c r="AK316" i="19"/>
  <c r="AC316" i="19"/>
  <c r="AD316" i="19"/>
  <c r="AG316" i="19"/>
  <c r="AB316" i="19"/>
  <c r="AN316" i="19"/>
  <c r="AM316" i="19"/>
  <c r="AI316" i="19"/>
  <c r="AE316" i="19"/>
  <c r="AA316" i="19"/>
  <c r="S316" i="42"/>
  <c r="AL7" i="42"/>
  <c r="AO316" i="42"/>
  <c r="AP316" i="42"/>
  <c r="AQ316" i="42"/>
  <c r="Y316" i="42"/>
  <c r="Z316" i="42"/>
  <c r="AA316" i="42"/>
  <c r="AB316" i="42"/>
  <c r="AC316" i="42"/>
  <c r="AD316" i="42"/>
  <c r="AE316" i="42"/>
  <c r="AF316" i="42"/>
  <c r="AG316" i="42"/>
  <c r="AH316" i="42"/>
  <c r="AI316" i="42"/>
  <c r="AJ316" i="42"/>
  <c r="AK316" i="42"/>
  <c r="V316" i="42"/>
  <c r="W316" i="42"/>
  <c r="AL316" i="42" l="1"/>
  <c r="C3" i="13"/>
  <c r="A243" i="49" l="1"/>
  <c r="A244" i="49"/>
  <c r="A245" i="49"/>
  <c r="A246" i="49"/>
  <c r="A247" i="49"/>
  <c r="A243" i="39" l="1"/>
  <c r="B243" i="39"/>
  <c r="A244" i="39"/>
  <c r="B244" i="39"/>
  <c r="A244" i="13"/>
  <c r="B244" i="13"/>
  <c r="B244" i="49"/>
  <c r="J8" i="19" l="1"/>
  <c r="J9" i="19"/>
  <c r="J10" i="19"/>
  <c r="J11" i="19"/>
  <c r="J12" i="19"/>
  <c r="J13" i="19"/>
  <c r="J14" i="19"/>
  <c r="J15" i="19"/>
  <c r="J16" i="19"/>
  <c r="J17" i="19"/>
  <c r="J18" i="19"/>
  <c r="J19" i="19"/>
  <c r="J20" i="19"/>
  <c r="J21" i="19"/>
  <c r="J22" i="19"/>
  <c r="J23" i="19"/>
  <c r="J24" i="19"/>
  <c r="J25" i="19"/>
  <c r="J26" i="19"/>
  <c r="J27" i="19"/>
  <c r="J28" i="19"/>
  <c r="J29" i="19"/>
  <c r="J30" i="19"/>
  <c r="J31" i="19"/>
  <c r="J32" i="19"/>
  <c r="J33" i="19"/>
  <c r="J34" i="19"/>
  <c r="J35" i="19"/>
  <c r="J36" i="19"/>
  <c r="J37" i="19"/>
  <c r="J38" i="19"/>
  <c r="J39" i="19"/>
  <c r="J40" i="19"/>
  <c r="J41" i="19"/>
  <c r="J42" i="19"/>
  <c r="J43" i="19"/>
  <c r="J44" i="19"/>
  <c r="J45" i="19"/>
  <c r="J46" i="19"/>
  <c r="J47" i="19"/>
  <c r="J48" i="19"/>
  <c r="J49" i="19"/>
  <c r="J50" i="19"/>
  <c r="J51" i="19"/>
  <c r="J52" i="19"/>
  <c r="J53" i="19"/>
  <c r="J54" i="19"/>
  <c r="J55" i="19"/>
  <c r="J56" i="19"/>
  <c r="J57" i="19"/>
  <c r="J58" i="19"/>
  <c r="J59" i="19"/>
  <c r="J60" i="19"/>
  <c r="J61" i="19"/>
  <c r="J62" i="19"/>
  <c r="J63" i="19"/>
  <c r="J64" i="19"/>
  <c r="J65" i="19"/>
  <c r="J66" i="19"/>
  <c r="J67" i="19"/>
  <c r="J68" i="19"/>
  <c r="J69" i="19"/>
  <c r="J70" i="19"/>
  <c r="J71" i="19"/>
  <c r="J72" i="19"/>
  <c r="J73" i="19"/>
  <c r="J74" i="19"/>
  <c r="J75" i="19"/>
  <c r="J76" i="19"/>
  <c r="J77" i="19"/>
  <c r="J78" i="19"/>
  <c r="J79" i="19"/>
  <c r="J80" i="19"/>
  <c r="J81" i="19"/>
  <c r="J82" i="19"/>
  <c r="J83" i="19"/>
  <c r="J84" i="19"/>
  <c r="J85" i="19"/>
  <c r="J86" i="19"/>
  <c r="J87" i="19"/>
  <c r="J88" i="19"/>
  <c r="J89" i="19"/>
  <c r="J90" i="19"/>
  <c r="J91" i="19"/>
  <c r="J92" i="19"/>
  <c r="J93" i="19"/>
  <c r="J94" i="19"/>
  <c r="J95" i="19"/>
  <c r="J96" i="19"/>
  <c r="J97" i="19"/>
  <c r="J98" i="19"/>
  <c r="J99" i="19"/>
  <c r="J100" i="19"/>
  <c r="J101" i="19"/>
  <c r="J102" i="19"/>
  <c r="J103" i="19"/>
  <c r="J104" i="19"/>
  <c r="J105" i="19"/>
  <c r="J106" i="19"/>
  <c r="J107" i="19"/>
  <c r="J108" i="19"/>
  <c r="J109" i="19"/>
  <c r="J110" i="19"/>
  <c r="J111" i="19"/>
  <c r="J112" i="19"/>
  <c r="J113" i="19"/>
  <c r="J114" i="19"/>
  <c r="J115" i="19"/>
  <c r="J116" i="19"/>
  <c r="J117" i="19"/>
  <c r="J118" i="19"/>
  <c r="J119" i="19"/>
  <c r="J120" i="19"/>
  <c r="J121" i="19"/>
  <c r="J122" i="19"/>
  <c r="J123" i="19"/>
  <c r="J124" i="19"/>
  <c r="J125" i="19"/>
  <c r="J126" i="19"/>
  <c r="J127" i="19"/>
  <c r="J128" i="19"/>
  <c r="J129" i="19"/>
  <c r="J130" i="19"/>
  <c r="J131" i="19"/>
  <c r="J132" i="19"/>
  <c r="J133" i="19"/>
  <c r="J134" i="19"/>
  <c r="J135" i="19"/>
  <c r="J136" i="19"/>
  <c r="J137" i="19"/>
  <c r="J138" i="19"/>
  <c r="J139" i="19"/>
  <c r="J140" i="19"/>
  <c r="J141" i="19"/>
  <c r="J142" i="19"/>
  <c r="J143" i="19"/>
  <c r="J144" i="19"/>
  <c r="J145" i="19"/>
  <c r="J146" i="19"/>
  <c r="J147" i="19"/>
  <c r="J148" i="19"/>
  <c r="J149" i="19"/>
  <c r="J150" i="19"/>
  <c r="J151" i="19"/>
  <c r="J152" i="19"/>
  <c r="J153" i="19"/>
  <c r="J154" i="19"/>
  <c r="J155" i="19"/>
  <c r="J156" i="19"/>
  <c r="J157" i="19"/>
  <c r="J158" i="19"/>
  <c r="J159" i="19"/>
  <c r="J160" i="19"/>
  <c r="J161" i="19"/>
  <c r="J162" i="19"/>
  <c r="J163" i="19"/>
  <c r="J164" i="19"/>
  <c r="J165" i="19"/>
  <c r="J166" i="19"/>
  <c r="J167" i="19"/>
  <c r="J168" i="19"/>
  <c r="J169" i="19"/>
  <c r="J170" i="19"/>
  <c r="J171" i="19"/>
  <c r="J172" i="19"/>
  <c r="J173" i="19"/>
  <c r="J174" i="19"/>
  <c r="J175" i="19"/>
  <c r="J176" i="19"/>
  <c r="J177" i="19"/>
  <c r="J178" i="19"/>
  <c r="J179" i="19"/>
  <c r="J180" i="19"/>
  <c r="J181" i="19"/>
  <c r="J182" i="19"/>
  <c r="J183" i="19"/>
  <c r="J184" i="19"/>
  <c r="J185" i="19"/>
  <c r="J186" i="19"/>
  <c r="J187" i="19"/>
  <c r="J188" i="19"/>
  <c r="J189" i="19"/>
  <c r="J190" i="19"/>
  <c r="J191" i="19"/>
  <c r="J192" i="19"/>
  <c r="J193" i="19"/>
  <c r="J194" i="19"/>
  <c r="J195" i="19"/>
  <c r="J196" i="19"/>
  <c r="J197" i="19"/>
  <c r="J198" i="19"/>
  <c r="J199" i="19"/>
  <c r="J200" i="19"/>
  <c r="J201" i="19"/>
  <c r="J202" i="19"/>
  <c r="J203" i="19"/>
  <c r="J204" i="19"/>
  <c r="J205" i="19"/>
  <c r="J206" i="19"/>
  <c r="J207" i="19"/>
  <c r="J208" i="19"/>
  <c r="J209" i="19"/>
  <c r="J210" i="19"/>
  <c r="J211" i="19"/>
  <c r="J212" i="19"/>
  <c r="J213" i="19"/>
  <c r="J214" i="19"/>
  <c r="J215" i="19"/>
  <c r="J216" i="19"/>
  <c r="J217" i="19"/>
  <c r="J218" i="19"/>
  <c r="J219" i="19"/>
  <c r="J220" i="19"/>
  <c r="J221" i="19"/>
  <c r="J222" i="19"/>
  <c r="J223" i="19"/>
  <c r="J224" i="19"/>
  <c r="J225" i="19"/>
  <c r="J226" i="19"/>
  <c r="J227" i="19"/>
  <c r="J228" i="19"/>
  <c r="J229" i="19"/>
  <c r="J230" i="19"/>
  <c r="J231" i="19"/>
  <c r="J232" i="19"/>
  <c r="J233" i="19"/>
  <c r="J234" i="19"/>
  <c r="J235" i="19"/>
  <c r="J236" i="19"/>
  <c r="J237" i="19"/>
  <c r="J238" i="19"/>
  <c r="J239" i="19"/>
  <c r="J240" i="19"/>
  <c r="J241" i="19"/>
  <c r="J242" i="19"/>
  <c r="J243" i="19"/>
  <c r="J244" i="19"/>
  <c r="J245" i="19"/>
  <c r="J246" i="19"/>
  <c r="J247" i="19"/>
  <c r="J248" i="19"/>
  <c r="J249" i="19"/>
  <c r="J250" i="19"/>
  <c r="J251" i="19"/>
  <c r="J252" i="19"/>
  <c r="J253" i="19"/>
  <c r="J254" i="19"/>
  <c r="J255" i="19"/>
  <c r="J256" i="19"/>
  <c r="J257" i="19"/>
  <c r="J258" i="19"/>
  <c r="J259" i="19"/>
  <c r="J260" i="19"/>
  <c r="J261" i="19"/>
  <c r="J262" i="19"/>
  <c r="J263" i="19"/>
  <c r="J264" i="19"/>
  <c r="J265" i="19"/>
  <c r="J266" i="19"/>
  <c r="J267" i="19"/>
  <c r="J268" i="19"/>
  <c r="J269" i="19"/>
  <c r="J270" i="19"/>
  <c r="J271" i="19"/>
  <c r="J272" i="19"/>
  <c r="J273" i="19"/>
  <c r="J274" i="19"/>
  <c r="J275" i="19"/>
  <c r="J276" i="19"/>
  <c r="J277" i="19"/>
  <c r="J278" i="19"/>
  <c r="J279" i="19"/>
  <c r="J280" i="19"/>
  <c r="J281" i="19"/>
  <c r="J282" i="19"/>
  <c r="J283" i="19"/>
  <c r="J284" i="19"/>
  <c r="J285" i="19"/>
  <c r="J286" i="19"/>
  <c r="J287" i="19"/>
  <c r="J288" i="19"/>
  <c r="J289" i="19"/>
  <c r="J290" i="19"/>
  <c r="J291" i="19"/>
  <c r="J292" i="19"/>
  <c r="J293" i="19"/>
  <c r="J294" i="19"/>
  <c r="J295" i="19"/>
  <c r="J296" i="19"/>
  <c r="J297" i="19"/>
  <c r="J298" i="19"/>
  <c r="J299" i="19"/>
  <c r="J300" i="19"/>
  <c r="J301" i="19"/>
  <c r="J302" i="19"/>
  <c r="J303" i="19"/>
  <c r="J304" i="19"/>
  <c r="J305" i="19"/>
  <c r="J306" i="19"/>
  <c r="J307" i="19"/>
  <c r="J308" i="19"/>
  <c r="J309" i="19"/>
  <c r="J310" i="19"/>
  <c r="J311" i="19"/>
  <c r="J312" i="19"/>
  <c r="J313" i="19"/>
  <c r="J314" i="19"/>
  <c r="J315" i="19"/>
  <c r="J7" i="19"/>
  <c r="A6" i="12" l="1"/>
  <c r="B6" i="12"/>
  <c r="A7" i="12"/>
  <c r="B7" i="12"/>
  <c r="A8" i="12"/>
  <c r="B8" i="12"/>
  <c r="A9" i="12"/>
  <c r="B9" i="12"/>
  <c r="A10" i="12"/>
  <c r="B10" i="12"/>
  <c r="A11" i="12"/>
  <c r="B11" i="12"/>
  <c r="A12" i="12"/>
  <c r="B12" i="12"/>
  <c r="A13" i="12"/>
  <c r="B13" i="12"/>
  <c r="A14" i="12"/>
  <c r="B14" i="12"/>
  <c r="A15" i="12"/>
  <c r="B15" i="12"/>
  <c r="A16" i="12"/>
  <c r="B16" i="12"/>
  <c r="A17" i="12"/>
  <c r="B17" i="12"/>
  <c r="A18" i="12"/>
  <c r="B18" i="12"/>
  <c r="A19" i="12"/>
  <c r="B19" i="12"/>
  <c r="A20" i="12"/>
  <c r="B20" i="12"/>
  <c r="A21" i="12"/>
  <c r="B21" i="12"/>
  <c r="A22" i="12"/>
  <c r="B22" i="12"/>
  <c r="A23" i="12"/>
  <c r="B23" i="12"/>
  <c r="A24" i="12"/>
  <c r="B24" i="12"/>
  <c r="A25" i="12"/>
  <c r="B25" i="12"/>
  <c r="A26" i="12"/>
  <c r="B26" i="12"/>
  <c r="A27" i="12"/>
  <c r="B27" i="12"/>
  <c r="A28" i="12"/>
  <c r="B28" i="12"/>
  <c r="A29" i="12"/>
  <c r="B29" i="12"/>
  <c r="A30" i="12"/>
  <c r="B30" i="12"/>
  <c r="A31" i="12"/>
  <c r="B31" i="12"/>
  <c r="A32" i="12"/>
  <c r="B32" i="12"/>
  <c r="A33" i="12"/>
  <c r="B33" i="12"/>
  <c r="A34" i="12"/>
  <c r="B34" i="12"/>
  <c r="A35" i="12"/>
  <c r="B35" i="12"/>
  <c r="A36" i="12"/>
  <c r="B36" i="12"/>
  <c r="A37" i="12"/>
  <c r="B37" i="12"/>
  <c r="A38" i="12"/>
  <c r="B38" i="12"/>
  <c r="A39" i="12"/>
  <c r="B39" i="12"/>
  <c r="A40" i="12"/>
  <c r="B40" i="12"/>
  <c r="A41" i="12"/>
  <c r="B41" i="12"/>
  <c r="A42" i="12"/>
  <c r="B42" i="12"/>
  <c r="A43" i="12"/>
  <c r="B43" i="12"/>
  <c r="A44" i="12"/>
  <c r="B44" i="12"/>
  <c r="A45" i="12"/>
  <c r="B45" i="12"/>
  <c r="A46" i="12"/>
  <c r="B46" i="12"/>
  <c r="A47" i="12"/>
  <c r="B47" i="12"/>
  <c r="A48" i="12"/>
  <c r="B48" i="12"/>
  <c r="A49" i="12"/>
  <c r="B49" i="12"/>
  <c r="A50" i="12"/>
  <c r="B50" i="12"/>
  <c r="A51" i="12"/>
  <c r="B51" i="12"/>
  <c r="A52" i="12"/>
  <c r="B52" i="12"/>
  <c r="A53" i="12"/>
  <c r="B53" i="12"/>
  <c r="A54" i="12"/>
  <c r="B54" i="12"/>
  <c r="A55" i="12"/>
  <c r="B55" i="12"/>
  <c r="A56" i="12"/>
  <c r="B56" i="12"/>
  <c r="A57" i="12"/>
  <c r="B57" i="12"/>
  <c r="A58" i="12"/>
  <c r="B58" i="12"/>
  <c r="A59" i="12"/>
  <c r="B59" i="12"/>
  <c r="A60" i="12"/>
  <c r="B60" i="12"/>
  <c r="A61" i="12"/>
  <c r="B61" i="12"/>
  <c r="A62" i="12"/>
  <c r="B62" i="12"/>
  <c r="A63" i="12"/>
  <c r="B63" i="12"/>
  <c r="A64" i="12"/>
  <c r="B64" i="12"/>
  <c r="A65" i="12"/>
  <c r="B65" i="12"/>
  <c r="A66" i="12"/>
  <c r="B66" i="12"/>
  <c r="A67" i="12"/>
  <c r="B67" i="12"/>
  <c r="A68" i="12"/>
  <c r="B68" i="12"/>
  <c r="A69" i="12"/>
  <c r="B69" i="12"/>
  <c r="A70" i="12"/>
  <c r="B70" i="12"/>
  <c r="A71" i="12"/>
  <c r="B71" i="12"/>
  <c r="A72" i="12"/>
  <c r="B72" i="12"/>
  <c r="A73" i="12"/>
  <c r="B73" i="12"/>
  <c r="A74" i="12"/>
  <c r="B74" i="12"/>
  <c r="A75" i="12"/>
  <c r="B75" i="12"/>
  <c r="A76" i="12"/>
  <c r="B76" i="12"/>
  <c r="A77" i="12"/>
  <c r="B77" i="12"/>
  <c r="A78" i="12"/>
  <c r="B78" i="12"/>
  <c r="A79" i="12"/>
  <c r="B79" i="12"/>
  <c r="A80" i="12"/>
  <c r="B80" i="12"/>
  <c r="A81" i="12"/>
  <c r="B81" i="12"/>
  <c r="A82" i="12"/>
  <c r="B82" i="12"/>
  <c r="A83" i="12"/>
  <c r="B83" i="12"/>
  <c r="A84" i="12"/>
  <c r="B84" i="12"/>
  <c r="A85" i="12"/>
  <c r="B85" i="12"/>
  <c r="A86" i="12"/>
  <c r="B86" i="12"/>
  <c r="A87" i="12"/>
  <c r="B87" i="12"/>
  <c r="A88" i="12"/>
  <c r="B88" i="12"/>
  <c r="A89" i="12"/>
  <c r="B89" i="12"/>
  <c r="A90" i="12"/>
  <c r="B90" i="12"/>
  <c r="A91" i="12"/>
  <c r="B91" i="12"/>
  <c r="A92" i="12"/>
  <c r="B92" i="12"/>
  <c r="A93" i="12"/>
  <c r="B93" i="12"/>
  <c r="A94" i="12"/>
  <c r="B94" i="12"/>
  <c r="A95" i="12"/>
  <c r="B95" i="12"/>
  <c r="A96" i="12"/>
  <c r="B96" i="12"/>
  <c r="A97" i="12"/>
  <c r="B97" i="12"/>
  <c r="A98" i="12"/>
  <c r="B98" i="12"/>
  <c r="A99" i="12"/>
  <c r="B99" i="12"/>
  <c r="A100" i="12"/>
  <c r="B100" i="12"/>
  <c r="A101" i="12"/>
  <c r="B101" i="12"/>
  <c r="A102" i="12"/>
  <c r="B102" i="12"/>
  <c r="A103" i="12"/>
  <c r="B103" i="12"/>
  <c r="A104" i="12"/>
  <c r="B104" i="12"/>
  <c r="A105" i="12"/>
  <c r="B105" i="12"/>
  <c r="A106" i="12"/>
  <c r="B106" i="12"/>
  <c r="A107" i="12"/>
  <c r="B107" i="12"/>
  <c r="A108" i="12"/>
  <c r="B108" i="12"/>
  <c r="A109" i="12"/>
  <c r="B109" i="12"/>
  <c r="A110" i="12"/>
  <c r="B110" i="12"/>
  <c r="A111" i="12"/>
  <c r="B111" i="12"/>
  <c r="A112" i="12"/>
  <c r="B112" i="12"/>
  <c r="A113" i="12"/>
  <c r="B113" i="12"/>
  <c r="A114" i="12"/>
  <c r="B114" i="12"/>
  <c r="A115" i="12"/>
  <c r="B115" i="12"/>
  <c r="A116" i="12"/>
  <c r="B116" i="12"/>
  <c r="A117" i="12"/>
  <c r="B117" i="12"/>
  <c r="A118" i="12"/>
  <c r="B118" i="12"/>
  <c r="A119" i="12"/>
  <c r="B119" i="12"/>
  <c r="A120" i="12"/>
  <c r="B120" i="12"/>
  <c r="A121" i="12"/>
  <c r="B121" i="12"/>
  <c r="A122" i="12"/>
  <c r="B122" i="12"/>
  <c r="A123" i="12"/>
  <c r="B123" i="12"/>
  <c r="A124" i="12"/>
  <c r="B124" i="12"/>
  <c r="A125" i="12"/>
  <c r="B125" i="12"/>
  <c r="A126" i="12"/>
  <c r="B126" i="12"/>
  <c r="A127" i="12"/>
  <c r="B127" i="12"/>
  <c r="A128" i="12"/>
  <c r="B128" i="12"/>
  <c r="A129" i="12"/>
  <c r="B129" i="12"/>
  <c r="A130" i="12"/>
  <c r="B130" i="12"/>
  <c r="A131" i="12"/>
  <c r="B131" i="12"/>
  <c r="A132" i="12"/>
  <c r="B132" i="12"/>
  <c r="A133" i="12"/>
  <c r="B133" i="12"/>
  <c r="A134" i="12"/>
  <c r="B134" i="12"/>
  <c r="A135" i="12"/>
  <c r="B135" i="12"/>
  <c r="A136" i="12"/>
  <c r="B136" i="12"/>
  <c r="A137" i="12"/>
  <c r="B137" i="12"/>
  <c r="A138" i="12"/>
  <c r="B138" i="12"/>
  <c r="A139" i="12"/>
  <c r="B139" i="12"/>
  <c r="A140" i="12"/>
  <c r="B140" i="12"/>
  <c r="A141" i="12"/>
  <c r="B141" i="12"/>
  <c r="A142" i="12"/>
  <c r="B142" i="12"/>
  <c r="A143" i="12"/>
  <c r="B143" i="12"/>
  <c r="A144" i="12"/>
  <c r="B144" i="12"/>
  <c r="A145" i="12"/>
  <c r="B145" i="12"/>
  <c r="A146" i="12"/>
  <c r="B146" i="12"/>
  <c r="A147" i="12"/>
  <c r="B147" i="12"/>
  <c r="A148" i="12"/>
  <c r="B148" i="12"/>
  <c r="A149" i="12"/>
  <c r="B149" i="12"/>
  <c r="A150" i="12"/>
  <c r="B150" i="12"/>
  <c r="A151" i="12"/>
  <c r="B151" i="12"/>
  <c r="A152" i="12"/>
  <c r="B152" i="12"/>
  <c r="A153" i="12"/>
  <c r="B153" i="12"/>
  <c r="A154" i="12"/>
  <c r="B154" i="12"/>
  <c r="A155" i="12"/>
  <c r="B155" i="12"/>
  <c r="A156" i="12"/>
  <c r="B156" i="12"/>
  <c r="A157" i="12"/>
  <c r="B157" i="12"/>
  <c r="A158" i="12"/>
  <c r="B158" i="12"/>
  <c r="A159" i="12"/>
  <c r="B159" i="12"/>
  <c r="A160" i="12"/>
  <c r="B160" i="12"/>
  <c r="A161" i="12"/>
  <c r="B161" i="12"/>
  <c r="A162" i="12"/>
  <c r="B162" i="12"/>
  <c r="A163" i="12"/>
  <c r="B163" i="12"/>
  <c r="A164" i="12"/>
  <c r="B164" i="12"/>
  <c r="A165" i="12"/>
  <c r="B165" i="12"/>
  <c r="A166" i="12"/>
  <c r="B166" i="12"/>
  <c r="A167" i="12"/>
  <c r="B167" i="12"/>
  <c r="A168" i="12"/>
  <c r="B168" i="12"/>
  <c r="A169" i="12"/>
  <c r="B169" i="12"/>
  <c r="A170" i="12"/>
  <c r="B170" i="12"/>
  <c r="A171" i="12"/>
  <c r="B171" i="12"/>
  <c r="A172" i="12"/>
  <c r="B172" i="12"/>
  <c r="A173" i="12"/>
  <c r="B173" i="12"/>
  <c r="A174" i="12"/>
  <c r="B174" i="12"/>
  <c r="A175" i="12"/>
  <c r="B175" i="12"/>
  <c r="A176" i="12"/>
  <c r="B176" i="12"/>
  <c r="A177" i="12"/>
  <c r="B177" i="12"/>
  <c r="A178" i="12"/>
  <c r="B178" i="12"/>
  <c r="A179" i="12"/>
  <c r="B179" i="12"/>
  <c r="A180" i="12"/>
  <c r="B180" i="12"/>
  <c r="A181" i="12"/>
  <c r="B181" i="12"/>
  <c r="A182" i="12"/>
  <c r="B182" i="12"/>
  <c r="A183" i="12"/>
  <c r="B183" i="12"/>
  <c r="A184" i="12"/>
  <c r="B184" i="12"/>
  <c r="A185" i="12"/>
  <c r="B185" i="12"/>
  <c r="A186" i="12"/>
  <c r="B186" i="12"/>
  <c r="A187" i="12"/>
  <c r="B187" i="12"/>
  <c r="A188" i="12"/>
  <c r="B188" i="12"/>
  <c r="A189" i="12"/>
  <c r="B189" i="12"/>
  <c r="A190" i="12"/>
  <c r="B190" i="12"/>
  <c r="A191" i="12"/>
  <c r="B191" i="12"/>
  <c r="A192" i="12"/>
  <c r="B192" i="12"/>
  <c r="A193" i="12"/>
  <c r="B193" i="12"/>
  <c r="A194" i="12"/>
  <c r="B194" i="12"/>
  <c r="A195" i="12"/>
  <c r="B195" i="12"/>
  <c r="A196" i="12"/>
  <c r="B196" i="12"/>
  <c r="A197" i="12"/>
  <c r="B197" i="12"/>
  <c r="A198" i="12"/>
  <c r="B198" i="12"/>
  <c r="A199" i="12"/>
  <c r="B199" i="12"/>
  <c r="A200" i="12"/>
  <c r="B200" i="12"/>
  <c r="A201" i="12"/>
  <c r="B201" i="12"/>
  <c r="A202" i="12"/>
  <c r="B202" i="12"/>
  <c r="A203" i="12"/>
  <c r="B203" i="12"/>
  <c r="A204" i="12"/>
  <c r="B204" i="12"/>
  <c r="A205" i="12"/>
  <c r="B205" i="12"/>
  <c r="A206" i="12"/>
  <c r="B206" i="12"/>
  <c r="A207" i="12"/>
  <c r="B207" i="12"/>
  <c r="A208" i="12"/>
  <c r="B208" i="12"/>
  <c r="A209" i="12"/>
  <c r="B209" i="12"/>
  <c r="A210" i="12"/>
  <c r="B210" i="12"/>
  <c r="A211" i="12"/>
  <c r="B211" i="12"/>
  <c r="A212" i="12"/>
  <c r="B212" i="12"/>
  <c r="A213" i="12"/>
  <c r="B213" i="12"/>
  <c r="A214" i="12"/>
  <c r="B214" i="12"/>
  <c r="A215" i="12"/>
  <c r="B215" i="12"/>
  <c r="A216" i="12"/>
  <c r="B216" i="12"/>
  <c r="A217" i="12"/>
  <c r="B217" i="12"/>
  <c r="A218" i="12"/>
  <c r="B218" i="12"/>
  <c r="A219" i="12"/>
  <c r="B219" i="12"/>
  <c r="A220" i="12"/>
  <c r="B220" i="12"/>
  <c r="A221" i="12"/>
  <c r="B221" i="12"/>
  <c r="A222" i="12"/>
  <c r="B222" i="12"/>
  <c r="A223" i="12"/>
  <c r="B223" i="12"/>
  <c r="A224" i="12"/>
  <c r="B224" i="12"/>
  <c r="A225" i="12"/>
  <c r="B225" i="12"/>
  <c r="A226" i="12"/>
  <c r="B226" i="12"/>
  <c r="A227" i="12"/>
  <c r="B227" i="12"/>
  <c r="A228" i="12"/>
  <c r="B228" i="12"/>
  <c r="A229" i="12"/>
  <c r="B229" i="12"/>
  <c r="A230" i="12"/>
  <c r="B230" i="12"/>
  <c r="A231" i="12"/>
  <c r="B231" i="12"/>
  <c r="A232" i="12"/>
  <c r="B232" i="12"/>
  <c r="A233" i="12"/>
  <c r="B233" i="12"/>
  <c r="A234" i="12"/>
  <c r="B234" i="12"/>
  <c r="A235" i="12"/>
  <c r="B235" i="12"/>
  <c r="A236" i="12"/>
  <c r="B236" i="12"/>
  <c r="A237" i="12"/>
  <c r="B237" i="12"/>
  <c r="A238" i="12"/>
  <c r="B238" i="12"/>
  <c r="A239" i="12"/>
  <c r="B239" i="12"/>
  <c r="A240" i="12"/>
  <c r="B240" i="12"/>
  <c r="A241" i="12"/>
  <c r="B241" i="12"/>
  <c r="A242" i="12"/>
  <c r="B242" i="12"/>
  <c r="A243" i="12"/>
  <c r="B243" i="12"/>
  <c r="A244" i="12"/>
  <c r="B244" i="12"/>
  <c r="A245" i="12"/>
  <c r="B245" i="12"/>
  <c r="A246" i="12"/>
  <c r="B246" i="12"/>
  <c r="A247" i="12"/>
  <c r="B247" i="12"/>
  <c r="A248" i="12"/>
  <c r="B248" i="12"/>
  <c r="A249" i="12"/>
  <c r="B249" i="12"/>
  <c r="A250" i="12"/>
  <c r="B250" i="12"/>
  <c r="A251" i="12"/>
  <c r="B251" i="12"/>
  <c r="A252" i="12"/>
  <c r="B252" i="12"/>
  <c r="A253" i="12"/>
  <c r="B253" i="12"/>
  <c r="A254" i="12"/>
  <c r="B254" i="12"/>
  <c r="A255" i="12"/>
  <c r="B255" i="12"/>
  <c r="A256" i="12"/>
  <c r="B256" i="12"/>
  <c r="A257" i="12"/>
  <c r="B257" i="12"/>
  <c r="A258" i="12"/>
  <c r="B258" i="12"/>
  <c r="A259" i="12"/>
  <c r="B259" i="12"/>
  <c r="A260" i="12"/>
  <c r="B260" i="12"/>
  <c r="A261" i="12"/>
  <c r="B261" i="12"/>
  <c r="A262" i="12"/>
  <c r="B262" i="12"/>
  <c r="A263" i="12"/>
  <c r="B263" i="12"/>
  <c r="A264" i="12"/>
  <c r="B264" i="12"/>
  <c r="A265" i="12"/>
  <c r="B265" i="12"/>
  <c r="A266" i="12"/>
  <c r="B266" i="12"/>
  <c r="A267" i="12"/>
  <c r="B267" i="12"/>
  <c r="A268" i="12"/>
  <c r="B268" i="12"/>
  <c r="A269" i="12"/>
  <c r="B269" i="12"/>
  <c r="A270" i="12"/>
  <c r="B270" i="12"/>
  <c r="A271" i="12"/>
  <c r="B271" i="12"/>
  <c r="A272" i="12"/>
  <c r="B272" i="12"/>
  <c r="A273" i="12"/>
  <c r="B273" i="12"/>
  <c r="A274" i="12"/>
  <c r="B274" i="12"/>
  <c r="A275" i="12"/>
  <c r="B275" i="12"/>
  <c r="A276" i="12"/>
  <c r="B276" i="12"/>
  <c r="A277" i="12"/>
  <c r="B277" i="12"/>
  <c r="A278" i="12"/>
  <c r="B278" i="12"/>
  <c r="A279" i="12"/>
  <c r="B279" i="12"/>
  <c r="A280" i="12"/>
  <c r="B280" i="12"/>
  <c r="A281" i="12"/>
  <c r="B281" i="12"/>
  <c r="A282" i="12"/>
  <c r="B282" i="12"/>
  <c r="A283" i="12"/>
  <c r="B283" i="12"/>
  <c r="A284" i="12"/>
  <c r="B284" i="12"/>
  <c r="A285" i="12"/>
  <c r="B285" i="12"/>
  <c r="A286" i="12"/>
  <c r="B286" i="12"/>
  <c r="A287" i="12"/>
  <c r="B287" i="12"/>
  <c r="A288" i="12"/>
  <c r="B288" i="12"/>
  <c r="A289" i="12"/>
  <c r="B289" i="12"/>
  <c r="A290" i="12"/>
  <c r="B290" i="12"/>
  <c r="A291" i="12"/>
  <c r="B291" i="12"/>
  <c r="A292" i="12"/>
  <c r="B292" i="12"/>
  <c r="A293" i="12"/>
  <c r="B293" i="12"/>
  <c r="A294" i="12"/>
  <c r="B294" i="12"/>
  <c r="A295" i="12"/>
  <c r="B295" i="12"/>
  <c r="A296" i="12"/>
  <c r="B296" i="12"/>
  <c r="A297" i="12"/>
  <c r="B297" i="12"/>
  <c r="A298" i="12"/>
  <c r="B298" i="12"/>
  <c r="A299" i="12"/>
  <c r="B299" i="12"/>
  <c r="A300" i="12"/>
  <c r="B300" i="12"/>
  <c r="A301" i="12"/>
  <c r="B301" i="12"/>
  <c r="A302" i="12"/>
  <c r="B302" i="12"/>
  <c r="A303" i="12"/>
  <c r="B303" i="12"/>
  <c r="A304" i="12"/>
  <c r="B304" i="12"/>
  <c r="A305" i="12"/>
  <c r="B305" i="12"/>
  <c r="A306" i="12"/>
  <c r="B306" i="12"/>
  <c r="A307" i="12"/>
  <c r="B307" i="12"/>
  <c r="A308" i="12"/>
  <c r="B308" i="12"/>
  <c r="A309" i="12"/>
  <c r="B309" i="12"/>
  <c r="A310" i="12"/>
  <c r="B310" i="12"/>
  <c r="A311" i="12"/>
  <c r="B311" i="12"/>
  <c r="A312" i="12"/>
  <c r="B312" i="12"/>
  <c r="A313" i="12"/>
  <c r="B313" i="12"/>
  <c r="A6" i="37"/>
  <c r="B6" i="37"/>
  <c r="A7" i="37"/>
  <c r="B7" i="37"/>
  <c r="A8" i="37"/>
  <c r="B8" i="37"/>
  <c r="A9" i="37"/>
  <c r="B9" i="37"/>
  <c r="A10" i="37"/>
  <c r="B10" i="37"/>
  <c r="A11" i="37"/>
  <c r="B11" i="37"/>
  <c r="A12" i="37"/>
  <c r="B12" i="37"/>
  <c r="A13" i="37"/>
  <c r="B13" i="37"/>
  <c r="A14" i="37"/>
  <c r="B14" i="37"/>
  <c r="A15" i="37"/>
  <c r="B15" i="37"/>
  <c r="A16" i="37"/>
  <c r="B16" i="37"/>
  <c r="A17" i="37"/>
  <c r="B17" i="37"/>
  <c r="A18" i="37"/>
  <c r="B18" i="37"/>
  <c r="A19" i="37"/>
  <c r="B19" i="37"/>
  <c r="A20" i="37"/>
  <c r="B20" i="37"/>
  <c r="A21" i="37"/>
  <c r="B21" i="37"/>
  <c r="A22" i="37"/>
  <c r="B22" i="37"/>
  <c r="A23" i="37"/>
  <c r="B23" i="37"/>
  <c r="A24" i="37"/>
  <c r="B24" i="37"/>
  <c r="A25" i="37"/>
  <c r="B25" i="37"/>
  <c r="A26" i="37"/>
  <c r="B26" i="37"/>
  <c r="A27" i="37"/>
  <c r="B27" i="37"/>
  <c r="A28" i="37"/>
  <c r="B28" i="37"/>
  <c r="A29" i="37"/>
  <c r="B29" i="37"/>
  <c r="A30" i="37"/>
  <c r="B30" i="37"/>
  <c r="A31" i="37"/>
  <c r="B31" i="37"/>
  <c r="A32" i="37"/>
  <c r="B32" i="37"/>
  <c r="A33" i="37"/>
  <c r="B33" i="37"/>
  <c r="A34" i="37"/>
  <c r="B34" i="37"/>
  <c r="A35" i="37"/>
  <c r="B35" i="37"/>
  <c r="A36" i="37"/>
  <c r="B36" i="37"/>
  <c r="A37" i="37"/>
  <c r="B37" i="37"/>
  <c r="A38" i="37"/>
  <c r="B38" i="37"/>
  <c r="A39" i="37"/>
  <c r="B39" i="37"/>
  <c r="A40" i="37"/>
  <c r="B40" i="37"/>
  <c r="A41" i="37"/>
  <c r="B41" i="37"/>
  <c r="A42" i="37"/>
  <c r="B42" i="37"/>
  <c r="A43" i="37"/>
  <c r="B43" i="37"/>
  <c r="A44" i="37"/>
  <c r="B44" i="37"/>
  <c r="A45" i="37"/>
  <c r="B45" i="37"/>
  <c r="A46" i="37"/>
  <c r="B46" i="37"/>
  <c r="A47" i="37"/>
  <c r="B47" i="37"/>
  <c r="A48" i="37"/>
  <c r="B48" i="37"/>
  <c r="A49" i="37"/>
  <c r="B49" i="37"/>
  <c r="A50" i="37"/>
  <c r="B50" i="37"/>
  <c r="A51" i="37"/>
  <c r="B51" i="37"/>
  <c r="A52" i="37"/>
  <c r="B52" i="37"/>
  <c r="A53" i="37"/>
  <c r="B53" i="37"/>
  <c r="A54" i="37"/>
  <c r="B54" i="37"/>
  <c r="A55" i="37"/>
  <c r="B55" i="37"/>
  <c r="A56" i="37"/>
  <c r="B56" i="37"/>
  <c r="A57" i="37"/>
  <c r="B57" i="37"/>
  <c r="A58" i="37"/>
  <c r="B58" i="37"/>
  <c r="A59" i="37"/>
  <c r="B59" i="37"/>
  <c r="A60" i="37"/>
  <c r="B60" i="37"/>
  <c r="A61" i="37"/>
  <c r="B61" i="37"/>
  <c r="A62" i="37"/>
  <c r="B62" i="37"/>
  <c r="A63" i="37"/>
  <c r="B63" i="37"/>
  <c r="A64" i="37"/>
  <c r="B64" i="37"/>
  <c r="A65" i="37"/>
  <c r="B65" i="37"/>
  <c r="A66" i="37"/>
  <c r="B66" i="37"/>
  <c r="A67" i="37"/>
  <c r="B67" i="37"/>
  <c r="A68" i="37"/>
  <c r="B68" i="37"/>
  <c r="A69" i="37"/>
  <c r="B69" i="37"/>
  <c r="A70" i="37"/>
  <c r="B70" i="37"/>
  <c r="A71" i="37"/>
  <c r="B71" i="37"/>
  <c r="A72" i="37"/>
  <c r="B72" i="37"/>
  <c r="A73" i="37"/>
  <c r="B73" i="37"/>
  <c r="A74" i="37"/>
  <c r="B74" i="37"/>
  <c r="A75" i="37"/>
  <c r="B75" i="37"/>
  <c r="A76" i="37"/>
  <c r="B76" i="37"/>
  <c r="A77" i="37"/>
  <c r="B77" i="37"/>
  <c r="A78" i="37"/>
  <c r="B78" i="37"/>
  <c r="A79" i="37"/>
  <c r="B79" i="37"/>
  <c r="A80" i="37"/>
  <c r="B80" i="37"/>
  <c r="A81" i="37"/>
  <c r="B81" i="37"/>
  <c r="A82" i="37"/>
  <c r="B82" i="37"/>
  <c r="A83" i="37"/>
  <c r="B83" i="37"/>
  <c r="A84" i="37"/>
  <c r="B84" i="37"/>
  <c r="A85" i="37"/>
  <c r="B85" i="37"/>
  <c r="A86" i="37"/>
  <c r="B86" i="37"/>
  <c r="A87" i="37"/>
  <c r="B87" i="37"/>
  <c r="A88" i="37"/>
  <c r="B88" i="37"/>
  <c r="A89" i="37"/>
  <c r="B89" i="37"/>
  <c r="A90" i="37"/>
  <c r="B90" i="37"/>
  <c r="A91" i="37"/>
  <c r="B91" i="37"/>
  <c r="A92" i="37"/>
  <c r="B92" i="37"/>
  <c r="A93" i="37"/>
  <c r="B93" i="37"/>
  <c r="A94" i="37"/>
  <c r="B94" i="37"/>
  <c r="A95" i="37"/>
  <c r="B95" i="37"/>
  <c r="A96" i="37"/>
  <c r="B96" i="37"/>
  <c r="A97" i="37"/>
  <c r="B97" i="37"/>
  <c r="A98" i="37"/>
  <c r="B98" i="37"/>
  <c r="A99" i="37"/>
  <c r="B99" i="37"/>
  <c r="A100" i="37"/>
  <c r="B100" i="37"/>
  <c r="A101" i="37"/>
  <c r="B101" i="37"/>
  <c r="A102" i="37"/>
  <c r="B102" i="37"/>
  <c r="A103" i="37"/>
  <c r="B103" i="37"/>
  <c r="A104" i="37"/>
  <c r="B104" i="37"/>
  <c r="A105" i="37"/>
  <c r="B105" i="37"/>
  <c r="A106" i="37"/>
  <c r="B106" i="37"/>
  <c r="A107" i="37"/>
  <c r="B107" i="37"/>
  <c r="A108" i="37"/>
  <c r="B108" i="37"/>
  <c r="A109" i="37"/>
  <c r="B109" i="37"/>
  <c r="A110" i="37"/>
  <c r="B110" i="37"/>
  <c r="A111" i="37"/>
  <c r="B111" i="37"/>
  <c r="A112" i="37"/>
  <c r="B112" i="37"/>
  <c r="A113" i="37"/>
  <c r="B113" i="37"/>
  <c r="A114" i="37"/>
  <c r="B114" i="37"/>
  <c r="A115" i="37"/>
  <c r="B115" i="37"/>
  <c r="A116" i="37"/>
  <c r="B116" i="37"/>
  <c r="A117" i="37"/>
  <c r="B117" i="37"/>
  <c r="A118" i="37"/>
  <c r="B118" i="37"/>
  <c r="A119" i="37"/>
  <c r="B119" i="37"/>
  <c r="A120" i="37"/>
  <c r="B120" i="37"/>
  <c r="A121" i="37"/>
  <c r="B121" i="37"/>
  <c r="A122" i="37"/>
  <c r="B122" i="37"/>
  <c r="A123" i="37"/>
  <c r="B123" i="37"/>
  <c r="A124" i="37"/>
  <c r="B124" i="37"/>
  <c r="A125" i="37"/>
  <c r="B125" i="37"/>
  <c r="A126" i="37"/>
  <c r="B126" i="37"/>
  <c r="A127" i="37"/>
  <c r="B127" i="37"/>
  <c r="A128" i="37"/>
  <c r="B128" i="37"/>
  <c r="A129" i="37"/>
  <c r="B129" i="37"/>
  <c r="A130" i="37"/>
  <c r="B130" i="37"/>
  <c r="A131" i="37"/>
  <c r="B131" i="37"/>
  <c r="A132" i="37"/>
  <c r="B132" i="37"/>
  <c r="A133" i="37"/>
  <c r="B133" i="37"/>
  <c r="A134" i="37"/>
  <c r="B134" i="37"/>
  <c r="A135" i="37"/>
  <c r="B135" i="37"/>
  <c r="A136" i="37"/>
  <c r="B136" i="37"/>
  <c r="A137" i="37"/>
  <c r="B137" i="37"/>
  <c r="A138" i="37"/>
  <c r="B138" i="37"/>
  <c r="A139" i="37"/>
  <c r="B139" i="37"/>
  <c r="A140" i="37"/>
  <c r="B140" i="37"/>
  <c r="A141" i="37"/>
  <c r="B141" i="37"/>
  <c r="A142" i="37"/>
  <c r="B142" i="37"/>
  <c r="A143" i="37"/>
  <c r="B143" i="37"/>
  <c r="A144" i="37"/>
  <c r="B144" i="37"/>
  <c r="A145" i="37"/>
  <c r="B145" i="37"/>
  <c r="A146" i="37"/>
  <c r="B146" i="37"/>
  <c r="A147" i="37"/>
  <c r="B147" i="37"/>
  <c r="A148" i="37"/>
  <c r="B148" i="37"/>
  <c r="A149" i="37"/>
  <c r="B149" i="37"/>
  <c r="A150" i="37"/>
  <c r="B150" i="37"/>
  <c r="A151" i="37"/>
  <c r="B151" i="37"/>
  <c r="A152" i="37"/>
  <c r="B152" i="37"/>
  <c r="A153" i="37"/>
  <c r="B153" i="37"/>
  <c r="A154" i="37"/>
  <c r="B154" i="37"/>
  <c r="A155" i="37"/>
  <c r="B155" i="37"/>
  <c r="A156" i="37"/>
  <c r="B156" i="37"/>
  <c r="A157" i="37"/>
  <c r="B157" i="37"/>
  <c r="A158" i="37"/>
  <c r="B158" i="37"/>
  <c r="A159" i="37"/>
  <c r="B159" i="37"/>
  <c r="A160" i="37"/>
  <c r="B160" i="37"/>
  <c r="A161" i="37"/>
  <c r="B161" i="37"/>
  <c r="A162" i="37"/>
  <c r="B162" i="37"/>
  <c r="A163" i="37"/>
  <c r="B163" i="37"/>
  <c r="A164" i="37"/>
  <c r="B164" i="37"/>
  <c r="A165" i="37"/>
  <c r="B165" i="37"/>
  <c r="A166" i="37"/>
  <c r="B166" i="37"/>
  <c r="A167" i="37"/>
  <c r="B167" i="37"/>
  <c r="A168" i="37"/>
  <c r="B168" i="37"/>
  <c r="A169" i="37"/>
  <c r="B169" i="37"/>
  <c r="A170" i="37"/>
  <c r="B170" i="37"/>
  <c r="A171" i="37"/>
  <c r="B171" i="37"/>
  <c r="A172" i="37"/>
  <c r="B172" i="37"/>
  <c r="A173" i="37"/>
  <c r="B173" i="37"/>
  <c r="A174" i="37"/>
  <c r="B174" i="37"/>
  <c r="A175" i="37"/>
  <c r="B175" i="37"/>
  <c r="A176" i="37"/>
  <c r="B176" i="37"/>
  <c r="A177" i="37"/>
  <c r="B177" i="37"/>
  <c r="A178" i="37"/>
  <c r="B178" i="37"/>
  <c r="A179" i="37"/>
  <c r="B179" i="37"/>
  <c r="A180" i="37"/>
  <c r="B180" i="37"/>
  <c r="A181" i="37"/>
  <c r="B181" i="37"/>
  <c r="A182" i="37"/>
  <c r="B182" i="37"/>
  <c r="A183" i="37"/>
  <c r="B183" i="37"/>
  <c r="A184" i="37"/>
  <c r="B184" i="37"/>
  <c r="A185" i="37"/>
  <c r="B185" i="37"/>
  <c r="A186" i="37"/>
  <c r="B186" i="37"/>
  <c r="A187" i="37"/>
  <c r="B187" i="37"/>
  <c r="A188" i="37"/>
  <c r="B188" i="37"/>
  <c r="A189" i="37"/>
  <c r="B189" i="37"/>
  <c r="A190" i="37"/>
  <c r="B190" i="37"/>
  <c r="A191" i="37"/>
  <c r="B191" i="37"/>
  <c r="A192" i="37"/>
  <c r="B192" i="37"/>
  <c r="A193" i="37"/>
  <c r="B193" i="37"/>
  <c r="A194" i="37"/>
  <c r="B194" i="37"/>
  <c r="A195" i="37"/>
  <c r="B195" i="37"/>
  <c r="A196" i="37"/>
  <c r="B196" i="37"/>
  <c r="A197" i="37"/>
  <c r="B197" i="37"/>
  <c r="A198" i="37"/>
  <c r="B198" i="37"/>
  <c r="A199" i="37"/>
  <c r="B199" i="37"/>
  <c r="A200" i="37"/>
  <c r="B200" i="37"/>
  <c r="A201" i="37"/>
  <c r="B201" i="37"/>
  <c r="A202" i="37"/>
  <c r="B202" i="37"/>
  <c r="A203" i="37"/>
  <c r="B203" i="37"/>
  <c r="A204" i="37"/>
  <c r="B204" i="37"/>
  <c r="A205" i="37"/>
  <c r="B205" i="37"/>
  <c r="A206" i="37"/>
  <c r="B206" i="37"/>
  <c r="A207" i="37"/>
  <c r="B207" i="37"/>
  <c r="A208" i="37"/>
  <c r="B208" i="37"/>
  <c r="A209" i="37"/>
  <c r="B209" i="37"/>
  <c r="A210" i="37"/>
  <c r="B210" i="37"/>
  <c r="A211" i="37"/>
  <c r="B211" i="37"/>
  <c r="A212" i="37"/>
  <c r="B212" i="37"/>
  <c r="A213" i="37"/>
  <c r="B213" i="37"/>
  <c r="A214" i="37"/>
  <c r="B214" i="37"/>
  <c r="A215" i="37"/>
  <c r="B215" i="37"/>
  <c r="A216" i="37"/>
  <c r="B216" i="37"/>
  <c r="A217" i="37"/>
  <c r="B217" i="37"/>
  <c r="A218" i="37"/>
  <c r="B218" i="37"/>
  <c r="A219" i="37"/>
  <c r="B219" i="37"/>
  <c r="A220" i="37"/>
  <c r="B220" i="37"/>
  <c r="A221" i="37"/>
  <c r="B221" i="37"/>
  <c r="A222" i="37"/>
  <c r="B222" i="37"/>
  <c r="A223" i="37"/>
  <c r="B223" i="37"/>
  <c r="A224" i="37"/>
  <c r="B224" i="37"/>
  <c r="A225" i="37"/>
  <c r="B225" i="37"/>
  <c r="A226" i="37"/>
  <c r="B226" i="37"/>
  <c r="A227" i="37"/>
  <c r="B227" i="37"/>
  <c r="A228" i="37"/>
  <c r="B228" i="37"/>
  <c r="A229" i="37"/>
  <c r="B229" i="37"/>
  <c r="A230" i="37"/>
  <c r="B230" i="37"/>
  <c r="A231" i="37"/>
  <c r="B231" i="37"/>
  <c r="A232" i="37"/>
  <c r="B232" i="37"/>
  <c r="A233" i="37"/>
  <c r="B233" i="37"/>
  <c r="A234" i="37"/>
  <c r="B234" i="37"/>
  <c r="A235" i="37"/>
  <c r="B235" i="37"/>
  <c r="A236" i="37"/>
  <c r="B236" i="37"/>
  <c r="A237" i="37"/>
  <c r="B237" i="37"/>
  <c r="A238" i="37"/>
  <c r="B238" i="37"/>
  <c r="A239" i="37"/>
  <c r="B239" i="37"/>
  <c r="A240" i="37"/>
  <c r="B240" i="37"/>
  <c r="A241" i="37"/>
  <c r="B241" i="37"/>
  <c r="A242" i="37"/>
  <c r="B242" i="37"/>
  <c r="A243" i="37"/>
  <c r="B243" i="37"/>
  <c r="A244" i="37"/>
  <c r="B244" i="37"/>
  <c r="A245" i="37"/>
  <c r="B245" i="37"/>
  <c r="A246" i="37"/>
  <c r="B246" i="37"/>
  <c r="A247" i="37"/>
  <c r="B247" i="37"/>
  <c r="A248" i="37"/>
  <c r="B248" i="37"/>
  <c r="A249" i="37"/>
  <c r="B249" i="37"/>
  <c r="A250" i="37"/>
  <c r="B250" i="37"/>
  <c r="A251" i="37"/>
  <c r="B251" i="37"/>
  <c r="A252" i="37"/>
  <c r="B252" i="37"/>
  <c r="A253" i="37"/>
  <c r="B253" i="37"/>
  <c r="A254" i="37"/>
  <c r="B254" i="37"/>
  <c r="A255" i="37"/>
  <c r="B255" i="37"/>
  <c r="A256" i="37"/>
  <c r="B256" i="37"/>
  <c r="A257" i="37"/>
  <c r="B257" i="37"/>
  <c r="A258" i="37"/>
  <c r="B258" i="37"/>
  <c r="A259" i="37"/>
  <c r="B259" i="37"/>
  <c r="A260" i="37"/>
  <c r="B260" i="37"/>
  <c r="A261" i="37"/>
  <c r="B261" i="37"/>
  <c r="A262" i="37"/>
  <c r="B262" i="37"/>
  <c r="A263" i="37"/>
  <c r="B263" i="37"/>
  <c r="A264" i="37"/>
  <c r="B264" i="37"/>
  <c r="A265" i="37"/>
  <c r="B265" i="37"/>
  <c r="A266" i="37"/>
  <c r="B266" i="37"/>
  <c r="A267" i="37"/>
  <c r="B267" i="37"/>
  <c r="A268" i="37"/>
  <c r="B268" i="37"/>
  <c r="A269" i="37"/>
  <c r="B269" i="37"/>
  <c r="A270" i="37"/>
  <c r="B270" i="37"/>
  <c r="A271" i="37"/>
  <c r="B271" i="37"/>
  <c r="A272" i="37"/>
  <c r="B272" i="37"/>
  <c r="A273" i="37"/>
  <c r="B273" i="37"/>
  <c r="A274" i="37"/>
  <c r="B274" i="37"/>
  <c r="A275" i="37"/>
  <c r="B275" i="37"/>
  <c r="A276" i="37"/>
  <c r="B276" i="37"/>
  <c r="A277" i="37"/>
  <c r="B277" i="37"/>
  <c r="A278" i="37"/>
  <c r="B278" i="37"/>
  <c r="A279" i="37"/>
  <c r="B279" i="37"/>
  <c r="A280" i="37"/>
  <c r="B280" i="37"/>
  <c r="A281" i="37"/>
  <c r="B281" i="37"/>
  <c r="A282" i="37"/>
  <c r="B282" i="37"/>
  <c r="A283" i="37"/>
  <c r="B283" i="37"/>
  <c r="A284" i="37"/>
  <c r="B284" i="37"/>
  <c r="A285" i="37"/>
  <c r="B285" i="37"/>
  <c r="A286" i="37"/>
  <c r="B286" i="37"/>
  <c r="A287" i="37"/>
  <c r="B287" i="37"/>
  <c r="A288" i="37"/>
  <c r="B288" i="37"/>
  <c r="A289" i="37"/>
  <c r="B289" i="37"/>
  <c r="A290" i="37"/>
  <c r="B290" i="37"/>
  <c r="A291" i="37"/>
  <c r="B291" i="37"/>
  <c r="A292" i="37"/>
  <c r="B292" i="37"/>
  <c r="A293" i="37"/>
  <c r="B293" i="37"/>
  <c r="A294" i="37"/>
  <c r="B294" i="37"/>
  <c r="A295" i="37"/>
  <c r="B295" i="37"/>
  <c r="A296" i="37"/>
  <c r="B296" i="37"/>
  <c r="A297" i="37"/>
  <c r="B297" i="37"/>
  <c r="A298" i="37"/>
  <c r="B298" i="37"/>
  <c r="A299" i="37"/>
  <c r="B299" i="37"/>
  <c r="A300" i="37"/>
  <c r="B300" i="37"/>
  <c r="A301" i="37"/>
  <c r="B301" i="37"/>
  <c r="A302" i="37"/>
  <c r="B302" i="37"/>
  <c r="A303" i="37"/>
  <c r="B303" i="37"/>
  <c r="A304" i="37"/>
  <c r="B304" i="37"/>
  <c r="A305" i="37"/>
  <c r="B305" i="37"/>
  <c r="A306" i="37"/>
  <c r="B306" i="37"/>
  <c r="A307" i="37"/>
  <c r="B307" i="37"/>
  <c r="A308" i="37"/>
  <c r="B308" i="37"/>
  <c r="A309" i="37"/>
  <c r="B309" i="37"/>
  <c r="A310" i="37"/>
  <c r="B310" i="37"/>
  <c r="A311" i="37"/>
  <c r="B311" i="37"/>
  <c r="A312" i="37"/>
  <c r="B312" i="37"/>
  <c r="A313" i="37"/>
  <c r="B313" i="37"/>
  <c r="G6" i="11"/>
  <c r="G7" i="11"/>
  <c r="G8" i="11"/>
  <c r="G9" i="11"/>
  <c r="G10" i="11"/>
  <c r="G11" i="11"/>
  <c r="G12" i="11"/>
  <c r="G13" i="11"/>
  <c r="G14" i="11"/>
  <c r="G15" i="11"/>
  <c r="G16" i="11"/>
  <c r="G17" i="11"/>
  <c r="G18" i="11"/>
  <c r="G19" i="11"/>
  <c r="G20" i="11"/>
  <c r="G21" i="11"/>
  <c r="G22" i="11"/>
  <c r="G23" i="11"/>
  <c r="G24" i="11"/>
  <c r="G25" i="11"/>
  <c r="G26" i="11"/>
  <c r="G27" i="11"/>
  <c r="G28" i="11"/>
  <c r="G29" i="11"/>
  <c r="G30" i="11"/>
  <c r="G31" i="11"/>
  <c r="G32" i="11"/>
  <c r="G33" i="11"/>
  <c r="G34" i="11"/>
  <c r="G35" i="11"/>
  <c r="G36" i="11"/>
  <c r="G37" i="11"/>
  <c r="G38" i="11"/>
  <c r="G39" i="11"/>
  <c r="G40" i="11"/>
  <c r="G41" i="11"/>
  <c r="G42" i="11"/>
  <c r="G43" i="11"/>
  <c r="G44" i="11"/>
  <c r="G45" i="11"/>
  <c r="G46" i="11"/>
  <c r="G47" i="11"/>
  <c r="G48" i="11"/>
  <c r="G49" i="11"/>
  <c r="G50" i="11"/>
  <c r="G51" i="11"/>
  <c r="G52" i="11"/>
  <c r="G53" i="11"/>
  <c r="G54" i="11"/>
  <c r="G55" i="11"/>
  <c r="G56" i="11"/>
  <c r="G57" i="11"/>
  <c r="G58" i="11"/>
  <c r="G59" i="11"/>
  <c r="G60" i="11"/>
  <c r="G61" i="11"/>
  <c r="G62" i="11"/>
  <c r="G63" i="11"/>
  <c r="G64" i="11"/>
  <c r="G65" i="11"/>
  <c r="G66" i="11"/>
  <c r="G67" i="11"/>
  <c r="G68" i="11"/>
  <c r="G69" i="11"/>
  <c r="G70" i="11"/>
  <c r="G71" i="11"/>
  <c r="G72" i="11"/>
  <c r="G73" i="11"/>
  <c r="G74" i="11"/>
  <c r="G75" i="11"/>
  <c r="G76" i="11"/>
  <c r="G77" i="11"/>
  <c r="G78" i="11"/>
  <c r="G79" i="11"/>
  <c r="G80" i="11"/>
  <c r="G81" i="11"/>
  <c r="G82" i="11"/>
  <c r="G83" i="11"/>
  <c r="G84" i="11"/>
  <c r="G85" i="11"/>
  <c r="G86" i="11"/>
  <c r="G87" i="11"/>
  <c r="G88" i="11"/>
  <c r="G89" i="11"/>
  <c r="G90" i="11"/>
  <c r="G91" i="11"/>
  <c r="G92" i="11"/>
  <c r="G93" i="11"/>
  <c r="G94" i="11"/>
  <c r="G95" i="11"/>
  <c r="G96" i="11"/>
  <c r="G97" i="11"/>
  <c r="G98" i="11"/>
  <c r="G99" i="11"/>
  <c r="G100" i="11"/>
  <c r="G101" i="11"/>
  <c r="G102" i="11"/>
  <c r="G103" i="11"/>
  <c r="G104" i="11"/>
  <c r="G105" i="11"/>
  <c r="G106" i="11"/>
  <c r="G107" i="11"/>
  <c r="G108" i="11"/>
  <c r="G109" i="11"/>
  <c r="G110" i="11"/>
  <c r="G111" i="11"/>
  <c r="G112" i="11"/>
  <c r="G113" i="11"/>
  <c r="G114" i="11"/>
  <c r="G115" i="11"/>
  <c r="G116" i="11"/>
  <c r="G117" i="11"/>
  <c r="G118" i="11"/>
  <c r="G119" i="11"/>
  <c r="G120" i="11"/>
  <c r="G121" i="11"/>
  <c r="G122" i="11"/>
  <c r="G123" i="11"/>
  <c r="G124" i="11"/>
  <c r="G125" i="11"/>
  <c r="G126" i="11"/>
  <c r="G127" i="11"/>
  <c r="G128" i="11"/>
  <c r="G129" i="11"/>
  <c r="G130" i="11"/>
  <c r="G131" i="11"/>
  <c r="G132" i="11"/>
  <c r="G133" i="11"/>
  <c r="G134" i="11"/>
  <c r="G135" i="11"/>
  <c r="G136" i="11"/>
  <c r="G137" i="11"/>
  <c r="G138" i="11"/>
  <c r="G139" i="11"/>
  <c r="G140" i="11"/>
  <c r="G141" i="11"/>
  <c r="G142" i="11"/>
  <c r="G143" i="11"/>
  <c r="G144" i="11"/>
  <c r="G145" i="11"/>
  <c r="G146" i="11"/>
  <c r="G147" i="11"/>
  <c r="G148" i="11"/>
  <c r="G149" i="11"/>
  <c r="G150" i="11"/>
  <c r="G151" i="11"/>
  <c r="G152" i="11"/>
  <c r="G153" i="11"/>
  <c r="G154" i="11"/>
  <c r="G155" i="11"/>
  <c r="G156" i="11"/>
  <c r="G157" i="11"/>
  <c r="G158" i="11"/>
  <c r="G159" i="11"/>
  <c r="G160" i="11"/>
  <c r="G161" i="11"/>
  <c r="G162" i="11"/>
  <c r="G163" i="11"/>
  <c r="G164" i="11"/>
  <c r="G165" i="11"/>
  <c r="G166" i="11"/>
  <c r="G167" i="11"/>
  <c r="G168" i="11"/>
  <c r="G169" i="11"/>
  <c r="G170" i="11"/>
  <c r="G171" i="11"/>
  <c r="G172" i="11"/>
  <c r="G173" i="11"/>
  <c r="G174" i="11"/>
  <c r="G175" i="11"/>
  <c r="G176" i="11"/>
  <c r="G177" i="11"/>
  <c r="G178" i="11"/>
  <c r="G179" i="11"/>
  <c r="G180" i="11"/>
  <c r="G181" i="11"/>
  <c r="G182" i="11"/>
  <c r="G183" i="11"/>
  <c r="G184" i="11"/>
  <c r="G185" i="11"/>
  <c r="G186" i="11"/>
  <c r="G187" i="11"/>
  <c r="G188" i="11"/>
  <c r="G189" i="11"/>
  <c r="G190" i="11"/>
  <c r="G191" i="11"/>
  <c r="G192" i="11"/>
  <c r="G193" i="11"/>
  <c r="G194" i="11"/>
  <c r="G195" i="11"/>
  <c r="G196" i="11"/>
  <c r="G197" i="11"/>
  <c r="G198" i="11"/>
  <c r="G199" i="11"/>
  <c r="G200" i="11"/>
  <c r="G201" i="11"/>
  <c r="G202" i="11"/>
  <c r="G203" i="11"/>
  <c r="G204" i="11"/>
  <c r="G205" i="11"/>
  <c r="G206" i="11"/>
  <c r="G207" i="11"/>
  <c r="G208" i="11"/>
  <c r="G209" i="11"/>
  <c r="G210" i="11"/>
  <c r="G211" i="11"/>
  <c r="G212" i="11"/>
  <c r="G213" i="11"/>
  <c r="G214" i="11"/>
  <c r="G215" i="11"/>
  <c r="G216" i="11"/>
  <c r="G217" i="11"/>
  <c r="G218" i="11"/>
  <c r="G219" i="11"/>
  <c r="G220" i="11"/>
  <c r="G221" i="11"/>
  <c r="G222" i="11"/>
  <c r="G223" i="11"/>
  <c r="G224" i="11"/>
  <c r="G225" i="11"/>
  <c r="G226" i="11"/>
  <c r="G227" i="11"/>
  <c r="G228" i="11"/>
  <c r="G229" i="11"/>
  <c r="G230" i="11"/>
  <c r="G231" i="11"/>
  <c r="G232" i="11"/>
  <c r="G233" i="11"/>
  <c r="G234" i="11"/>
  <c r="G235" i="11"/>
  <c r="G236" i="11"/>
  <c r="G237" i="11"/>
  <c r="G238" i="11"/>
  <c r="G239" i="11"/>
  <c r="G240" i="11"/>
  <c r="G241" i="11"/>
  <c r="G242" i="11"/>
  <c r="G243" i="11"/>
  <c r="G244" i="11"/>
  <c r="G245" i="11"/>
  <c r="G246" i="11"/>
  <c r="G247" i="11"/>
  <c r="G248" i="11"/>
  <c r="G249" i="11"/>
  <c r="G250" i="11"/>
  <c r="G251" i="11"/>
  <c r="G252" i="11"/>
  <c r="G253" i="11"/>
  <c r="G254" i="11"/>
  <c r="G255" i="11"/>
  <c r="G256" i="11"/>
  <c r="G257" i="11"/>
  <c r="G258" i="11"/>
  <c r="G259" i="11"/>
  <c r="G260" i="11"/>
  <c r="G261" i="11"/>
  <c r="G262" i="11"/>
  <c r="G263" i="11"/>
  <c r="G264" i="11"/>
  <c r="G265" i="11"/>
  <c r="G266" i="11"/>
  <c r="G267" i="11"/>
  <c r="G268" i="11"/>
  <c r="G269" i="11"/>
  <c r="G270" i="11"/>
  <c r="G271" i="11"/>
  <c r="G272" i="11"/>
  <c r="G273" i="11"/>
  <c r="G274" i="11"/>
  <c r="G275" i="11"/>
  <c r="G276" i="11"/>
  <c r="G277" i="11"/>
  <c r="G278" i="11"/>
  <c r="G279" i="11"/>
  <c r="G280" i="11"/>
  <c r="G281" i="11"/>
  <c r="G282" i="11"/>
  <c r="G283" i="11"/>
  <c r="G284" i="11"/>
  <c r="G285" i="11"/>
  <c r="G286" i="11"/>
  <c r="G287" i="11"/>
  <c r="G288" i="11"/>
  <c r="G289" i="11"/>
  <c r="G290" i="11"/>
  <c r="G291" i="11"/>
  <c r="G292" i="11"/>
  <c r="G293" i="11"/>
  <c r="G294" i="11"/>
  <c r="G295" i="11"/>
  <c r="G296" i="11"/>
  <c r="G297" i="11"/>
  <c r="G298" i="11"/>
  <c r="G299" i="11"/>
  <c r="G300" i="11"/>
  <c r="G301" i="11"/>
  <c r="G302" i="11"/>
  <c r="G303" i="11"/>
  <c r="G304" i="11"/>
  <c r="G305" i="11"/>
  <c r="G306" i="11"/>
  <c r="G307" i="11"/>
  <c r="G308" i="11"/>
  <c r="G309" i="11"/>
  <c r="G310" i="11"/>
  <c r="G311" i="11"/>
  <c r="G312" i="11"/>
  <c r="G313" i="11"/>
  <c r="G5" i="11"/>
  <c r="A6" i="11"/>
  <c r="B6" i="11"/>
  <c r="A7" i="11"/>
  <c r="B7" i="11"/>
  <c r="A8" i="11"/>
  <c r="B8" i="11"/>
  <c r="A9" i="11"/>
  <c r="B9" i="11"/>
  <c r="A10" i="11"/>
  <c r="B10" i="11"/>
  <c r="A11" i="11"/>
  <c r="B11" i="11"/>
  <c r="A12" i="11"/>
  <c r="B12" i="11"/>
  <c r="A13" i="11"/>
  <c r="B13" i="11"/>
  <c r="A14" i="11"/>
  <c r="B14" i="11"/>
  <c r="A15" i="11"/>
  <c r="B15" i="11"/>
  <c r="A16" i="11"/>
  <c r="B16" i="11"/>
  <c r="A17" i="11"/>
  <c r="B17" i="11"/>
  <c r="A18" i="11"/>
  <c r="B18" i="11"/>
  <c r="A19" i="11"/>
  <c r="B19" i="11"/>
  <c r="A20" i="11"/>
  <c r="B20" i="11"/>
  <c r="A21" i="11"/>
  <c r="B21" i="11"/>
  <c r="A22" i="11"/>
  <c r="B22" i="11"/>
  <c r="A23" i="11"/>
  <c r="B23" i="11"/>
  <c r="A24" i="11"/>
  <c r="B24" i="11"/>
  <c r="A25" i="11"/>
  <c r="B25" i="11"/>
  <c r="A26" i="11"/>
  <c r="B26" i="11"/>
  <c r="A27" i="11"/>
  <c r="B27" i="11"/>
  <c r="A28" i="11"/>
  <c r="B28" i="11"/>
  <c r="A29" i="11"/>
  <c r="B29" i="11"/>
  <c r="A30" i="11"/>
  <c r="B30" i="11"/>
  <c r="A31" i="11"/>
  <c r="B31" i="11"/>
  <c r="A32" i="11"/>
  <c r="B32" i="11"/>
  <c r="A33" i="11"/>
  <c r="B33" i="11"/>
  <c r="A34" i="11"/>
  <c r="B34" i="11"/>
  <c r="A35" i="11"/>
  <c r="B35" i="11"/>
  <c r="A36" i="11"/>
  <c r="B36" i="11"/>
  <c r="A37" i="11"/>
  <c r="B37" i="11"/>
  <c r="A38" i="11"/>
  <c r="B38" i="11"/>
  <c r="A39" i="11"/>
  <c r="B39" i="11"/>
  <c r="A40" i="11"/>
  <c r="B40" i="11"/>
  <c r="A41" i="11"/>
  <c r="B41" i="11"/>
  <c r="A42" i="11"/>
  <c r="B42" i="11"/>
  <c r="A43" i="11"/>
  <c r="B43" i="11"/>
  <c r="A44" i="11"/>
  <c r="B44" i="11"/>
  <c r="A45" i="11"/>
  <c r="B45" i="11"/>
  <c r="A46" i="11"/>
  <c r="B46" i="11"/>
  <c r="A47" i="11"/>
  <c r="B47" i="11"/>
  <c r="A48" i="11"/>
  <c r="B48" i="11"/>
  <c r="A49" i="11"/>
  <c r="B49" i="11"/>
  <c r="A50" i="11"/>
  <c r="B50" i="11"/>
  <c r="A51" i="11"/>
  <c r="B51" i="11"/>
  <c r="A52" i="11"/>
  <c r="B52" i="11"/>
  <c r="A53" i="11"/>
  <c r="B53" i="11"/>
  <c r="A54" i="11"/>
  <c r="B54" i="11"/>
  <c r="A55" i="11"/>
  <c r="B55" i="11"/>
  <c r="A56" i="11"/>
  <c r="B56" i="11"/>
  <c r="A57" i="11"/>
  <c r="B57" i="11"/>
  <c r="A58" i="11"/>
  <c r="B58" i="11"/>
  <c r="A59" i="11"/>
  <c r="B59" i="11"/>
  <c r="A60" i="11"/>
  <c r="B60" i="11"/>
  <c r="A61" i="11"/>
  <c r="B61" i="11"/>
  <c r="A62" i="11"/>
  <c r="B62" i="11"/>
  <c r="A63" i="11"/>
  <c r="B63" i="11"/>
  <c r="A64" i="11"/>
  <c r="B64" i="11"/>
  <c r="A65" i="11"/>
  <c r="B65" i="11"/>
  <c r="A66" i="11"/>
  <c r="B66" i="11"/>
  <c r="A67" i="11"/>
  <c r="B67" i="11"/>
  <c r="A68" i="11"/>
  <c r="B68" i="11"/>
  <c r="A69" i="11"/>
  <c r="B69" i="11"/>
  <c r="A70" i="11"/>
  <c r="B70" i="11"/>
  <c r="A71" i="11"/>
  <c r="B71" i="11"/>
  <c r="A72" i="11"/>
  <c r="B72" i="11"/>
  <c r="A73" i="11"/>
  <c r="B73" i="11"/>
  <c r="A74" i="11"/>
  <c r="B74" i="11"/>
  <c r="A75" i="11"/>
  <c r="B75" i="11"/>
  <c r="A76" i="11"/>
  <c r="B76" i="11"/>
  <c r="A77" i="11"/>
  <c r="B77" i="11"/>
  <c r="A78" i="11"/>
  <c r="B78" i="11"/>
  <c r="A79" i="11"/>
  <c r="B79" i="11"/>
  <c r="A80" i="11"/>
  <c r="B80" i="11"/>
  <c r="A81" i="11"/>
  <c r="B81" i="11"/>
  <c r="A82" i="11"/>
  <c r="B82" i="11"/>
  <c r="A83" i="11"/>
  <c r="B83" i="11"/>
  <c r="A84" i="11"/>
  <c r="B84" i="11"/>
  <c r="A85" i="11"/>
  <c r="B85" i="11"/>
  <c r="A86" i="11"/>
  <c r="B86" i="11"/>
  <c r="A87" i="11"/>
  <c r="B87" i="11"/>
  <c r="A88" i="11"/>
  <c r="B88" i="11"/>
  <c r="A89" i="11"/>
  <c r="B89" i="11"/>
  <c r="A90" i="11"/>
  <c r="B90" i="11"/>
  <c r="A91" i="11"/>
  <c r="B91" i="11"/>
  <c r="A92" i="11"/>
  <c r="B92" i="11"/>
  <c r="A93" i="11"/>
  <c r="B93" i="11"/>
  <c r="A94" i="11"/>
  <c r="B94" i="11"/>
  <c r="A95" i="11"/>
  <c r="B95" i="11"/>
  <c r="A96" i="11"/>
  <c r="B96" i="11"/>
  <c r="A97" i="11"/>
  <c r="B97" i="11"/>
  <c r="A98" i="11"/>
  <c r="B98" i="11"/>
  <c r="A99" i="11"/>
  <c r="B99" i="11"/>
  <c r="A100" i="11"/>
  <c r="B100" i="11"/>
  <c r="A101" i="11"/>
  <c r="B101" i="11"/>
  <c r="A102" i="11"/>
  <c r="B102" i="11"/>
  <c r="A103" i="11"/>
  <c r="B103" i="11"/>
  <c r="A104" i="11"/>
  <c r="B104" i="11"/>
  <c r="A105" i="11"/>
  <c r="B105" i="11"/>
  <c r="A106" i="11"/>
  <c r="B106" i="11"/>
  <c r="A107" i="11"/>
  <c r="B107" i="11"/>
  <c r="A108" i="11"/>
  <c r="B108" i="11"/>
  <c r="A109" i="11"/>
  <c r="B109" i="11"/>
  <c r="A110" i="11"/>
  <c r="B110" i="11"/>
  <c r="A111" i="11"/>
  <c r="B111" i="11"/>
  <c r="A112" i="11"/>
  <c r="B112" i="11"/>
  <c r="A113" i="11"/>
  <c r="B113" i="11"/>
  <c r="A114" i="11"/>
  <c r="B114" i="11"/>
  <c r="A115" i="11"/>
  <c r="B115" i="11"/>
  <c r="A116" i="11"/>
  <c r="B116" i="11"/>
  <c r="A117" i="11"/>
  <c r="B117" i="11"/>
  <c r="A118" i="11"/>
  <c r="B118" i="11"/>
  <c r="A119" i="11"/>
  <c r="B119" i="11"/>
  <c r="A120" i="11"/>
  <c r="B120" i="11"/>
  <c r="A121" i="11"/>
  <c r="B121" i="11"/>
  <c r="A122" i="11"/>
  <c r="B122" i="11"/>
  <c r="A123" i="11"/>
  <c r="B123" i="11"/>
  <c r="A124" i="11"/>
  <c r="B124" i="11"/>
  <c r="A125" i="11"/>
  <c r="B125" i="11"/>
  <c r="A126" i="11"/>
  <c r="B126" i="11"/>
  <c r="A127" i="11"/>
  <c r="B127" i="11"/>
  <c r="A128" i="11"/>
  <c r="B128" i="11"/>
  <c r="A129" i="11"/>
  <c r="B129" i="11"/>
  <c r="A130" i="11"/>
  <c r="B130" i="11"/>
  <c r="A131" i="11"/>
  <c r="B131" i="11"/>
  <c r="A132" i="11"/>
  <c r="B132" i="11"/>
  <c r="A133" i="11"/>
  <c r="B133" i="11"/>
  <c r="A134" i="11"/>
  <c r="B134" i="11"/>
  <c r="A135" i="11"/>
  <c r="B135" i="11"/>
  <c r="A136" i="11"/>
  <c r="B136" i="11"/>
  <c r="A137" i="11"/>
  <c r="B137" i="11"/>
  <c r="A138" i="11"/>
  <c r="B138" i="11"/>
  <c r="A139" i="11"/>
  <c r="B139" i="11"/>
  <c r="A140" i="11"/>
  <c r="B140" i="11"/>
  <c r="A141" i="11"/>
  <c r="B141" i="11"/>
  <c r="A142" i="11"/>
  <c r="B142" i="11"/>
  <c r="A143" i="11"/>
  <c r="B143" i="11"/>
  <c r="A144" i="11"/>
  <c r="B144" i="11"/>
  <c r="A145" i="11"/>
  <c r="B145" i="11"/>
  <c r="A146" i="11"/>
  <c r="B146" i="11"/>
  <c r="A147" i="11"/>
  <c r="B147" i="11"/>
  <c r="A148" i="11"/>
  <c r="B148" i="11"/>
  <c r="A149" i="11"/>
  <c r="B149" i="11"/>
  <c r="A150" i="11"/>
  <c r="B150" i="11"/>
  <c r="A151" i="11"/>
  <c r="B151" i="11"/>
  <c r="A152" i="11"/>
  <c r="B152" i="11"/>
  <c r="A153" i="11"/>
  <c r="B153" i="11"/>
  <c r="A154" i="11"/>
  <c r="B154" i="11"/>
  <c r="A155" i="11"/>
  <c r="B155" i="11"/>
  <c r="A156" i="11"/>
  <c r="B156" i="11"/>
  <c r="A157" i="11"/>
  <c r="B157" i="11"/>
  <c r="A158" i="11"/>
  <c r="B158" i="11"/>
  <c r="A159" i="11"/>
  <c r="B159" i="11"/>
  <c r="A160" i="11"/>
  <c r="B160" i="11"/>
  <c r="A161" i="11"/>
  <c r="B161" i="11"/>
  <c r="A162" i="11"/>
  <c r="B162" i="11"/>
  <c r="A163" i="11"/>
  <c r="B163" i="11"/>
  <c r="A164" i="11"/>
  <c r="B164" i="11"/>
  <c r="A165" i="11"/>
  <c r="B165" i="11"/>
  <c r="A166" i="11"/>
  <c r="B166" i="11"/>
  <c r="A167" i="11"/>
  <c r="B167" i="11"/>
  <c r="A168" i="11"/>
  <c r="B168" i="11"/>
  <c r="A169" i="11"/>
  <c r="B169" i="11"/>
  <c r="A170" i="11"/>
  <c r="B170" i="11"/>
  <c r="A171" i="11"/>
  <c r="B171" i="11"/>
  <c r="A172" i="11"/>
  <c r="B172" i="11"/>
  <c r="A173" i="11"/>
  <c r="B173" i="11"/>
  <c r="A174" i="11"/>
  <c r="B174" i="11"/>
  <c r="A175" i="11"/>
  <c r="B175" i="11"/>
  <c r="A176" i="11"/>
  <c r="B176" i="11"/>
  <c r="A177" i="11"/>
  <c r="B177" i="11"/>
  <c r="A178" i="11"/>
  <c r="B178" i="11"/>
  <c r="A179" i="11"/>
  <c r="B179" i="11"/>
  <c r="A180" i="11"/>
  <c r="B180" i="11"/>
  <c r="A181" i="11"/>
  <c r="B181" i="11"/>
  <c r="A182" i="11"/>
  <c r="B182" i="11"/>
  <c r="A183" i="11"/>
  <c r="B183" i="11"/>
  <c r="A184" i="11"/>
  <c r="B184" i="11"/>
  <c r="A185" i="11"/>
  <c r="B185" i="11"/>
  <c r="A186" i="11"/>
  <c r="B186" i="11"/>
  <c r="A187" i="11"/>
  <c r="B187" i="11"/>
  <c r="A188" i="11"/>
  <c r="B188" i="11"/>
  <c r="A189" i="11"/>
  <c r="B189" i="11"/>
  <c r="A190" i="11"/>
  <c r="B190" i="11"/>
  <c r="A191" i="11"/>
  <c r="B191" i="11"/>
  <c r="A192" i="11"/>
  <c r="B192" i="11"/>
  <c r="A193" i="11"/>
  <c r="B193" i="11"/>
  <c r="A194" i="11"/>
  <c r="B194" i="11"/>
  <c r="A195" i="11"/>
  <c r="B195" i="11"/>
  <c r="A196" i="11"/>
  <c r="B196" i="11"/>
  <c r="A197" i="11"/>
  <c r="B197" i="11"/>
  <c r="A198" i="11"/>
  <c r="B198" i="11"/>
  <c r="A199" i="11"/>
  <c r="B199" i="11"/>
  <c r="A200" i="11"/>
  <c r="B200" i="11"/>
  <c r="A201" i="11"/>
  <c r="B201" i="11"/>
  <c r="A202" i="11"/>
  <c r="B202" i="11"/>
  <c r="A203" i="11"/>
  <c r="B203" i="11"/>
  <c r="A204" i="11"/>
  <c r="B204" i="11"/>
  <c r="A205" i="11"/>
  <c r="B205" i="11"/>
  <c r="A206" i="11"/>
  <c r="B206" i="11"/>
  <c r="A207" i="11"/>
  <c r="B207" i="11"/>
  <c r="A208" i="11"/>
  <c r="B208" i="11"/>
  <c r="A209" i="11"/>
  <c r="B209" i="11"/>
  <c r="A210" i="11"/>
  <c r="B210" i="11"/>
  <c r="A211" i="11"/>
  <c r="B211" i="11"/>
  <c r="A212" i="11"/>
  <c r="B212" i="11"/>
  <c r="A213" i="11"/>
  <c r="B213" i="11"/>
  <c r="A214" i="11"/>
  <c r="B214" i="11"/>
  <c r="A215" i="11"/>
  <c r="B215" i="11"/>
  <c r="A216" i="11"/>
  <c r="B216" i="11"/>
  <c r="A217" i="11"/>
  <c r="B217" i="11"/>
  <c r="A218" i="11"/>
  <c r="B218" i="11"/>
  <c r="A219" i="11"/>
  <c r="B219" i="11"/>
  <c r="A220" i="11"/>
  <c r="B220" i="11"/>
  <c r="A221" i="11"/>
  <c r="B221" i="11"/>
  <c r="A222" i="11"/>
  <c r="B222" i="11"/>
  <c r="A223" i="11"/>
  <c r="B223" i="11"/>
  <c r="A224" i="11"/>
  <c r="B224" i="11"/>
  <c r="A225" i="11"/>
  <c r="B225" i="11"/>
  <c r="A226" i="11"/>
  <c r="B226" i="11"/>
  <c r="A227" i="11"/>
  <c r="B227" i="11"/>
  <c r="A228" i="11"/>
  <c r="B228" i="11"/>
  <c r="A229" i="11"/>
  <c r="B229" i="11"/>
  <c r="A230" i="11"/>
  <c r="B230" i="11"/>
  <c r="A231" i="11"/>
  <c r="B231" i="11"/>
  <c r="A232" i="11"/>
  <c r="B232" i="11"/>
  <c r="A233" i="11"/>
  <c r="B233" i="11"/>
  <c r="A234" i="11"/>
  <c r="B234" i="11"/>
  <c r="A235" i="11"/>
  <c r="B235" i="11"/>
  <c r="A236" i="11"/>
  <c r="B236" i="11"/>
  <c r="A237" i="11"/>
  <c r="B237" i="11"/>
  <c r="A238" i="11"/>
  <c r="B238" i="11"/>
  <c r="A239" i="11"/>
  <c r="B239" i="11"/>
  <c r="A240" i="11"/>
  <c r="B240" i="11"/>
  <c r="A241" i="11"/>
  <c r="B241" i="11"/>
  <c r="A242" i="11"/>
  <c r="B242" i="11"/>
  <c r="A243" i="11"/>
  <c r="B243" i="11"/>
  <c r="A244" i="11"/>
  <c r="B244" i="11"/>
  <c r="A245" i="11"/>
  <c r="B245" i="11"/>
  <c r="A246" i="11"/>
  <c r="B246" i="11"/>
  <c r="A247" i="11"/>
  <c r="B247" i="11"/>
  <c r="A248" i="11"/>
  <c r="B248" i="11"/>
  <c r="A249" i="11"/>
  <c r="B249" i="11"/>
  <c r="A250" i="11"/>
  <c r="B250" i="11"/>
  <c r="A251" i="11"/>
  <c r="B251" i="11"/>
  <c r="A252" i="11"/>
  <c r="B252" i="11"/>
  <c r="A253" i="11"/>
  <c r="B253" i="11"/>
  <c r="A254" i="11"/>
  <c r="B254" i="11"/>
  <c r="A255" i="11"/>
  <c r="B255" i="11"/>
  <c r="A256" i="11"/>
  <c r="B256" i="11"/>
  <c r="A257" i="11"/>
  <c r="B257" i="11"/>
  <c r="A258" i="11"/>
  <c r="B258" i="11"/>
  <c r="A259" i="11"/>
  <c r="B259" i="11"/>
  <c r="A260" i="11"/>
  <c r="B260" i="11"/>
  <c r="A261" i="11"/>
  <c r="B261" i="11"/>
  <c r="A262" i="11"/>
  <c r="B262" i="11"/>
  <c r="A263" i="11"/>
  <c r="B263" i="11"/>
  <c r="A264" i="11"/>
  <c r="B264" i="11"/>
  <c r="A265" i="11"/>
  <c r="B265" i="11"/>
  <c r="A266" i="11"/>
  <c r="B266" i="11"/>
  <c r="A267" i="11"/>
  <c r="B267" i="11"/>
  <c r="A268" i="11"/>
  <c r="B268" i="11"/>
  <c r="A269" i="11"/>
  <c r="B269" i="11"/>
  <c r="A270" i="11"/>
  <c r="B270" i="11"/>
  <c r="A271" i="11"/>
  <c r="B271" i="11"/>
  <c r="A272" i="11"/>
  <c r="B272" i="11"/>
  <c r="A273" i="11"/>
  <c r="B273" i="11"/>
  <c r="A274" i="11"/>
  <c r="B274" i="11"/>
  <c r="A275" i="11"/>
  <c r="B275" i="11"/>
  <c r="A276" i="11"/>
  <c r="B276" i="11"/>
  <c r="A277" i="11"/>
  <c r="B277" i="11"/>
  <c r="A278" i="11"/>
  <c r="B278" i="11"/>
  <c r="A279" i="11"/>
  <c r="B279" i="11"/>
  <c r="A280" i="11"/>
  <c r="B280" i="11"/>
  <c r="A281" i="11"/>
  <c r="B281" i="11"/>
  <c r="A282" i="11"/>
  <c r="B282" i="11"/>
  <c r="A283" i="11"/>
  <c r="B283" i="11"/>
  <c r="A284" i="11"/>
  <c r="B284" i="11"/>
  <c r="A285" i="11"/>
  <c r="B285" i="11"/>
  <c r="A286" i="11"/>
  <c r="B286" i="11"/>
  <c r="A287" i="11"/>
  <c r="B287" i="11"/>
  <c r="A288" i="11"/>
  <c r="B288" i="11"/>
  <c r="A289" i="11"/>
  <c r="B289" i="11"/>
  <c r="A290" i="11"/>
  <c r="B290" i="11"/>
  <c r="A291" i="11"/>
  <c r="B291" i="11"/>
  <c r="A292" i="11"/>
  <c r="B292" i="11"/>
  <c r="A293" i="11"/>
  <c r="B293" i="11"/>
  <c r="A294" i="11"/>
  <c r="B294" i="11"/>
  <c r="A295" i="11"/>
  <c r="B295" i="11"/>
  <c r="A296" i="11"/>
  <c r="B296" i="11"/>
  <c r="A297" i="11"/>
  <c r="B297" i="11"/>
  <c r="A298" i="11"/>
  <c r="B298" i="11"/>
  <c r="A299" i="11"/>
  <c r="B299" i="11"/>
  <c r="A300" i="11"/>
  <c r="B300" i="11"/>
  <c r="A301" i="11"/>
  <c r="B301" i="11"/>
  <c r="A302" i="11"/>
  <c r="B302" i="11"/>
  <c r="A303" i="11"/>
  <c r="B303" i="11"/>
  <c r="A304" i="11"/>
  <c r="B304" i="11"/>
  <c r="A305" i="11"/>
  <c r="B305" i="11"/>
  <c r="A306" i="11"/>
  <c r="B306" i="11"/>
  <c r="A307" i="11"/>
  <c r="B307" i="11"/>
  <c r="A308" i="11"/>
  <c r="B308" i="11"/>
  <c r="A309" i="11"/>
  <c r="B309" i="11"/>
  <c r="A310" i="11"/>
  <c r="B310" i="11"/>
  <c r="A311" i="11"/>
  <c r="B311" i="11"/>
  <c r="A312" i="11"/>
  <c r="B312" i="11"/>
  <c r="A313" i="11"/>
  <c r="B313" i="11"/>
  <c r="B5" i="11"/>
  <c r="A5" i="11"/>
  <c r="A17" i="34"/>
  <c r="B17" i="34"/>
  <c r="A18" i="34"/>
  <c r="B18" i="34"/>
  <c r="A19" i="34"/>
  <c r="B19" i="34"/>
  <c r="A20" i="34"/>
  <c r="B20" i="34"/>
  <c r="A21" i="34"/>
  <c r="B21" i="34"/>
  <c r="A22" i="34"/>
  <c r="B22" i="34"/>
  <c r="A23" i="34"/>
  <c r="B23" i="34"/>
  <c r="A24" i="34"/>
  <c r="B24" i="34"/>
  <c r="A25" i="34"/>
  <c r="B25" i="34"/>
  <c r="A26" i="34"/>
  <c r="B26" i="34"/>
  <c r="A27" i="34"/>
  <c r="B27" i="34"/>
  <c r="A28" i="34"/>
  <c r="B28" i="34"/>
  <c r="A29" i="34"/>
  <c r="B29" i="34"/>
  <c r="A30" i="34"/>
  <c r="B30" i="34"/>
  <c r="A31" i="34"/>
  <c r="B31" i="34"/>
  <c r="A32" i="34"/>
  <c r="B32" i="34"/>
  <c r="A33" i="34"/>
  <c r="B33" i="34"/>
  <c r="A34" i="34"/>
  <c r="B34" i="34"/>
  <c r="A35" i="34"/>
  <c r="B35" i="34"/>
  <c r="A36" i="34"/>
  <c r="B36" i="34"/>
  <c r="A37" i="34"/>
  <c r="B37" i="34"/>
  <c r="A38" i="34"/>
  <c r="B38" i="34"/>
  <c r="A39" i="34"/>
  <c r="B39" i="34"/>
  <c r="A40" i="34"/>
  <c r="B40" i="34"/>
  <c r="A41" i="34"/>
  <c r="B41" i="34"/>
  <c r="A42" i="34"/>
  <c r="B42" i="34"/>
  <c r="A43" i="34"/>
  <c r="B43" i="34"/>
  <c r="A44" i="34"/>
  <c r="B44" i="34"/>
  <c r="A45" i="34"/>
  <c r="B45" i="34"/>
  <c r="A46" i="34"/>
  <c r="B46" i="34"/>
  <c r="A47" i="34"/>
  <c r="B47" i="34"/>
  <c r="A48" i="34"/>
  <c r="B48" i="34"/>
  <c r="A49" i="34"/>
  <c r="B49" i="34"/>
  <c r="A50" i="34"/>
  <c r="B50" i="34"/>
  <c r="A51" i="34"/>
  <c r="B51" i="34"/>
  <c r="A52" i="34"/>
  <c r="B52" i="34"/>
  <c r="A53" i="34"/>
  <c r="B53" i="34"/>
  <c r="A54" i="34"/>
  <c r="B54" i="34"/>
  <c r="A55" i="34"/>
  <c r="B55" i="34"/>
  <c r="A56" i="34"/>
  <c r="B56" i="34"/>
  <c r="A57" i="34"/>
  <c r="B57" i="34"/>
  <c r="A58" i="34"/>
  <c r="B58" i="34"/>
  <c r="A59" i="34"/>
  <c r="B59" i="34"/>
  <c r="A60" i="34"/>
  <c r="B60" i="34"/>
  <c r="A61" i="34"/>
  <c r="B61" i="34"/>
  <c r="A62" i="34"/>
  <c r="B62" i="34"/>
  <c r="A63" i="34"/>
  <c r="B63" i="34"/>
  <c r="A64" i="34"/>
  <c r="B64" i="34"/>
  <c r="A65" i="34"/>
  <c r="B65" i="34"/>
  <c r="A66" i="34"/>
  <c r="B66" i="34"/>
  <c r="A67" i="34"/>
  <c r="B67" i="34"/>
  <c r="A68" i="34"/>
  <c r="B68" i="34"/>
  <c r="A69" i="34"/>
  <c r="B69" i="34"/>
  <c r="A70" i="34"/>
  <c r="B70" i="34"/>
  <c r="A71" i="34"/>
  <c r="B71" i="34"/>
  <c r="A72" i="34"/>
  <c r="B72" i="34"/>
  <c r="A73" i="34"/>
  <c r="B73" i="34"/>
  <c r="A74" i="34"/>
  <c r="B74" i="34"/>
  <c r="A75" i="34"/>
  <c r="B75" i="34"/>
  <c r="A76" i="34"/>
  <c r="B76" i="34"/>
  <c r="A77" i="34"/>
  <c r="B77" i="34"/>
  <c r="A78" i="34"/>
  <c r="B78" i="34"/>
  <c r="A79" i="34"/>
  <c r="B79" i="34"/>
  <c r="A80" i="34"/>
  <c r="B80" i="34"/>
  <c r="A81" i="34"/>
  <c r="B81" i="34"/>
  <c r="A82" i="34"/>
  <c r="B82" i="34"/>
  <c r="A83" i="34"/>
  <c r="B83" i="34"/>
  <c r="A84" i="34"/>
  <c r="B84" i="34"/>
  <c r="A85" i="34"/>
  <c r="B85" i="34"/>
  <c r="A86" i="34"/>
  <c r="B86" i="34"/>
  <c r="A87" i="34"/>
  <c r="B87" i="34"/>
  <c r="A88" i="34"/>
  <c r="B88" i="34"/>
  <c r="A89" i="34"/>
  <c r="B89" i="34"/>
  <c r="A90" i="34"/>
  <c r="B90" i="34"/>
  <c r="A91" i="34"/>
  <c r="B91" i="34"/>
  <c r="A92" i="34"/>
  <c r="B92" i="34"/>
  <c r="A93" i="34"/>
  <c r="B93" i="34"/>
  <c r="A94" i="34"/>
  <c r="B94" i="34"/>
  <c r="A95" i="34"/>
  <c r="B95" i="34"/>
  <c r="A96" i="34"/>
  <c r="B96" i="34"/>
  <c r="A97" i="34"/>
  <c r="B97" i="34"/>
  <c r="A98" i="34"/>
  <c r="B98" i="34"/>
  <c r="A99" i="34"/>
  <c r="B99" i="34"/>
  <c r="A100" i="34"/>
  <c r="B100" i="34"/>
  <c r="A101" i="34"/>
  <c r="B101" i="34"/>
  <c r="A102" i="34"/>
  <c r="B102" i="34"/>
  <c r="A103" i="34"/>
  <c r="B103" i="34"/>
  <c r="A104" i="34"/>
  <c r="B104" i="34"/>
  <c r="A105" i="34"/>
  <c r="B105" i="34"/>
  <c r="A106" i="34"/>
  <c r="B106" i="34"/>
  <c r="A107" i="34"/>
  <c r="B107" i="34"/>
  <c r="A108" i="34"/>
  <c r="B108" i="34"/>
  <c r="A109" i="34"/>
  <c r="B109" i="34"/>
  <c r="A110" i="34"/>
  <c r="B110" i="34"/>
  <c r="A111" i="34"/>
  <c r="B111" i="34"/>
  <c r="A112" i="34"/>
  <c r="B112" i="34"/>
  <c r="A113" i="34"/>
  <c r="B113" i="34"/>
  <c r="A114" i="34"/>
  <c r="B114" i="34"/>
  <c r="A115" i="34"/>
  <c r="B115" i="34"/>
  <c r="A116" i="34"/>
  <c r="B116" i="34"/>
  <c r="A117" i="34"/>
  <c r="B117" i="34"/>
  <c r="A118" i="34"/>
  <c r="B118" i="34"/>
  <c r="A119" i="34"/>
  <c r="B119" i="34"/>
  <c r="A120" i="34"/>
  <c r="B120" i="34"/>
  <c r="A121" i="34"/>
  <c r="B121" i="34"/>
  <c r="A122" i="34"/>
  <c r="B122" i="34"/>
  <c r="A123" i="34"/>
  <c r="B123" i="34"/>
  <c r="A124" i="34"/>
  <c r="B124" i="34"/>
  <c r="A125" i="34"/>
  <c r="B125" i="34"/>
  <c r="A126" i="34"/>
  <c r="B126" i="34"/>
  <c r="A127" i="34"/>
  <c r="B127" i="34"/>
  <c r="A128" i="34"/>
  <c r="B128" i="34"/>
  <c r="A129" i="34"/>
  <c r="B129" i="34"/>
  <c r="A130" i="34"/>
  <c r="B130" i="34"/>
  <c r="A131" i="34"/>
  <c r="B131" i="34"/>
  <c r="A132" i="34"/>
  <c r="B132" i="34"/>
  <c r="A133" i="34"/>
  <c r="B133" i="34"/>
  <c r="A134" i="34"/>
  <c r="B134" i="34"/>
  <c r="A135" i="34"/>
  <c r="B135" i="34"/>
  <c r="A136" i="34"/>
  <c r="B136" i="34"/>
  <c r="A137" i="34"/>
  <c r="B137" i="34"/>
  <c r="A138" i="34"/>
  <c r="B138" i="34"/>
  <c r="A139" i="34"/>
  <c r="B139" i="34"/>
  <c r="A140" i="34"/>
  <c r="B140" i="34"/>
  <c r="A141" i="34"/>
  <c r="B141" i="34"/>
  <c r="A142" i="34"/>
  <c r="B142" i="34"/>
  <c r="A143" i="34"/>
  <c r="B143" i="34"/>
  <c r="A144" i="34"/>
  <c r="B144" i="34"/>
  <c r="A145" i="34"/>
  <c r="B145" i="34"/>
  <c r="A146" i="34"/>
  <c r="B146" i="34"/>
  <c r="A147" i="34"/>
  <c r="B147" i="34"/>
  <c r="A148" i="34"/>
  <c r="B148" i="34"/>
  <c r="A149" i="34"/>
  <c r="B149" i="34"/>
  <c r="A150" i="34"/>
  <c r="B150" i="34"/>
  <c r="A151" i="34"/>
  <c r="B151" i="34"/>
  <c r="A152" i="34"/>
  <c r="B152" i="34"/>
  <c r="A153" i="34"/>
  <c r="B153" i="34"/>
  <c r="A154" i="34"/>
  <c r="B154" i="34"/>
  <c r="A155" i="34"/>
  <c r="B155" i="34"/>
  <c r="A156" i="34"/>
  <c r="B156" i="34"/>
  <c r="A157" i="34"/>
  <c r="B157" i="34"/>
  <c r="A158" i="34"/>
  <c r="B158" i="34"/>
  <c r="A159" i="34"/>
  <c r="B159" i="34"/>
  <c r="A160" i="34"/>
  <c r="B160" i="34"/>
  <c r="A161" i="34"/>
  <c r="B161" i="34"/>
  <c r="A162" i="34"/>
  <c r="B162" i="34"/>
  <c r="A163" i="34"/>
  <c r="B163" i="34"/>
  <c r="A164" i="34"/>
  <c r="B164" i="34"/>
  <c r="A165" i="34"/>
  <c r="B165" i="34"/>
  <c r="A166" i="34"/>
  <c r="B166" i="34"/>
  <c r="A167" i="34"/>
  <c r="B167" i="34"/>
  <c r="A168" i="34"/>
  <c r="B168" i="34"/>
  <c r="A169" i="34"/>
  <c r="B169" i="34"/>
  <c r="A170" i="34"/>
  <c r="B170" i="34"/>
  <c r="A171" i="34"/>
  <c r="B171" i="34"/>
  <c r="A172" i="34"/>
  <c r="B172" i="34"/>
  <c r="A173" i="34"/>
  <c r="B173" i="34"/>
  <c r="A174" i="34"/>
  <c r="B174" i="34"/>
  <c r="A175" i="34"/>
  <c r="B175" i="34"/>
  <c r="A176" i="34"/>
  <c r="B176" i="34"/>
  <c r="A177" i="34"/>
  <c r="B177" i="34"/>
  <c r="A178" i="34"/>
  <c r="B178" i="34"/>
  <c r="A179" i="34"/>
  <c r="B179" i="34"/>
  <c r="A180" i="34"/>
  <c r="B180" i="34"/>
  <c r="A181" i="34"/>
  <c r="B181" i="34"/>
  <c r="A182" i="34"/>
  <c r="B182" i="34"/>
  <c r="A183" i="34"/>
  <c r="B183" i="34"/>
  <c r="A184" i="34"/>
  <c r="B184" i="34"/>
  <c r="A185" i="34"/>
  <c r="B185" i="34"/>
  <c r="A186" i="34"/>
  <c r="B186" i="34"/>
  <c r="A187" i="34"/>
  <c r="B187" i="34"/>
  <c r="A188" i="34"/>
  <c r="B188" i="34"/>
  <c r="A189" i="34"/>
  <c r="B189" i="34"/>
  <c r="A190" i="34"/>
  <c r="B190" i="34"/>
  <c r="A191" i="34"/>
  <c r="B191" i="34"/>
  <c r="A192" i="34"/>
  <c r="B192" i="34"/>
  <c r="A193" i="34"/>
  <c r="B193" i="34"/>
  <c r="A194" i="34"/>
  <c r="B194" i="34"/>
  <c r="A195" i="34"/>
  <c r="B195" i="34"/>
  <c r="A196" i="34"/>
  <c r="B196" i="34"/>
  <c r="A197" i="34"/>
  <c r="B197" i="34"/>
  <c r="A198" i="34"/>
  <c r="B198" i="34"/>
  <c r="A199" i="34"/>
  <c r="B199" i="34"/>
  <c r="A200" i="34"/>
  <c r="B200" i="34"/>
  <c r="A201" i="34"/>
  <c r="B201" i="34"/>
  <c r="A202" i="34"/>
  <c r="B202" i="34"/>
  <c r="A203" i="34"/>
  <c r="B203" i="34"/>
  <c r="A204" i="34"/>
  <c r="B204" i="34"/>
  <c r="A205" i="34"/>
  <c r="B205" i="34"/>
  <c r="A206" i="34"/>
  <c r="B206" i="34"/>
  <c r="A207" i="34"/>
  <c r="B207" i="34"/>
  <c r="A208" i="34"/>
  <c r="B208" i="34"/>
  <c r="A209" i="34"/>
  <c r="B209" i="34"/>
  <c r="A210" i="34"/>
  <c r="B210" i="34"/>
  <c r="A211" i="34"/>
  <c r="B211" i="34"/>
  <c r="A212" i="34"/>
  <c r="B212" i="34"/>
  <c r="A213" i="34"/>
  <c r="B213" i="34"/>
  <c r="A214" i="34"/>
  <c r="B214" i="34"/>
  <c r="A215" i="34"/>
  <c r="B215" i="34"/>
  <c r="A216" i="34"/>
  <c r="B216" i="34"/>
  <c r="A217" i="34"/>
  <c r="B217" i="34"/>
  <c r="A218" i="34"/>
  <c r="B218" i="34"/>
  <c r="A219" i="34"/>
  <c r="B219" i="34"/>
  <c r="A220" i="34"/>
  <c r="B220" i="34"/>
  <c r="A221" i="34"/>
  <c r="B221" i="34"/>
  <c r="A222" i="34"/>
  <c r="B222" i="34"/>
  <c r="A223" i="34"/>
  <c r="B223" i="34"/>
  <c r="A224" i="34"/>
  <c r="B224" i="34"/>
  <c r="A225" i="34"/>
  <c r="B225" i="34"/>
  <c r="A226" i="34"/>
  <c r="B226" i="34"/>
  <c r="A227" i="34"/>
  <c r="B227" i="34"/>
  <c r="A228" i="34"/>
  <c r="B228" i="34"/>
  <c r="A229" i="34"/>
  <c r="B229" i="34"/>
  <c r="A230" i="34"/>
  <c r="B230" i="34"/>
  <c r="A231" i="34"/>
  <c r="B231" i="34"/>
  <c r="A232" i="34"/>
  <c r="B232" i="34"/>
  <c r="A233" i="34"/>
  <c r="B233" i="34"/>
  <c r="A234" i="34"/>
  <c r="B234" i="34"/>
  <c r="A235" i="34"/>
  <c r="B235" i="34"/>
  <c r="A236" i="34"/>
  <c r="B236" i="34"/>
  <c r="A237" i="34"/>
  <c r="B237" i="34"/>
  <c r="A238" i="34"/>
  <c r="B238" i="34"/>
  <c r="A239" i="34"/>
  <c r="B239" i="34"/>
  <c r="A240" i="34"/>
  <c r="B240" i="34"/>
  <c r="A241" i="34"/>
  <c r="B241" i="34"/>
  <c r="A242" i="34"/>
  <c r="B242" i="34"/>
  <c r="A243" i="34"/>
  <c r="B243" i="34"/>
  <c r="A244" i="34"/>
  <c r="B244" i="34"/>
  <c r="A245" i="34"/>
  <c r="B245" i="34"/>
  <c r="A246" i="34"/>
  <c r="B246" i="34"/>
  <c r="A247" i="34"/>
  <c r="B247" i="34"/>
  <c r="A248" i="34"/>
  <c r="B248" i="34"/>
  <c r="A249" i="34"/>
  <c r="B249" i="34"/>
  <c r="A250" i="34"/>
  <c r="B250" i="34"/>
  <c r="A251" i="34"/>
  <c r="B251" i="34"/>
  <c r="A252" i="34"/>
  <c r="B252" i="34"/>
  <c r="A253" i="34"/>
  <c r="B253" i="34"/>
  <c r="A254" i="34"/>
  <c r="B254" i="34"/>
  <c r="A255" i="34"/>
  <c r="B255" i="34"/>
  <c r="A256" i="34"/>
  <c r="B256" i="34"/>
  <c r="A257" i="34"/>
  <c r="B257" i="34"/>
  <c r="A258" i="34"/>
  <c r="B258" i="34"/>
  <c r="A259" i="34"/>
  <c r="B259" i="34"/>
  <c r="A260" i="34"/>
  <c r="B260" i="34"/>
  <c r="A261" i="34"/>
  <c r="B261" i="34"/>
  <c r="A262" i="34"/>
  <c r="B262" i="34"/>
  <c r="A263" i="34"/>
  <c r="B263" i="34"/>
  <c r="A264" i="34"/>
  <c r="B264" i="34"/>
  <c r="A265" i="34"/>
  <c r="B265" i="34"/>
  <c r="A266" i="34"/>
  <c r="B266" i="34"/>
  <c r="A267" i="34"/>
  <c r="B267" i="34"/>
  <c r="A268" i="34"/>
  <c r="B268" i="34"/>
  <c r="A269" i="34"/>
  <c r="B269" i="34"/>
  <c r="A270" i="34"/>
  <c r="B270" i="34"/>
  <c r="A271" i="34"/>
  <c r="B271" i="34"/>
  <c r="A272" i="34"/>
  <c r="B272" i="34"/>
  <c r="A273" i="34"/>
  <c r="B273" i="34"/>
  <c r="A274" i="34"/>
  <c r="B274" i="34"/>
  <c r="A275" i="34"/>
  <c r="B275" i="34"/>
  <c r="A276" i="34"/>
  <c r="B276" i="34"/>
  <c r="A277" i="34"/>
  <c r="B277" i="34"/>
  <c r="A278" i="34"/>
  <c r="B278" i="34"/>
  <c r="A279" i="34"/>
  <c r="B279" i="34"/>
  <c r="A280" i="34"/>
  <c r="B280" i="34"/>
  <c r="A281" i="34"/>
  <c r="B281" i="34"/>
  <c r="A282" i="34"/>
  <c r="B282" i="34"/>
  <c r="A283" i="34"/>
  <c r="B283" i="34"/>
  <c r="A284" i="34"/>
  <c r="B284" i="34"/>
  <c r="A285" i="34"/>
  <c r="B285" i="34"/>
  <c r="A286" i="34"/>
  <c r="B286" i="34"/>
  <c r="A287" i="34"/>
  <c r="B287" i="34"/>
  <c r="A288" i="34"/>
  <c r="B288" i="34"/>
  <c r="A289" i="34"/>
  <c r="B289" i="34"/>
  <c r="A290" i="34"/>
  <c r="B290" i="34"/>
  <c r="A291" i="34"/>
  <c r="B291" i="34"/>
  <c r="A292" i="34"/>
  <c r="B292" i="34"/>
  <c r="A293" i="34"/>
  <c r="B293" i="34"/>
  <c r="A294" i="34"/>
  <c r="B294" i="34"/>
  <c r="A295" i="34"/>
  <c r="B295" i="34"/>
  <c r="A296" i="34"/>
  <c r="B296" i="34"/>
  <c r="A297" i="34"/>
  <c r="B297" i="34"/>
  <c r="A298" i="34"/>
  <c r="B298" i="34"/>
  <c r="A299" i="34"/>
  <c r="B299" i="34"/>
  <c r="A300" i="34"/>
  <c r="B300" i="34"/>
  <c r="A301" i="34"/>
  <c r="B301" i="34"/>
  <c r="A302" i="34"/>
  <c r="B302" i="34"/>
  <c r="A303" i="34"/>
  <c r="B303" i="34"/>
  <c r="A304" i="34"/>
  <c r="B304" i="34"/>
  <c r="A305" i="34"/>
  <c r="B305" i="34"/>
  <c r="A306" i="34"/>
  <c r="B306" i="34"/>
  <c r="A307" i="34"/>
  <c r="B307" i="34"/>
  <c r="A308" i="34"/>
  <c r="B308" i="34"/>
  <c r="A309" i="34"/>
  <c r="B309" i="34"/>
  <c r="A310" i="34"/>
  <c r="B310" i="34"/>
  <c r="A311" i="34"/>
  <c r="B311" i="34"/>
  <c r="A312" i="34"/>
  <c r="B312" i="34"/>
  <c r="A313" i="34"/>
  <c r="B313" i="34"/>
  <c r="A314" i="34"/>
  <c r="B314" i="34"/>
  <c r="A315" i="34"/>
  <c r="B315" i="34"/>
  <c r="A316" i="34"/>
  <c r="B316" i="34"/>
  <c r="A317" i="34"/>
  <c r="B317" i="34"/>
  <c r="A318" i="34"/>
  <c r="B318" i="34"/>
  <c r="A319" i="34"/>
  <c r="B319" i="34"/>
  <c r="A320" i="34"/>
  <c r="B320" i="34"/>
  <c r="A321" i="34"/>
  <c r="B321" i="34"/>
  <c r="A322" i="34"/>
  <c r="B322" i="34"/>
  <c r="A323" i="34"/>
  <c r="B323" i="34"/>
  <c r="A324" i="34"/>
  <c r="B324" i="34"/>
  <c r="A9" i="36"/>
  <c r="B9" i="36"/>
  <c r="A10" i="36"/>
  <c r="B10" i="36"/>
  <c r="A11" i="36"/>
  <c r="B11" i="36"/>
  <c r="A12" i="36"/>
  <c r="B12" i="36"/>
  <c r="A13" i="36"/>
  <c r="B13" i="36"/>
  <c r="A14" i="36"/>
  <c r="B14" i="36"/>
  <c r="A15" i="36"/>
  <c r="B15" i="36"/>
  <c r="A16" i="36"/>
  <c r="B16" i="36"/>
  <c r="A17" i="36"/>
  <c r="B17" i="36"/>
  <c r="A18" i="36"/>
  <c r="B18" i="36"/>
  <c r="A19" i="36"/>
  <c r="B19" i="36"/>
  <c r="A20" i="36"/>
  <c r="B20" i="36"/>
  <c r="A21" i="36"/>
  <c r="B21" i="36"/>
  <c r="A22" i="36"/>
  <c r="B22" i="36"/>
  <c r="A23" i="36"/>
  <c r="B23" i="36"/>
  <c r="A24" i="36"/>
  <c r="B24" i="36"/>
  <c r="A25" i="36"/>
  <c r="B25" i="36"/>
  <c r="A26" i="36"/>
  <c r="B26" i="36"/>
  <c r="A27" i="36"/>
  <c r="B27" i="36"/>
  <c r="A28" i="36"/>
  <c r="B28" i="36"/>
  <c r="A29" i="36"/>
  <c r="B29" i="36"/>
  <c r="A30" i="36"/>
  <c r="B30" i="36"/>
  <c r="A31" i="36"/>
  <c r="B31" i="36"/>
  <c r="A32" i="36"/>
  <c r="B32" i="36"/>
  <c r="A33" i="36"/>
  <c r="B33" i="36"/>
  <c r="A34" i="36"/>
  <c r="B34" i="36"/>
  <c r="A35" i="36"/>
  <c r="B35" i="36"/>
  <c r="A36" i="36"/>
  <c r="B36" i="36"/>
  <c r="A37" i="36"/>
  <c r="B37" i="36"/>
  <c r="A38" i="36"/>
  <c r="B38" i="36"/>
  <c r="A39" i="36"/>
  <c r="B39" i="36"/>
  <c r="A40" i="36"/>
  <c r="B40" i="36"/>
  <c r="A41" i="36"/>
  <c r="B41" i="36"/>
  <c r="A42" i="36"/>
  <c r="B42" i="36"/>
  <c r="A43" i="36"/>
  <c r="B43" i="36"/>
  <c r="A44" i="36"/>
  <c r="B44" i="36"/>
  <c r="A45" i="36"/>
  <c r="B45" i="36"/>
  <c r="A46" i="36"/>
  <c r="B46" i="36"/>
  <c r="A47" i="36"/>
  <c r="B47" i="36"/>
  <c r="A48" i="36"/>
  <c r="B48" i="36"/>
  <c r="A49" i="36"/>
  <c r="B49" i="36"/>
  <c r="A50" i="36"/>
  <c r="B50" i="36"/>
  <c r="A51" i="36"/>
  <c r="B51" i="36"/>
  <c r="A52" i="36"/>
  <c r="B52" i="36"/>
  <c r="A53" i="36"/>
  <c r="B53" i="36"/>
  <c r="A54" i="36"/>
  <c r="B54" i="36"/>
  <c r="A55" i="36"/>
  <c r="B55" i="36"/>
  <c r="A56" i="36"/>
  <c r="B56" i="36"/>
  <c r="A57" i="36"/>
  <c r="B57" i="36"/>
  <c r="A58" i="36"/>
  <c r="B58" i="36"/>
  <c r="A59" i="36"/>
  <c r="B59" i="36"/>
  <c r="A60" i="36"/>
  <c r="B60" i="36"/>
  <c r="A61" i="36"/>
  <c r="B61" i="36"/>
  <c r="A62" i="36"/>
  <c r="B62" i="36"/>
  <c r="A63" i="36"/>
  <c r="B63" i="36"/>
  <c r="A64" i="36"/>
  <c r="B64" i="36"/>
  <c r="A65" i="36"/>
  <c r="B65" i="36"/>
  <c r="A66" i="36"/>
  <c r="B66" i="36"/>
  <c r="A67" i="36"/>
  <c r="B67" i="36"/>
  <c r="A68" i="36"/>
  <c r="B68" i="36"/>
  <c r="A69" i="36"/>
  <c r="B69" i="36"/>
  <c r="A70" i="36"/>
  <c r="B70" i="36"/>
  <c r="A71" i="36"/>
  <c r="B71" i="36"/>
  <c r="A72" i="36"/>
  <c r="B72" i="36"/>
  <c r="A73" i="36"/>
  <c r="B73" i="36"/>
  <c r="A74" i="36"/>
  <c r="B74" i="36"/>
  <c r="A75" i="36"/>
  <c r="B75" i="36"/>
  <c r="A76" i="36"/>
  <c r="B76" i="36"/>
  <c r="A77" i="36"/>
  <c r="B77" i="36"/>
  <c r="A78" i="36"/>
  <c r="B78" i="36"/>
  <c r="A79" i="36"/>
  <c r="B79" i="36"/>
  <c r="A80" i="36"/>
  <c r="B80" i="36"/>
  <c r="A81" i="36"/>
  <c r="B81" i="36"/>
  <c r="A82" i="36"/>
  <c r="B82" i="36"/>
  <c r="A83" i="36"/>
  <c r="B83" i="36"/>
  <c r="A84" i="36"/>
  <c r="B84" i="36"/>
  <c r="A85" i="36"/>
  <c r="B85" i="36"/>
  <c r="A86" i="36"/>
  <c r="B86" i="36"/>
  <c r="A87" i="36"/>
  <c r="B87" i="36"/>
  <c r="A88" i="36"/>
  <c r="B88" i="36"/>
  <c r="A89" i="36"/>
  <c r="B89" i="36"/>
  <c r="A90" i="36"/>
  <c r="B90" i="36"/>
  <c r="A91" i="36"/>
  <c r="B91" i="36"/>
  <c r="A92" i="36"/>
  <c r="B92" i="36"/>
  <c r="A93" i="36"/>
  <c r="B93" i="36"/>
  <c r="A94" i="36"/>
  <c r="B94" i="36"/>
  <c r="A95" i="36"/>
  <c r="B95" i="36"/>
  <c r="A96" i="36"/>
  <c r="B96" i="36"/>
  <c r="A97" i="36"/>
  <c r="B97" i="36"/>
  <c r="A98" i="36"/>
  <c r="B98" i="36"/>
  <c r="A99" i="36"/>
  <c r="B99" i="36"/>
  <c r="A100" i="36"/>
  <c r="B100" i="36"/>
  <c r="A101" i="36"/>
  <c r="B101" i="36"/>
  <c r="A102" i="36"/>
  <c r="B102" i="36"/>
  <c r="A103" i="36"/>
  <c r="B103" i="36"/>
  <c r="A104" i="36"/>
  <c r="B104" i="36"/>
  <c r="A105" i="36"/>
  <c r="B105" i="36"/>
  <c r="A106" i="36"/>
  <c r="B106" i="36"/>
  <c r="A107" i="36"/>
  <c r="B107" i="36"/>
  <c r="A108" i="36"/>
  <c r="B108" i="36"/>
  <c r="A109" i="36"/>
  <c r="B109" i="36"/>
  <c r="A110" i="36"/>
  <c r="B110" i="36"/>
  <c r="A111" i="36"/>
  <c r="B111" i="36"/>
  <c r="A112" i="36"/>
  <c r="B112" i="36"/>
  <c r="A113" i="36"/>
  <c r="B113" i="36"/>
  <c r="A114" i="36"/>
  <c r="B114" i="36"/>
  <c r="A115" i="36"/>
  <c r="B115" i="36"/>
  <c r="A116" i="36"/>
  <c r="B116" i="36"/>
  <c r="A117" i="36"/>
  <c r="B117" i="36"/>
  <c r="A118" i="36"/>
  <c r="B118" i="36"/>
  <c r="A119" i="36"/>
  <c r="B119" i="36"/>
  <c r="A120" i="36"/>
  <c r="B120" i="36"/>
  <c r="A121" i="36"/>
  <c r="B121" i="36"/>
  <c r="A122" i="36"/>
  <c r="B122" i="36"/>
  <c r="A123" i="36"/>
  <c r="B123" i="36"/>
  <c r="A124" i="36"/>
  <c r="B124" i="36"/>
  <c r="A125" i="36"/>
  <c r="B125" i="36"/>
  <c r="A126" i="36"/>
  <c r="B126" i="36"/>
  <c r="A127" i="36"/>
  <c r="B127" i="36"/>
  <c r="A128" i="36"/>
  <c r="B128" i="36"/>
  <c r="A129" i="36"/>
  <c r="B129" i="36"/>
  <c r="A130" i="36"/>
  <c r="B130" i="36"/>
  <c r="A131" i="36"/>
  <c r="B131" i="36"/>
  <c r="A132" i="36"/>
  <c r="B132" i="36"/>
  <c r="A133" i="36"/>
  <c r="B133" i="36"/>
  <c r="A134" i="36"/>
  <c r="B134" i="36"/>
  <c r="A135" i="36"/>
  <c r="B135" i="36"/>
  <c r="A136" i="36"/>
  <c r="B136" i="36"/>
  <c r="A137" i="36"/>
  <c r="B137" i="36"/>
  <c r="A138" i="36"/>
  <c r="B138" i="36"/>
  <c r="A139" i="36"/>
  <c r="B139" i="36"/>
  <c r="A140" i="36"/>
  <c r="B140" i="36"/>
  <c r="A141" i="36"/>
  <c r="B141" i="36"/>
  <c r="A142" i="36"/>
  <c r="B142" i="36"/>
  <c r="A143" i="36"/>
  <c r="B143" i="36"/>
  <c r="A144" i="36"/>
  <c r="B144" i="36"/>
  <c r="A145" i="36"/>
  <c r="B145" i="36"/>
  <c r="A146" i="36"/>
  <c r="B146" i="36"/>
  <c r="A147" i="36"/>
  <c r="B147" i="36"/>
  <c r="A148" i="36"/>
  <c r="B148" i="36"/>
  <c r="A149" i="36"/>
  <c r="B149" i="36"/>
  <c r="A150" i="36"/>
  <c r="B150" i="36"/>
  <c r="A151" i="36"/>
  <c r="B151" i="36"/>
  <c r="A152" i="36"/>
  <c r="B152" i="36"/>
  <c r="A153" i="36"/>
  <c r="B153" i="36"/>
  <c r="A154" i="36"/>
  <c r="B154" i="36"/>
  <c r="A155" i="36"/>
  <c r="B155" i="36"/>
  <c r="A156" i="36"/>
  <c r="B156" i="36"/>
  <c r="A157" i="36"/>
  <c r="B157" i="36"/>
  <c r="A158" i="36"/>
  <c r="B158" i="36"/>
  <c r="A159" i="36"/>
  <c r="B159" i="36"/>
  <c r="A160" i="36"/>
  <c r="B160" i="36"/>
  <c r="A161" i="36"/>
  <c r="B161" i="36"/>
  <c r="A162" i="36"/>
  <c r="B162" i="36"/>
  <c r="A163" i="36"/>
  <c r="B163" i="36"/>
  <c r="A164" i="36"/>
  <c r="B164" i="36"/>
  <c r="A165" i="36"/>
  <c r="B165" i="36"/>
  <c r="A166" i="36"/>
  <c r="B166" i="36"/>
  <c r="A167" i="36"/>
  <c r="B167" i="36"/>
  <c r="A168" i="36"/>
  <c r="B168" i="36"/>
  <c r="A169" i="36"/>
  <c r="B169" i="36"/>
  <c r="A170" i="36"/>
  <c r="B170" i="36"/>
  <c r="A171" i="36"/>
  <c r="B171" i="36"/>
  <c r="A172" i="36"/>
  <c r="B172" i="36"/>
  <c r="A173" i="36"/>
  <c r="B173" i="36"/>
  <c r="A174" i="36"/>
  <c r="B174" i="36"/>
  <c r="A175" i="36"/>
  <c r="B175" i="36"/>
  <c r="A176" i="36"/>
  <c r="B176" i="36"/>
  <c r="A177" i="36"/>
  <c r="B177" i="36"/>
  <c r="A178" i="36"/>
  <c r="B178" i="36"/>
  <c r="A179" i="36"/>
  <c r="B179" i="36"/>
  <c r="A180" i="36"/>
  <c r="B180" i="36"/>
  <c r="A181" i="36"/>
  <c r="B181" i="36"/>
  <c r="A182" i="36"/>
  <c r="B182" i="36"/>
  <c r="A183" i="36"/>
  <c r="B183" i="36"/>
  <c r="A184" i="36"/>
  <c r="B184" i="36"/>
  <c r="A185" i="36"/>
  <c r="B185" i="36"/>
  <c r="A186" i="36"/>
  <c r="B186" i="36"/>
  <c r="A187" i="36"/>
  <c r="B187" i="36"/>
  <c r="A188" i="36"/>
  <c r="B188" i="36"/>
  <c r="A189" i="36"/>
  <c r="B189" i="36"/>
  <c r="A190" i="36"/>
  <c r="B190" i="36"/>
  <c r="A191" i="36"/>
  <c r="B191" i="36"/>
  <c r="A192" i="36"/>
  <c r="B192" i="36"/>
  <c r="A193" i="36"/>
  <c r="B193" i="36"/>
  <c r="A194" i="36"/>
  <c r="B194" i="36"/>
  <c r="A195" i="36"/>
  <c r="B195" i="36"/>
  <c r="A196" i="36"/>
  <c r="B196" i="36"/>
  <c r="A197" i="36"/>
  <c r="B197" i="36"/>
  <c r="A198" i="36"/>
  <c r="B198" i="36"/>
  <c r="A199" i="36"/>
  <c r="B199" i="36"/>
  <c r="A200" i="36"/>
  <c r="B200" i="36"/>
  <c r="A201" i="36"/>
  <c r="B201" i="36"/>
  <c r="A202" i="36"/>
  <c r="B202" i="36"/>
  <c r="A203" i="36"/>
  <c r="B203" i="36"/>
  <c r="A204" i="36"/>
  <c r="B204" i="36"/>
  <c r="A205" i="36"/>
  <c r="B205" i="36"/>
  <c r="A206" i="36"/>
  <c r="B206" i="36"/>
  <c r="A207" i="36"/>
  <c r="B207" i="36"/>
  <c r="A208" i="36"/>
  <c r="B208" i="36"/>
  <c r="A209" i="36"/>
  <c r="B209" i="36"/>
  <c r="A210" i="36"/>
  <c r="B210" i="36"/>
  <c r="A211" i="36"/>
  <c r="B211" i="36"/>
  <c r="A212" i="36"/>
  <c r="B212" i="36"/>
  <c r="A213" i="36"/>
  <c r="B213" i="36"/>
  <c r="A214" i="36"/>
  <c r="B214" i="36"/>
  <c r="A215" i="36"/>
  <c r="B215" i="36"/>
  <c r="A216" i="36"/>
  <c r="B216" i="36"/>
  <c r="A217" i="36"/>
  <c r="B217" i="36"/>
  <c r="A218" i="36"/>
  <c r="B218" i="36"/>
  <c r="A219" i="36"/>
  <c r="B219" i="36"/>
  <c r="A220" i="36"/>
  <c r="B220" i="36"/>
  <c r="A221" i="36"/>
  <c r="B221" i="36"/>
  <c r="A222" i="36"/>
  <c r="B222" i="36"/>
  <c r="A223" i="36"/>
  <c r="B223" i="36"/>
  <c r="A224" i="36"/>
  <c r="B224" i="36"/>
  <c r="A225" i="36"/>
  <c r="B225" i="36"/>
  <c r="A226" i="36"/>
  <c r="B226" i="36"/>
  <c r="A227" i="36"/>
  <c r="B227" i="36"/>
  <c r="A228" i="36"/>
  <c r="B228" i="36"/>
  <c r="A229" i="36"/>
  <c r="B229" i="36"/>
  <c r="A230" i="36"/>
  <c r="B230" i="36"/>
  <c r="A231" i="36"/>
  <c r="B231" i="36"/>
  <c r="A232" i="36"/>
  <c r="B232" i="36"/>
  <c r="A233" i="36"/>
  <c r="B233" i="36"/>
  <c r="A234" i="36"/>
  <c r="B234" i="36"/>
  <c r="A235" i="36"/>
  <c r="B235" i="36"/>
  <c r="A236" i="36"/>
  <c r="B236" i="36"/>
  <c r="A237" i="36"/>
  <c r="B237" i="36"/>
  <c r="A238" i="36"/>
  <c r="B238" i="36"/>
  <c r="A239" i="36"/>
  <c r="B239" i="36"/>
  <c r="A240" i="36"/>
  <c r="B240" i="36"/>
  <c r="A241" i="36"/>
  <c r="B241" i="36"/>
  <c r="A242" i="36"/>
  <c r="B242" i="36"/>
  <c r="A243" i="36"/>
  <c r="B243" i="36"/>
  <c r="A244" i="36"/>
  <c r="B244" i="36"/>
  <c r="A245" i="36"/>
  <c r="B245" i="36"/>
  <c r="A246" i="36"/>
  <c r="B246" i="36"/>
  <c r="A247" i="36"/>
  <c r="B247" i="36"/>
  <c r="A248" i="36"/>
  <c r="B248" i="36"/>
  <c r="A249" i="36"/>
  <c r="B249" i="36"/>
  <c r="A250" i="36"/>
  <c r="B250" i="36"/>
  <c r="A251" i="36"/>
  <c r="B251" i="36"/>
  <c r="A252" i="36"/>
  <c r="B252" i="36"/>
  <c r="A253" i="36"/>
  <c r="B253" i="36"/>
  <c r="A254" i="36"/>
  <c r="B254" i="36"/>
  <c r="A255" i="36"/>
  <c r="B255" i="36"/>
  <c r="A256" i="36"/>
  <c r="B256" i="36"/>
  <c r="A257" i="36"/>
  <c r="B257" i="36"/>
  <c r="A258" i="36"/>
  <c r="B258" i="36"/>
  <c r="A259" i="36"/>
  <c r="B259" i="36"/>
  <c r="A260" i="36"/>
  <c r="B260" i="36"/>
  <c r="A261" i="36"/>
  <c r="B261" i="36"/>
  <c r="A262" i="36"/>
  <c r="B262" i="36"/>
  <c r="A263" i="36"/>
  <c r="B263" i="36"/>
  <c r="A264" i="36"/>
  <c r="B264" i="36"/>
  <c r="A265" i="36"/>
  <c r="B265" i="36"/>
  <c r="A266" i="36"/>
  <c r="B266" i="36"/>
  <c r="A267" i="36"/>
  <c r="B267" i="36"/>
  <c r="A268" i="36"/>
  <c r="B268" i="36"/>
  <c r="A269" i="36"/>
  <c r="B269" i="36"/>
  <c r="A270" i="36"/>
  <c r="B270" i="36"/>
  <c r="A271" i="36"/>
  <c r="B271" i="36"/>
  <c r="A272" i="36"/>
  <c r="B272" i="36"/>
  <c r="A273" i="36"/>
  <c r="B273" i="36"/>
  <c r="A274" i="36"/>
  <c r="B274" i="36"/>
  <c r="A275" i="36"/>
  <c r="B275" i="36"/>
  <c r="A276" i="36"/>
  <c r="B276" i="36"/>
  <c r="A277" i="36"/>
  <c r="B277" i="36"/>
  <c r="A278" i="36"/>
  <c r="B278" i="36"/>
  <c r="A279" i="36"/>
  <c r="B279" i="36"/>
  <c r="A280" i="36"/>
  <c r="B280" i="36"/>
  <c r="A281" i="36"/>
  <c r="B281" i="36"/>
  <c r="A282" i="36"/>
  <c r="B282" i="36"/>
  <c r="A283" i="36"/>
  <c r="B283" i="36"/>
  <c r="A284" i="36"/>
  <c r="B284" i="36"/>
  <c r="A285" i="36"/>
  <c r="B285" i="36"/>
  <c r="A286" i="36"/>
  <c r="B286" i="36"/>
  <c r="A287" i="36"/>
  <c r="B287" i="36"/>
  <c r="A288" i="36"/>
  <c r="B288" i="36"/>
  <c r="A289" i="36"/>
  <c r="B289" i="36"/>
  <c r="A290" i="36"/>
  <c r="B290" i="36"/>
  <c r="A291" i="36"/>
  <c r="B291" i="36"/>
  <c r="A292" i="36"/>
  <c r="B292" i="36"/>
  <c r="A293" i="36"/>
  <c r="B293" i="36"/>
  <c r="A294" i="36"/>
  <c r="B294" i="36"/>
  <c r="A295" i="36"/>
  <c r="B295" i="36"/>
  <c r="A296" i="36"/>
  <c r="B296" i="36"/>
  <c r="A297" i="36"/>
  <c r="B297" i="36"/>
  <c r="A298" i="36"/>
  <c r="B298" i="36"/>
  <c r="A299" i="36"/>
  <c r="B299" i="36"/>
  <c r="A300" i="36"/>
  <c r="B300" i="36"/>
  <c r="A301" i="36"/>
  <c r="B301" i="36"/>
  <c r="A302" i="36"/>
  <c r="B302" i="36"/>
  <c r="A303" i="36"/>
  <c r="B303" i="36"/>
  <c r="A304" i="36"/>
  <c r="B304" i="36"/>
  <c r="A305" i="36"/>
  <c r="B305" i="36"/>
  <c r="A306" i="36"/>
  <c r="B306" i="36"/>
  <c r="A307" i="36"/>
  <c r="B307" i="36"/>
  <c r="A308" i="36"/>
  <c r="B308" i="36"/>
  <c r="A309" i="36"/>
  <c r="B309" i="36"/>
  <c r="A310" i="36"/>
  <c r="B310" i="36"/>
  <c r="A311" i="36"/>
  <c r="B311" i="36"/>
  <c r="A312" i="36"/>
  <c r="B312" i="36"/>
  <c r="A313" i="36"/>
  <c r="B313" i="36"/>
  <c r="A314" i="36"/>
  <c r="B314" i="36"/>
  <c r="A315" i="36"/>
  <c r="B315" i="36"/>
  <c r="A316" i="36"/>
  <c r="B316" i="36"/>
  <c r="A12" i="9"/>
  <c r="B12" i="9"/>
  <c r="A13" i="9"/>
  <c r="B13" i="9"/>
  <c r="A14" i="9"/>
  <c r="B14" i="9"/>
  <c r="A15" i="9"/>
  <c r="B15" i="9"/>
  <c r="A16" i="9"/>
  <c r="B16" i="9"/>
  <c r="A17" i="9"/>
  <c r="B17" i="9"/>
  <c r="A18" i="9"/>
  <c r="B18" i="9"/>
  <c r="A19" i="9"/>
  <c r="B19" i="9"/>
  <c r="A20" i="9"/>
  <c r="B20" i="9"/>
  <c r="A21" i="9"/>
  <c r="B21" i="9"/>
  <c r="A22" i="9"/>
  <c r="B22" i="9"/>
  <c r="A23" i="9"/>
  <c r="B23" i="9"/>
  <c r="A24" i="9"/>
  <c r="B24" i="9"/>
  <c r="A25" i="9"/>
  <c r="B25" i="9"/>
  <c r="A26" i="9"/>
  <c r="B26" i="9"/>
  <c r="A27" i="9"/>
  <c r="B27" i="9"/>
  <c r="A28" i="9"/>
  <c r="B28" i="9"/>
  <c r="A29" i="9"/>
  <c r="B29" i="9"/>
  <c r="A30" i="9"/>
  <c r="B30" i="9"/>
  <c r="A31" i="9"/>
  <c r="B31" i="9"/>
  <c r="A32" i="9"/>
  <c r="B32" i="9"/>
  <c r="A33" i="9"/>
  <c r="B33" i="9"/>
  <c r="A34" i="9"/>
  <c r="B34" i="9"/>
  <c r="A35" i="9"/>
  <c r="B35" i="9"/>
  <c r="A36" i="9"/>
  <c r="B36" i="9"/>
  <c r="A37" i="9"/>
  <c r="B37" i="9"/>
  <c r="A38" i="9"/>
  <c r="B38" i="9"/>
  <c r="A39" i="9"/>
  <c r="B39" i="9"/>
  <c r="A40" i="9"/>
  <c r="B40" i="9"/>
  <c r="A41" i="9"/>
  <c r="B41" i="9"/>
  <c r="A42" i="9"/>
  <c r="B42" i="9"/>
  <c r="A43" i="9"/>
  <c r="B43" i="9"/>
  <c r="A44" i="9"/>
  <c r="B44" i="9"/>
  <c r="A45" i="9"/>
  <c r="B45" i="9"/>
  <c r="A46" i="9"/>
  <c r="B46" i="9"/>
  <c r="A47" i="9"/>
  <c r="B47" i="9"/>
  <c r="A48" i="9"/>
  <c r="B48" i="9"/>
  <c r="A49" i="9"/>
  <c r="B49" i="9"/>
  <c r="A50" i="9"/>
  <c r="B50" i="9"/>
  <c r="A51" i="9"/>
  <c r="B51" i="9"/>
  <c r="A52" i="9"/>
  <c r="B52" i="9"/>
  <c r="A53" i="9"/>
  <c r="B53" i="9"/>
  <c r="A54" i="9"/>
  <c r="B54" i="9"/>
  <c r="A55" i="9"/>
  <c r="B55" i="9"/>
  <c r="A56" i="9"/>
  <c r="B56" i="9"/>
  <c r="A57" i="9"/>
  <c r="B57" i="9"/>
  <c r="A58" i="9"/>
  <c r="B58" i="9"/>
  <c r="A59" i="9"/>
  <c r="B59" i="9"/>
  <c r="A60" i="9"/>
  <c r="B60" i="9"/>
  <c r="A61" i="9"/>
  <c r="B61" i="9"/>
  <c r="A62" i="9"/>
  <c r="B62" i="9"/>
  <c r="A63" i="9"/>
  <c r="B63" i="9"/>
  <c r="A64" i="9"/>
  <c r="B64" i="9"/>
  <c r="A65" i="9"/>
  <c r="B65" i="9"/>
  <c r="A66" i="9"/>
  <c r="B66" i="9"/>
  <c r="A67" i="9"/>
  <c r="B67" i="9"/>
  <c r="A68" i="9"/>
  <c r="B68" i="9"/>
  <c r="A69" i="9"/>
  <c r="B69" i="9"/>
  <c r="A70" i="9"/>
  <c r="B70" i="9"/>
  <c r="A71" i="9"/>
  <c r="B71" i="9"/>
  <c r="A72" i="9"/>
  <c r="B72" i="9"/>
  <c r="A73" i="9"/>
  <c r="B73" i="9"/>
  <c r="A74" i="9"/>
  <c r="B74" i="9"/>
  <c r="A75" i="9"/>
  <c r="B75" i="9"/>
  <c r="A76" i="9"/>
  <c r="B76" i="9"/>
  <c r="A77" i="9"/>
  <c r="B77" i="9"/>
  <c r="A78" i="9"/>
  <c r="B78" i="9"/>
  <c r="A79" i="9"/>
  <c r="B79" i="9"/>
  <c r="A80" i="9"/>
  <c r="B80" i="9"/>
  <c r="A81" i="9"/>
  <c r="B81" i="9"/>
  <c r="A82" i="9"/>
  <c r="B82" i="9"/>
  <c r="A83" i="9"/>
  <c r="B83" i="9"/>
  <c r="A84" i="9"/>
  <c r="B84" i="9"/>
  <c r="A85" i="9"/>
  <c r="B85" i="9"/>
  <c r="A86" i="9"/>
  <c r="B86" i="9"/>
  <c r="A87" i="9"/>
  <c r="B87" i="9"/>
  <c r="A88" i="9"/>
  <c r="B88" i="9"/>
  <c r="A89" i="9"/>
  <c r="B89" i="9"/>
  <c r="A90" i="9"/>
  <c r="B90" i="9"/>
  <c r="A91" i="9"/>
  <c r="B91" i="9"/>
  <c r="A92" i="9"/>
  <c r="B92" i="9"/>
  <c r="A93" i="9"/>
  <c r="B93" i="9"/>
  <c r="A94" i="9"/>
  <c r="B94" i="9"/>
  <c r="A95" i="9"/>
  <c r="B95" i="9"/>
  <c r="A96" i="9"/>
  <c r="B96" i="9"/>
  <c r="A97" i="9"/>
  <c r="B97" i="9"/>
  <c r="A98" i="9"/>
  <c r="B98" i="9"/>
  <c r="A99" i="9"/>
  <c r="B99" i="9"/>
  <c r="A100" i="9"/>
  <c r="B100" i="9"/>
  <c r="A101" i="9"/>
  <c r="B101" i="9"/>
  <c r="A102" i="9"/>
  <c r="B102" i="9"/>
  <c r="A103" i="9"/>
  <c r="B103" i="9"/>
  <c r="A104" i="9"/>
  <c r="B104" i="9"/>
  <c r="A105" i="9"/>
  <c r="B105" i="9"/>
  <c r="A106" i="9"/>
  <c r="B106" i="9"/>
  <c r="A107" i="9"/>
  <c r="B107" i="9"/>
  <c r="A108" i="9"/>
  <c r="B108" i="9"/>
  <c r="A109" i="9"/>
  <c r="B109" i="9"/>
  <c r="A110" i="9"/>
  <c r="B110" i="9"/>
  <c r="A111" i="9"/>
  <c r="B111" i="9"/>
  <c r="A112" i="9"/>
  <c r="B112" i="9"/>
  <c r="A113" i="9"/>
  <c r="B113" i="9"/>
  <c r="A114" i="9"/>
  <c r="B114" i="9"/>
  <c r="A115" i="9"/>
  <c r="B115" i="9"/>
  <c r="A116" i="9"/>
  <c r="B116" i="9"/>
  <c r="A117" i="9"/>
  <c r="B117" i="9"/>
  <c r="A118" i="9"/>
  <c r="B118" i="9"/>
  <c r="A119" i="9"/>
  <c r="B119" i="9"/>
  <c r="A120" i="9"/>
  <c r="B120" i="9"/>
  <c r="A121" i="9"/>
  <c r="B121" i="9"/>
  <c r="A122" i="9"/>
  <c r="B122" i="9"/>
  <c r="A123" i="9"/>
  <c r="B123" i="9"/>
  <c r="A124" i="9"/>
  <c r="B124" i="9"/>
  <c r="A125" i="9"/>
  <c r="B125" i="9"/>
  <c r="A126" i="9"/>
  <c r="B126" i="9"/>
  <c r="A127" i="9"/>
  <c r="B127" i="9"/>
  <c r="A128" i="9"/>
  <c r="B128" i="9"/>
  <c r="A129" i="9"/>
  <c r="B129" i="9"/>
  <c r="A130" i="9"/>
  <c r="B130" i="9"/>
  <c r="A131" i="9"/>
  <c r="B131" i="9"/>
  <c r="A132" i="9"/>
  <c r="B132" i="9"/>
  <c r="A133" i="9"/>
  <c r="B133" i="9"/>
  <c r="A134" i="9"/>
  <c r="B134" i="9"/>
  <c r="A135" i="9"/>
  <c r="B135" i="9"/>
  <c r="A136" i="9"/>
  <c r="B136" i="9"/>
  <c r="A137" i="9"/>
  <c r="B137" i="9"/>
  <c r="A138" i="9"/>
  <c r="B138" i="9"/>
  <c r="A139" i="9"/>
  <c r="B139" i="9"/>
  <c r="A140" i="9"/>
  <c r="B140" i="9"/>
  <c r="A141" i="9"/>
  <c r="B141" i="9"/>
  <c r="A142" i="9"/>
  <c r="B142" i="9"/>
  <c r="A143" i="9"/>
  <c r="B143" i="9"/>
  <c r="A144" i="9"/>
  <c r="B144" i="9"/>
  <c r="A145" i="9"/>
  <c r="B145" i="9"/>
  <c r="A146" i="9"/>
  <c r="B146" i="9"/>
  <c r="A147" i="9"/>
  <c r="B147" i="9"/>
  <c r="A148" i="9"/>
  <c r="B148" i="9"/>
  <c r="A149" i="9"/>
  <c r="B149" i="9"/>
  <c r="A150" i="9"/>
  <c r="B150" i="9"/>
  <c r="A151" i="9"/>
  <c r="B151" i="9"/>
  <c r="A152" i="9"/>
  <c r="B152" i="9"/>
  <c r="A153" i="9"/>
  <c r="B153" i="9"/>
  <c r="A154" i="9"/>
  <c r="B154" i="9"/>
  <c r="A155" i="9"/>
  <c r="B155" i="9"/>
  <c r="A156" i="9"/>
  <c r="B156" i="9"/>
  <c r="A157" i="9"/>
  <c r="B157" i="9"/>
  <c r="A158" i="9"/>
  <c r="B158" i="9"/>
  <c r="A159" i="9"/>
  <c r="B159" i="9"/>
  <c r="A160" i="9"/>
  <c r="B160" i="9"/>
  <c r="A161" i="9"/>
  <c r="B161" i="9"/>
  <c r="A162" i="9"/>
  <c r="B162" i="9"/>
  <c r="A163" i="9"/>
  <c r="B163" i="9"/>
  <c r="A164" i="9"/>
  <c r="B164" i="9"/>
  <c r="A165" i="9"/>
  <c r="B165" i="9"/>
  <c r="A166" i="9"/>
  <c r="B166" i="9"/>
  <c r="A167" i="9"/>
  <c r="B167" i="9"/>
  <c r="A168" i="9"/>
  <c r="B168" i="9"/>
  <c r="A169" i="9"/>
  <c r="B169" i="9"/>
  <c r="A170" i="9"/>
  <c r="B170" i="9"/>
  <c r="A171" i="9"/>
  <c r="B171" i="9"/>
  <c r="A172" i="9"/>
  <c r="B172" i="9"/>
  <c r="A173" i="9"/>
  <c r="B173" i="9"/>
  <c r="A174" i="9"/>
  <c r="B174" i="9"/>
  <c r="A175" i="9"/>
  <c r="B175" i="9"/>
  <c r="A176" i="9"/>
  <c r="B176" i="9"/>
  <c r="A177" i="9"/>
  <c r="B177" i="9"/>
  <c r="A178" i="9"/>
  <c r="B178" i="9"/>
  <c r="A179" i="9"/>
  <c r="B179" i="9"/>
  <c r="A180" i="9"/>
  <c r="B180" i="9"/>
  <c r="A181" i="9"/>
  <c r="B181" i="9"/>
  <c r="A182" i="9"/>
  <c r="B182" i="9"/>
  <c r="A183" i="9"/>
  <c r="B183" i="9"/>
  <c r="A184" i="9"/>
  <c r="B184" i="9"/>
  <c r="A185" i="9"/>
  <c r="B185" i="9"/>
  <c r="A186" i="9"/>
  <c r="B186" i="9"/>
  <c r="A187" i="9"/>
  <c r="B187" i="9"/>
  <c r="A188" i="9"/>
  <c r="B188" i="9"/>
  <c r="A189" i="9"/>
  <c r="B189" i="9"/>
  <c r="A190" i="9"/>
  <c r="B190" i="9"/>
  <c r="A191" i="9"/>
  <c r="B191" i="9"/>
  <c r="A192" i="9"/>
  <c r="B192" i="9"/>
  <c r="A193" i="9"/>
  <c r="B193" i="9"/>
  <c r="A194" i="9"/>
  <c r="B194" i="9"/>
  <c r="A195" i="9"/>
  <c r="B195" i="9"/>
  <c r="A196" i="9"/>
  <c r="B196" i="9"/>
  <c r="A197" i="9"/>
  <c r="B197" i="9"/>
  <c r="A198" i="9"/>
  <c r="B198" i="9"/>
  <c r="A199" i="9"/>
  <c r="B199" i="9"/>
  <c r="A200" i="9"/>
  <c r="B200" i="9"/>
  <c r="A201" i="9"/>
  <c r="B201" i="9"/>
  <c r="A202" i="9"/>
  <c r="B202" i="9"/>
  <c r="A203" i="9"/>
  <c r="B203" i="9"/>
  <c r="A204" i="9"/>
  <c r="B204" i="9"/>
  <c r="A205" i="9"/>
  <c r="B205" i="9"/>
  <c r="A206" i="9"/>
  <c r="B206" i="9"/>
  <c r="A207" i="9"/>
  <c r="B207" i="9"/>
  <c r="A208" i="9"/>
  <c r="B208" i="9"/>
  <c r="A209" i="9"/>
  <c r="B209" i="9"/>
  <c r="A210" i="9"/>
  <c r="B210" i="9"/>
  <c r="A211" i="9"/>
  <c r="B211" i="9"/>
  <c r="A212" i="9"/>
  <c r="B212" i="9"/>
  <c r="A213" i="9"/>
  <c r="B213" i="9"/>
  <c r="A214" i="9"/>
  <c r="B214" i="9"/>
  <c r="A215" i="9"/>
  <c r="B215" i="9"/>
  <c r="A216" i="9"/>
  <c r="B216" i="9"/>
  <c r="A217" i="9"/>
  <c r="B217" i="9"/>
  <c r="A218" i="9"/>
  <c r="B218" i="9"/>
  <c r="A219" i="9"/>
  <c r="B219" i="9"/>
  <c r="A220" i="9"/>
  <c r="B220" i="9"/>
  <c r="A221" i="9"/>
  <c r="B221" i="9"/>
  <c r="A222" i="9"/>
  <c r="B222" i="9"/>
  <c r="A223" i="9"/>
  <c r="B223" i="9"/>
  <c r="A224" i="9"/>
  <c r="B224" i="9"/>
  <c r="A225" i="9"/>
  <c r="B225" i="9"/>
  <c r="A226" i="9"/>
  <c r="B226" i="9"/>
  <c r="A227" i="9"/>
  <c r="B227" i="9"/>
  <c r="A228" i="9"/>
  <c r="B228" i="9"/>
  <c r="A229" i="9"/>
  <c r="B229" i="9"/>
  <c r="A230" i="9"/>
  <c r="B230" i="9"/>
  <c r="A231" i="9"/>
  <c r="B231" i="9"/>
  <c r="A232" i="9"/>
  <c r="B232" i="9"/>
  <c r="A233" i="9"/>
  <c r="B233" i="9"/>
  <c r="A234" i="9"/>
  <c r="B234" i="9"/>
  <c r="A235" i="9"/>
  <c r="B235" i="9"/>
  <c r="A236" i="9"/>
  <c r="B236" i="9"/>
  <c r="A237" i="9"/>
  <c r="B237" i="9"/>
  <c r="A238" i="9"/>
  <c r="B238" i="9"/>
  <c r="A239" i="9"/>
  <c r="B239" i="9"/>
  <c r="A240" i="9"/>
  <c r="B240" i="9"/>
  <c r="A241" i="9"/>
  <c r="B241" i="9"/>
  <c r="A242" i="9"/>
  <c r="B242" i="9"/>
  <c r="A243" i="9"/>
  <c r="B243" i="9"/>
  <c r="A244" i="9"/>
  <c r="B244" i="9"/>
  <c r="A245" i="9"/>
  <c r="B245" i="9"/>
  <c r="A246" i="9"/>
  <c r="B246" i="9"/>
  <c r="A247" i="9"/>
  <c r="B247" i="9"/>
  <c r="A248" i="9"/>
  <c r="B248" i="9"/>
  <c r="A249" i="9"/>
  <c r="B249" i="9"/>
  <c r="A250" i="9"/>
  <c r="B250" i="9"/>
  <c r="A251" i="9"/>
  <c r="B251" i="9"/>
  <c r="A252" i="9"/>
  <c r="B252" i="9"/>
  <c r="A253" i="9"/>
  <c r="B253" i="9"/>
  <c r="A254" i="9"/>
  <c r="B254" i="9"/>
  <c r="A255" i="9"/>
  <c r="B255" i="9"/>
  <c r="A256" i="9"/>
  <c r="B256" i="9"/>
  <c r="A257" i="9"/>
  <c r="B257" i="9"/>
  <c r="A258" i="9"/>
  <c r="B258" i="9"/>
  <c r="A259" i="9"/>
  <c r="B259" i="9"/>
  <c r="A260" i="9"/>
  <c r="B260" i="9"/>
  <c r="A261" i="9"/>
  <c r="B261" i="9"/>
  <c r="A262" i="9"/>
  <c r="B262" i="9"/>
  <c r="A263" i="9"/>
  <c r="B263" i="9"/>
  <c r="A264" i="9"/>
  <c r="B264" i="9"/>
  <c r="A265" i="9"/>
  <c r="B265" i="9"/>
  <c r="A266" i="9"/>
  <c r="B266" i="9"/>
  <c r="A267" i="9"/>
  <c r="B267" i="9"/>
  <c r="A268" i="9"/>
  <c r="B268" i="9"/>
  <c r="A269" i="9"/>
  <c r="B269" i="9"/>
  <c r="A270" i="9"/>
  <c r="B270" i="9"/>
  <c r="A271" i="9"/>
  <c r="B271" i="9"/>
  <c r="A272" i="9"/>
  <c r="B272" i="9"/>
  <c r="A273" i="9"/>
  <c r="B273" i="9"/>
  <c r="A274" i="9"/>
  <c r="B274" i="9"/>
  <c r="A275" i="9"/>
  <c r="B275" i="9"/>
  <c r="A276" i="9"/>
  <c r="B276" i="9"/>
  <c r="A277" i="9"/>
  <c r="B277" i="9"/>
  <c r="A278" i="9"/>
  <c r="B278" i="9"/>
  <c r="A279" i="9"/>
  <c r="B279" i="9"/>
  <c r="A280" i="9"/>
  <c r="B280" i="9"/>
  <c r="A281" i="9"/>
  <c r="B281" i="9"/>
  <c r="A282" i="9"/>
  <c r="B282" i="9"/>
  <c r="A283" i="9"/>
  <c r="B283" i="9"/>
  <c r="A284" i="9"/>
  <c r="B284" i="9"/>
  <c r="A285" i="9"/>
  <c r="B285" i="9"/>
  <c r="A286" i="9"/>
  <c r="B286" i="9"/>
  <c r="A287" i="9"/>
  <c r="B287" i="9"/>
  <c r="A288" i="9"/>
  <c r="B288" i="9"/>
  <c r="A289" i="9"/>
  <c r="B289" i="9"/>
  <c r="A290" i="9"/>
  <c r="B290" i="9"/>
  <c r="A291" i="9"/>
  <c r="B291" i="9"/>
  <c r="A292" i="9"/>
  <c r="B292" i="9"/>
  <c r="A293" i="9"/>
  <c r="B293" i="9"/>
  <c r="A294" i="9"/>
  <c r="B294" i="9"/>
  <c r="A295" i="9"/>
  <c r="B295" i="9"/>
  <c r="A296" i="9"/>
  <c r="B296" i="9"/>
  <c r="A297" i="9"/>
  <c r="B297" i="9"/>
  <c r="A298" i="9"/>
  <c r="B298" i="9"/>
  <c r="A299" i="9"/>
  <c r="B299" i="9"/>
  <c r="A300" i="9"/>
  <c r="B300" i="9"/>
  <c r="A301" i="9"/>
  <c r="B301" i="9"/>
  <c r="A302" i="9"/>
  <c r="B302" i="9"/>
  <c r="A303" i="9"/>
  <c r="B303" i="9"/>
  <c r="A304" i="9"/>
  <c r="B304" i="9"/>
  <c r="A305" i="9"/>
  <c r="B305" i="9"/>
  <c r="A306" i="9"/>
  <c r="B306" i="9"/>
  <c r="A307" i="9"/>
  <c r="B307" i="9"/>
  <c r="A308" i="9"/>
  <c r="B308" i="9"/>
  <c r="A309" i="9"/>
  <c r="B309" i="9"/>
  <c r="A310" i="9"/>
  <c r="B310" i="9"/>
  <c r="A311" i="9"/>
  <c r="B311" i="9"/>
  <c r="A312" i="9"/>
  <c r="B312" i="9"/>
  <c r="A313" i="9"/>
  <c r="B313" i="9"/>
  <c r="A314" i="9"/>
  <c r="B314" i="9"/>
  <c r="A315" i="9"/>
  <c r="B315" i="9"/>
  <c r="A316" i="9"/>
  <c r="B316" i="9"/>
  <c r="A317" i="9"/>
  <c r="B317" i="9"/>
  <c r="A318" i="9"/>
  <c r="B318" i="9"/>
  <c r="A319" i="9"/>
  <c r="B319" i="9"/>
  <c r="A6" i="33"/>
  <c r="B6" i="33"/>
  <c r="A7" i="33"/>
  <c r="B7" i="33"/>
  <c r="A8" i="33"/>
  <c r="B8" i="33"/>
  <c r="A9" i="33"/>
  <c r="B9" i="33"/>
  <c r="A10" i="33"/>
  <c r="B10" i="33"/>
  <c r="A11" i="33"/>
  <c r="B11" i="33"/>
  <c r="A12" i="33"/>
  <c r="B12" i="33"/>
  <c r="A13" i="33"/>
  <c r="B13" i="33"/>
  <c r="A14" i="33"/>
  <c r="B14" i="33"/>
  <c r="A15" i="33"/>
  <c r="B15" i="33"/>
  <c r="A16" i="33"/>
  <c r="B16" i="33"/>
  <c r="A17" i="33"/>
  <c r="B17" i="33"/>
  <c r="A18" i="33"/>
  <c r="B18" i="33"/>
  <c r="A19" i="33"/>
  <c r="B19" i="33"/>
  <c r="A20" i="33"/>
  <c r="B20" i="33"/>
  <c r="A21" i="33"/>
  <c r="B21" i="33"/>
  <c r="A22" i="33"/>
  <c r="B22" i="33"/>
  <c r="A23" i="33"/>
  <c r="B23" i="33"/>
  <c r="A24" i="33"/>
  <c r="B24" i="33"/>
  <c r="A25" i="33"/>
  <c r="B25" i="33"/>
  <c r="A26" i="33"/>
  <c r="B26" i="33"/>
  <c r="A27" i="33"/>
  <c r="B27" i="33"/>
  <c r="A28" i="33"/>
  <c r="B28" i="33"/>
  <c r="A29" i="33"/>
  <c r="B29" i="33"/>
  <c r="A30" i="33"/>
  <c r="B30" i="33"/>
  <c r="A31" i="33"/>
  <c r="B31" i="33"/>
  <c r="A32" i="33"/>
  <c r="B32" i="33"/>
  <c r="A33" i="33"/>
  <c r="B33" i="33"/>
  <c r="A34" i="33"/>
  <c r="B34" i="33"/>
  <c r="A35" i="33"/>
  <c r="B35" i="33"/>
  <c r="A36" i="33"/>
  <c r="B36" i="33"/>
  <c r="A37" i="33"/>
  <c r="B37" i="33"/>
  <c r="A38" i="33"/>
  <c r="B38" i="33"/>
  <c r="A39" i="33"/>
  <c r="B39" i="33"/>
  <c r="A40" i="33"/>
  <c r="B40" i="33"/>
  <c r="A41" i="33"/>
  <c r="B41" i="33"/>
  <c r="A42" i="33"/>
  <c r="B42" i="33"/>
  <c r="A43" i="33"/>
  <c r="B43" i="33"/>
  <c r="A44" i="33"/>
  <c r="B44" i="33"/>
  <c r="A45" i="33"/>
  <c r="B45" i="33"/>
  <c r="A46" i="33"/>
  <c r="B46" i="33"/>
  <c r="A47" i="33"/>
  <c r="B47" i="33"/>
  <c r="A48" i="33"/>
  <c r="B48" i="33"/>
  <c r="A49" i="33"/>
  <c r="B49" i="33"/>
  <c r="A50" i="33"/>
  <c r="B50" i="33"/>
  <c r="A51" i="33"/>
  <c r="B51" i="33"/>
  <c r="A52" i="33"/>
  <c r="B52" i="33"/>
  <c r="A53" i="33"/>
  <c r="B53" i="33"/>
  <c r="A54" i="33"/>
  <c r="B54" i="33"/>
  <c r="A55" i="33"/>
  <c r="B55" i="33"/>
  <c r="A56" i="33"/>
  <c r="B56" i="33"/>
  <c r="A57" i="33"/>
  <c r="B57" i="33"/>
  <c r="A58" i="33"/>
  <c r="B58" i="33"/>
  <c r="A59" i="33"/>
  <c r="B59" i="33"/>
  <c r="A60" i="33"/>
  <c r="B60" i="33"/>
  <c r="A61" i="33"/>
  <c r="B61" i="33"/>
  <c r="A62" i="33"/>
  <c r="B62" i="33"/>
  <c r="A63" i="33"/>
  <c r="B63" i="33"/>
  <c r="A64" i="33"/>
  <c r="B64" i="33"/>
  <c r="A65" i="33"/>
  <c r="B65" i="33"/>
  <c r="A66" i="33"/>
  <c r="B66" i="33"/>
  <c r="A67" i="33"/>
  <c r="B67" i="33"/>
  <c r="A68" i="33"/>
  <c r="B68" i="33"/>
  <c r="A69" i="33"/>
  <c r="B69" i="33"/>
  <c r="A70" i="33"/>
  <c r="B70" i="33"/>
  <c r="A71" i="33"/>
  <c r="B71" i="33"/>
  <c r="A72" i="33"/>
  <c r="B72" i="33"/>
  <c r="A73" i="33"/>
  <c r="B73" i="33"/>
  <c r="A74" i="33"/>
  <c r="B74" i="33"/>
  <c r="A75" i="33"/>
  <c r="B75" i="33"/>
  <c r="A76" i="33"/>
  <c r="B76" i="33"/>
  <c r="A77" i="33"/>
  <c r="B77" i="33"/>
  <c r="A78" i="33"/>
  <c r="B78" i="33"/>
  <c r="A79" i="33"/>
  <c r="B79" i="33"/>
  <c r="A80" i="33"/>
  <c r="B80" i="33"/>
  <c r="A81" i="33"/>
  <c r="B81" i="33"/>
  <c r="A82" i="33"/>
  <c r="B82" i="33"/>
  <c r="A83" i="33"/>
  <c r="B83" i="33"/>
  <c r="A84" i="33"/>
  <c r="B84" i="33"/>
  <c r="A85" i="33"/>
  <c r="B85" i="33"/>
  <c r="A86" i="33"/>
  <c r="B86" i="33"/>
  <c r="A87" i="33"/>
  <c r="B87" i="33"/>
  <c r="A88" i="33"/>
  <c r="B88" i="33"/>
  <c r="A89" i="33"/>
  <c r="B89" i="33"/>
  <c r="A90" i="33"/>
  <c r="B90" i="33"/>
  <c r="A91" i="33"/>
  <c r="B91" i="33"/>
  <c r="A92" i="33"/>
  <c r="B92" i="33"/>
  <c r="A93" i="33"/>
  <c r="B93" i="33"/>
  <c r="A94" i="33"/>
  <c r="B94" i="33"/>
  <c r="A95" i="33"/>
  <c r="B95" i="33"/>
  <c r="A96" i="33"/>
  <c r="B96" i="33"/>
  <c r="A97" i="33"/>
  <c r="B97" i="33"/>
  <c r="A98" i="33"/>
  <c r="B98" i="33"/>
  <c r="A99" i="33"/>
  <c r="B99" i="33"/>
  <c r="A100" i="33"/>
  <c r="B100" i="33"/>
  <c r="A101" i="33"/>
  <c r="B101" i="33"/>
  <c r="A102" i="33"/>
  <c r="B102" i="33"/>
  <c r="A103" i="33"/>
  <c r="B103" i="33"/>
  <c r="A104" i="33"/>
  <c r="B104" i="33"/>
  <c r="A105" i="33"/>
  <c r="B105" i="33"/>
  <c r="A106" i="33"/>
  <c r="B106" i="33"/>
  <c r="A107" i="33"/>
  <c r="B107" i="33"/>
  <c r="A108" i="33"/>
  <c r="B108" i="33"/>
  <c r="A109" i="33"/>
  <c r="B109" i="33"/>
  <c r="A110" i="33"/>
  <c r="B110" i="33"/>
  <c r="A111" i="33"/>
  <c r="B111" i="33"/>
  <c r="A112" i="33"/>
  <c r="B112" i="33"/>
  <c r="A113" i="33"/>
  <c r="B113" i="33"/>
  <c r="A114" i="33"/>
  <c r="B114" i="33"/>
  <c r="A115" i="33"/>
  <c r="B115" i="33"/>
  <c r="A116" i="33"/>
  <c r="B116" i="33"/>
  <c r="A117" i="33"/>
  <c r="B117" i="33"/>
  <c r="A118" i="33"/>
  <c r="B118" i="33"/>
  <c r="A119" i="33"/>
  <c r="B119" i="33"/>
  <c r="A120" i="33"/>
  <c r="B120" i="33"/>
  <c r="A121" i="33"/>
  <c r="B121" i="33"/>
  <c r="A122" i="33"/>
  <c r="B122" i="33"/>
  <c r="A123" i="33"/>
  <c r="B123" i="33"/>
  <c r="A124" i="33"/>
  <c r="B124" i="33"/>
  <c r="A125" i="33"/>
  <c r="B125" i="33"/>
  <c r="A126" i="33"/>
  <c r="B126" i="33"/>
  <c r="A127" i="33"/>
  <c r="B127" i="33"/>
  <c r="A128" i="33"/>
  <c r="B128" i="33"/>
  <c r="A129" i="33"/>
  <c r="B129" i="33"/>
  <c r="A130" i="33"/>
  <c r="B130" i="33"/>
  <c r="A131" i="33"/>
  <c r="B131" i="33"/>
  <c r="A132" i="33"/>
  <c r="B132" i="33"/>
  <c r="A133" i="33"/>
  <c r="B133" i="33"/>
  <c r="A134" i="33"/>
  <c r="B134" i="33"/>
  <c r="A135" i="33"/>
  <c r="B135" i="33"/>
  <c r="A136" i="33"/>
  <c r="B136" i="33"/>
  <c r="A137" i="33"/>
  <c r="B137" i="33"/>
  <c r="A138" i="33"/>
  <c r="B138" i="33"/>
  <c r="A139" i="33"/>
  <c r="B139" i="33"/>
  <c r="A140" i="33"/>
  <c r="B140" i="33"/>
  <c r="A141" i="33"/>
  <c r="B141" i="33"/>
  <c r="A142" i="33"/>
  <c r="B142" i="33"/>
  <c r="A143" i="33"/>
  <c r="B143" i="33"/>
  <c r="A144" i="33"/>
  <c r="B144" i="33"/>
  <c r="A145" i="33"/>
  <c r="B145" i="33"/>
  <c r="A146" i="33"/>
  <c r="B146" i="33"/>
  <c r="A147" i="33"/>
  <c r="B147" i="33"/>
  <c r="A148" i="33"/>
  <c r="B148" i="33"/>
  <c r="A149" i="33"/>
  <c r="B149" i="33"/>
  <c r="A150" i="33"/>
  <c r="B150" i="33"/>
  <c r="A151" i="33"/>
  <c r="B151" i="33"/>
  <c r="A152" i="33"/>
  <c r="B152" i="33"/>
  <c r="A153" i="33"/>
  <c r="B153" i="33"/>
  <c r="A154" i="33"/>
  <c r="B154" i="33"/>
  <c r="A155" i="33"/>
  <c r="B155" i="33"/>
  <c r="A156" i="33"/>
  <c r="B156" i="33"/>
  <c r="A157" i="33"/>
  <c r="B157" i="33"/>
  <c r="A158" i="33"/>
  <c r="B158" i="33"/>
  <c r="A159" i="33"/>
  <c r="B159" i="33"/>
  <c r="A160" i="33"/>
  <c r="B160" i="33"/>
  <c r="A161" i="33"/>
  <c r="B161" i="33"/>
  <c r="A162" i="33"/>
  <c r="B162" i="33"/>
  <c r="A163" i="33"/>
  <c r="B163" i="33"/>
  <c r="A164" i="33"/>
  <c r="B164" i="33"/>
  <c r="A165" i="33"/>
  <c r="B165" i="33"/>
  <c r="A166" i="33"/>
  <c r="B166" i="33"/>
  <c r="A167" i="33"/>
  <c r="B167" i="33"/>
  <c r="A168" i="33"/>
  <c r="B168" i="33"/>
  <c r="A169" i="33"/>
  <c r="B169" i="33"/>
  <c r="A170" i="33"/>
  <c r="B170" i="33"/>
  <c r="A171" i="33"/>
  <c r="B171" i="33"/>
  <c r="A172" i="33"/>
  <c r="B172" i="33"/>
  <c r="A173" i="33"/>
  <c r="B173" i="33"/>
  <c r="A174" i="33"/>
  <c r="B174" i="33"/>
  <c r="A175" i="33"/>
  <c r="B175" i="33"/>
  <c r="A176" i="33"/>
  <c r="B176" i="33"/>
  <c r="A177" i="33"/>
  <c r="B177" i="33"/>
  <c r="A178" i="33"/>
  <c r="B178" i="33"/>
  <c r="A179" i="33"/>
  <c r="B179" i="33"/>
  <c r="A180" i="33"/>
  <c r="B180" i="33"/>
  <c r="A181" i="33"/>
  <c r="B181" i="33"/>
  <c r="A182" i="33"/>
  <c r="B182" i="33"/>
  <c r="A183" i="33"/>
  <c r="B183" i="33"/>
  <c r="A184" i="33"/>
  <c r="B184" i="33"/>
  <c r="A185" i="33"/>
  <c r="B185" i="33"/>
  <c r="A186" i="33"/>
  <c r="B186" i="33"/>
  <c r="A187" i="33"/>
  <c r="B187" i="33"/>
  <c r="A188" i="33"/>
  <c r="B188" i="33"/>
  <c r="A189" i="33"/>
  <c r="B189" i="33"/>
  <c r="A190" i="33"/>
  <c r="B190" i="33"/>
  <c r="A191" i="33"/>
  <c r="B191" i="33"/>
  <c r="A192" i="33"/>
  <c r="B192" i="33"/>
  <c r="A193" i="33"/>
  <c r="B193" i="33"/>
  <c r="A194" i="33"/>
  <c r="B194" i="33"/>
  <c r="A195" i="33"/>
  <c r="B195" i="33"/>
  <c r="A196" i="33"/>
  <c r="B196" i="33"/>
  <c r="A197" i="33"/>
  <c r="B197" i="33"/>
  <c r="A198" i="33"/>
  <c r="B198" i="33"/>
  <c r="A199" i="33"/>
  <c r="B199" i="33"/>
  <c r="A200" i="33"/>
  <c r="B200" i="33"/>
  <c r="A201" i="33"/>
  <c r="B201" i="33"/>
  <c r="A202" i="33"/>
  <c r="B202" i="33"/>
  <c r="A203" i="33"/>
  <c r="B203" i="33"/>
  <c r="A204" i="33"/>
  <c r="B204" i="33"/>
  <c r="A205" i="33"/>
  <c r="B205" i="33"/>
  <c r="A206" i="33"/>
  <c r="B206" i="33"/>
  <c r="A207" i="33"/>
  <c r="B207" i="33"/>
  <c r="A208" i="33"/>
  <c r="B208" i="33"/>
  <c r="A209" i="33"/>
  <c r="B209" i="33"/>
  <c r="A210" i="33"/>
  <c r="B210" i="33"/>
  <c r="A211" i="33"/>
  <c r="B211" i="33"/>
  <c r="A212" i="33"/>
  <c r="B212" i="33"/>
  <c r="A213" i="33"/>
  <c r="B213" i="33"/>
  <c r="A214" i="33"/>
  <c r="B214" i="33"/>
  <c r="A215" i="33"/>
  <c r="B215" i="33"/>
  <c r="A216" i="33"/>
  <c r="B216" i="33"/>
  <c r="A217" i="33"/>
  <c r="B217" i="33"/>
  <c r="A218" i="33"/>
  <c r="B218" i="33"/>
  <c r="A219" i="33"/>
  <c r="B219" i="33"/>
  <c r="A220" i="33"/>
  <c r="B220" i="33"/>
  <c r="A221" i="33"/>
  <c r="B221" i="33"/>
  <c r="A222" i="33"/>
  <c r="B222" i="33"/>
  <c r="A223" i="33"/>
  <c r="B223" i="33"/>
  <c r="A224" i="33"/>
  <c r="B224" i="33"/>
  <c r="A225" i="33"/>
  <c r="B225" i="33"/>
  <c r="A226" i="33"/>
  <c r="B226" i="33"/>
  <c r="A227" i="33"/>
  <c r="B227" i="33"/>
  <c r="A228" i="33"/>
  <c r="B228" i="33"/>
  <c r="A229" i="33"/>
  <c r="B229" i="33"/>
  <c r="A230" i="33"/>
  <c r="B230" i="33"/>
  <c r="A231" i="33"/>
  <c r="B231" i="33"/>
  <c r="A232" i="33"/>
  <c r="B232" i="33"/>
  <c r="A233" i="33"/>
  <c r="B233" i="33"/>
  <c r="A234" i="33"/>
  <c r="B234" i="33"/>
  <c r="A235" i="33"/>
  <c r="B235" i="33"/>
  <c r="A236" i="33"/>
  <c r="B236" i="33"/>
  <c r="A237" i="33"/>
  <c r="B237" i="33"/>
  <c r="A238" i="33"/>
  <c r="B238" i="33"/>
  <c r="A239" i="33"/>
  <c r="B239" i="33"/>
  <c r="A240" i="33"/>
  <c r="B240" i="33"/>
  <c r="A241" i="33"/>
  <c r="B241" i="33"/>
  <c r="A242" i="33"/>
  <c r="B242" i="33"/>
  <c r="A243" i="33"/>
  <c r="B243" i="33"/>
  <c r="A244" i="33"/>
  <c r="B244" i="33"/>
  <c r="A245" i="33"/>
  <c r="B245" i="33"/>
  <c r="A246" i="33"/>
  <c r="B246" i="33"/>
  <c r="A247" i="33"/>
  <c r="B247" i="33"/>
  <c r="A248" i="33"/>
  <c r="B248" i="33"/>
  <c r="A249" i="33"/>
  <c r="B249" i="33"/>
  <c r="A250" i="33"/>
  <c r="B250" i="33"/>
  <c r="A251" i="33"/>
  <c r="B251" i="33"/>
  <c r="A252" i="33"/>
  <c r="B252" i="33"/>
  <c r="A253" i="33"/>
  <c r="B253" i="33"/>
  <c r="A254" i="33"/>
  <c r="B254" i="33"/>
  <c r="A255" i="33"/>
  <c r="B255" i="33"/>
  <c r="A256" i="33"/>
  <c r="B256" i="33"/>
  <c r="A257" i="33"/>
  <c r="B257" i="33"/>
  <c r="A258" i="33"/>
  <c r="B258" i="33"/>
  <c r="A259" i="33"/>
  <c r="B259" i="33"/>
  <c r="A260" i="33"/>
  <c r="B260" i="33"/>
  <c r="A261" i="33"/>
  <c r="B261" i="33"/>
  <c r="A262" i="33"/>
  <c r="B262" i="33"/>
  <c r="A263" i="33"/>
  <c r="B263" i="33"/>
  <c r="A264" i="33"/>
  <c r="B264" i="33"/>
  <c r="A265" i="33"/>
  <c r="B265" i="33"/>
  <c r="A266" i="33"/>
  <c r="B266" i="33"/>
  <c r="A267" i="33"/>
  <c r="B267" i="33"/>
  <c r="A268" i="33"/>
  <c r="B268" i="33"/>
  <c r="A269" i="33"/>
  <c r="B269" i="33"/>
  <c r="A270" i="33"/>
  <c r="B270" i="33"/>
  <c r="A271" i="33"/>
  <c r="B271" i="33"/>
  <c r="A272" i="33"/>
  <c r="B272" i="33"/>
  <c r="A273" i="33"/>
  <c r="B273" i="33"/>
  <c r="A274" i="33"/>
  <c r="B274" i="33"/>
  <c r="A275" i="33"/>
  <c r="B275" i="33"/>
  <c r="A276" i="33"/>
  <c r="B276" i="33"/>
  <c r="A277" i="33"/>
  <c r="B277" i="33"/>
  <c r="A278" i="33"/>
  <c r="B278" i="33"/>
  <c r="A279" i="33"/>
  <c r="B279" i="33"/>
  <c r="A280" i="33"/>
  <c r="B280" i="33"/>
  <c r="A281" i="33"/>
  <c r="B281" i="33"/>
  <c r="A282" i="33"/>
  <c r="B282" i="33"/>
  <c r="A283" i="33"/>
  <c r="B283" i="33"/>
  <c r="A284" i="33"/>
  <c r="B284" i="33"/>
  <c r="A285" i="33"/>
  <c r="B285" i="33"/>
  <c r="A286" i="33"/>
  <c r="B286" i="33"/>
  <c r="A287" i="33"/>
  <c r="B287" i="33"/>
  <c r="A288" i="33"/>
  <c r="B288" i="33"/>
  <c r="A289" i="33"/>
  <c r="B289" i="33"/>
  <c r="A290" i="33"/>
  <c r="B290" i="33"/>
  <c r="A291" i="33"/>
  <c r="B291" i="33"/>
  <c r="A292" i="33"/>
  <c r="B292" i="33"/>
  <c r="A293" i="33"/>
  <c r="B293" i="33"/>
  <c r="A294" i="33"/>
  <c r="B294" i="33"/>
  <c r="A295" i="33"/>
  <c r="B295" i="33"/>
  <c r="A296" i="33"/>
  <c r="B296" i="33"/>
  <c r="A297" i="33"/>
  <c r="B297" i="33"/>
  <c r="A298" i="33"/>
  <c r="B298" i="33"/>
  <c r="A299" i="33"/>
  <c r="B299" i="33"/>
  <c r="A300" i="33"/>
  <c r="B300" i="33"/>
  <c r="A301" i="33"/>
  <c r="B301" i="33"/>
  <c r="A302" i="33"/>
  <c r="B302" i="33"/>
  <c r="A303" i="33"/>
  <c r="B303" i="33"/>
  <c r="A304" i="33"/>
  <c r="B304" i="33"/>
  <c r="A305" i="33"/>
  <c r="B305" i="33"/>
  <c r="A306" i="33"/>
  <c r="B306" i="33"/>
  <c r="A307" i="33"/>
  <c r="B307" i="33"/>
  <c r="A308" i="33"/>
  <c r="B308" i="33"/>
  <c r="A309" i="33"/>
  <c r="B309" i="33"/>
  <c r="A310" i="33"/>
  <c r="B310" i="33"/>
  <c r="A311" i="33"/>
  <c r="B311" i="33"/>
  <c r="A312" i="33"/>
  <c r="B312" i="33"/>
  <c r="A313" i="33"/>
  <c r="B313" i="33"/>
  <c r="A6" i="32"/>
  <c r="B6" i="32"/>
  <c r="A7" i="32"/>
  <c r="B7" i="32"/>
  <c r="A8" i="32"/>
  <c r="B8" i="32"/>
  <c r="A9" i="32"/>
  <c r="B9" i="32"/>
  <c r="A10" i="32"/>
  <c r="B10" i="32"/>
  <c r="A11" i="32"/>
  <c r="B11" i="32"/>
  <c r="A12" i="32"/>
  <c r="B12" i="32"/>
  <c r="A13" i="32"/>
  <c r="B13" i="32"/>
  <c r="A14" i="32"/>
  <c r="B14" i="32"/>
  <c r="A15" i="32"/>
  <c r="B15" i="32"/>
  <c r="A16" i="32"/>
  <c r="B16" i="32"/>
  <c r="A17" i="32"/>
  <c r="B17" i="32"/>
  <c r="A18" i="32"/>
  <c r="B18" i="32"/>
  <c r="A19" i="32"/>
  <c r="B19" i="32"/>
  <c r="A20" i="32"/>
  <c r="B20" i="32"/>
  <c r="A21" i="32"/>
  <c r="B21" i="32"/>
  <c r="A22" i="32"/>
  <c r="B22" i="32"/>
  <c r="A23" i="32"/>
  <c r="B23" i="32"/>
  <c r="A24" i="32"/>
  <c r="B24" i="32"/>
  <c r="A25" i="32"/>
  <c r="B25" i="32"/>
  <c r="A26" i="32"/>
  <c r="B26" i="32"/>
  <c r="A27" i="32"/>
  <c r="B27" i="32"/>
  <c r="A28" i="32"/>
  <c r="B28" i="32"/>
  <c r="A29" i="32"/>
  <c r="B29" i="32"/>
  <c r="A30" i="32"/>
  <c r="B30" i="32"/>
  <c r="A31" i="32"/>
  <c r="B31" i="32"/>
  <c r="A32" i="32"/>
  <c r="B32" i="32"/>
  <c r="A33" i="32"/>
  <c r="B33" i="32"/>
  <c r="A34" i="32"/>
  <c r="B34" i="32"/>
  <c r="A35" i="32"/>
  <c r="B35" i="32"/>
  <c r="A36" i="32"/>
  <c r="B36" i="32"/>
  <c r="A37" i="32"/>
  <c r="B37" i="32"/>
  <c r="A38" i="32"/>
  <c r="B38" i="32"/>
  <c r="A39" i="32"/>
  <c r="B39" i="32"/>
  <c r="A40" i="32"/>
  <c r="B40" i="32"/>
  <c r="A41" i="32"/>
  <c r="B41" i="32"/>
  <c r="A42" i="32"/>
  <c r="B42" i="32"/>
  <c r="A43" i="32"/>
  <c r="B43" i="32"/>
  <c r="A44" i="32"/>
  <c r="B44" i="32"/>
  <c r="A45" i="32"/>
  <c r="B45" i="32"/>
  <c r="A46" i="32"/>
  <c r="B46" i="32"/>
  <c r="A47" i="32"/>
  <c r="B47" i="32"/>
  <c r="A48" i="32"/>
  <c r="B48" i="32"/>
  <c r="A49" i="32"/>
  <c r="B49" i="32"/>
  <c r="A50" i="32"/>
  <c r="B50" i="32"/>
  <c r="A51" i="32"/>
  <c r="B51" i="32"/>
  <c r="A52" i="32"/>
  <c r="B52" i="32"/>
  <c r="A53" i="32"/>
  <c r="B53" i="32"/>
  <c r="A54" i="32"/>
  <c r="B54" i="32"/>
  <c r="A55" i="32"/>
  <c r="B55" i="32"/>
  <c r="A56" i="32"/>
  <c r="B56" i="32"/>
  <c r="A57" i="32"/>
  <c r="B57" i="32"/>
  <c r="A58" i="32"/>
  <c r="B58" i="32"/>
  <c r="A59" i="32"/>
  <c r="B59" i="32"/>
  <c r="A60" i="32"/>
  <c r="B60" i="32"/>
  <c r="A61" i="32"/>
  <c r="B61" i="32"/>
  <c r="A62" i="32"/>
  <c r="B62" i="32"/>
  <c r="A63" i="32"/>
  <c r="B63" i="32"/>
  <c r="A64" i="32"/>
  <c r="B64" i="32"/>
  <c r="A65" i="32"/>
  <c r="B65" i="32"/>
  <c r="A66" i="32"/>
  <c r="B66" i="32"/>
  <c r="A67" i="32"/>
  <c r="B67" i="32"/>
  <c r="A68" i="32"/>
  <c r="B68" i="32"/>
  <c r="A69" i="32"/>
  <c r="B69" i="32"/>
  <c r="A70" i="32"/>
  <c r="B70" i="32"/>
  <c r="A71" i="32"/>
  <c r="B71" i="32"/>
  <c r="A72" i="32"/>
  <c r="B72" i="32"/>
  <c r="A73" i="32"/>
  <c r="B73" i="32"/>
  <c r="A74" i="32"/>
  <c r="B74" i="32"/>
  <c r="A75" i="32"/>
  <c r="B75" i="32"/>
  <c r="A76" i="32"/>
  <c r="B76" i="32"/>
  <c r="A77" i="32"/>
  <c r="B77" i="32"/>
  <c r="A78" i="32"/>
  <c r="B78" i="32"/>
  <c r="A79" i="32"/>
  <c r="B79" i="32"/>
  <c r="A80" i="32"/>
  <c r="B80" i="32"/>
  <c r="A81" i="32"/>
  <c r="B81" i="32"/>
  <c r="A82" i="32"/>
  <c r="B82" i="32"/>
  <c r="A83" i="32"/>
  <c r="B83" i="32"/>
  <c r="A84" i="32"/>
  <c r="B84" i="32"/>
  <c r="A85" i="32"/>
  <c r="B85" i="32"/>
  <c r="A86" i="32"/>
  <c r="B86" i="32"/>
  <c r="A87" i="32"/>
  <c r="B87" i="32"/>
  <c r="A88" i="32"/>
  <c r="B88" i="32"/>
  <c r="A89" i="32"/>
  <c r="B89" i="32"/>
  <c r="A90" i="32"/>
  <c r="B90" i="32"/>
  <c r="A91" i="32"/>
  <c r="B91" i="32"/>
  <c r="A92" i="32"/>
  <c r="B92" i="32"/>
  <c r="A93" i="32"/>
  <c r="B93" i="32"/>
  <c r="A94" i="32"/>
  <c r="B94" i="32"/>
  <c r="A95" i="32"/>
  <c r="B95" i="32"/>
  <c r="A96" i="32"/>
  <c r="B96" i="32"/>
  <c r="A97" i="32"/>
  <c r="B97" i="32"/>
  <c r="A98" i="32"/>
  <c r="B98" i="32"/>
  <c r="A99" i="32"/>
  <c r="B99" i="32"/>
  <c r="A100" i="32"/>
  <c r="B100" i="32"/>
  <c r="A101" i="32"/>
  <c r="B101" i="32"/>
  <c r="A102" i="32"/>
  <c r="B102" i="32"/>
  <c r="A103" i="32"/>
  <c r="B103" i="32"/>
  <c r="A104" i="32"/>
  <c r="B104" i="32"/>
  <c r="A105" i="32"/>
  <c r="B105" i="32"/>
  <c r="A106" i="32"/>
  <c r="B106" i="32"/>
  <c r="A107" i="32"/>
  <c r="B107" i="32"/>
  <c r="A108" i="32"/>
  <c r="B108" i="32"/>
  <c r="A109" i="32"/>
  <c r="B109" i="32"/>
  <c r="A110" i="32"/>
  <c r="B110" i="32"/>
  <c r="A111" i="32"/>
  <c r="B111" i="32"/>
  <c r="A112" i="32"/>
  <c r="B112" i="32"/>
  <c r="A113" i="32"/>
  <c r="B113" i="32"/>
  <c r="A114" i="32"/>
  <c r="B114" i="32"/>
  <c r="A115" i="32"/>
  <c r="B115" i="32"/>
  <c r="A116" i="32"/>
  <c r="B116" i="32"/>
  <c r="A117" i="32"/>
  <c r="B117" i="32"/>
  <c r="A118" i="32"/>
  <c r="B118" i="32"/>
  <c r="A119" i="32"/>
  <c r="B119" i="32"/>
  <c r="A120" i="32"/>
  <c r="B120" i="32"/>
  <c r="A121" i="32"/>
  <c r="B121" i="32"/>
  <c r="A122" i="32"/>
  <c r="B122" i="32"/>
  <c r="A123" i="32"/>
  <c r="B123" i="32"/>
  <c r="A124" i="32"/>
  <c r="B124" i="32"/>
  <c r="A125" i="32"/>
  <c r="B125" i="32"/>
  <c r="A126" i="32"/>
  <c r="B126" i="32"/>
  <c r="A127" i="32"/>
  <c r="B127" i="32"/>
  <c r="A128" i="32"/>
  <c r="B128" i="32"/>
  <c r="A129" i="32"/>
  <c r="B129" i="32"/>
  <c r="A130" i="32"/>
  <c r="B130" i="32"/>
  <c r="A131" i="32"/>
  <c r="B131" i="32"/>
  <c r="A132" i="32"/>
  <c r="B132" i="32"/>
  <c r="A133" i="32"/>
  <c r="B133" i="32"/>
  <c r="A134" i="32"/>
  <c r="B134" i="32"/>
  <c r="A135" i="32"/>
  <c r="B135" i="32"/>
  <c r="A136" i="32"/>
  <c r="B136" i="32"/>
  <c r="A137" i="32"/>
  <c r="B137" i="32"/>
  <c r="A138" i="32"/>
  <c r="B138" i="32"/>
  <c r="A139" i="32"/>
  <c r="B139" i="32"/>
  <c r="A140" i="32"/>
  <c r="B140" i="32"/>
  <c r="A141" i="32"/>
  <c r="B141" i="32"/>
  <c r="A142" i="32"/>
  <c r="B142" i="32"/>
  <c r="A143" i="32"/>
  <c r="B143" i="32"/>
  <c r="A144" i="32"/>
  <c r="B144" i="32"/>
  <c r="A145" i="32"/>
  <c r="B145" i="32"/>
  <c r="A146" i="32"/>
  <c r="B146" i="32"/>
  <c r="A147" i="32"/>
  <c r="B147" i="32"/>
  <c r="A148" i="32"/>
  <c r="B148" i="32"/>
  <c r="A149" i="32"/>
  <c r="B149" i="32"/>
  <c r="A150" i="32"/>
  <c r="B150" i="32"/>
  <c r="A151" i="32"/>
  <c r="B151" i="32"/>
  <c r="A152" i="32"/>
  <c r="B152" i="32"/>
  <c r="A153" i="32"/>
  <c r="B153" i="32"/>
  <c r="A154" i="32"/>
  <c r="B154" i="32"/>
  <c r="A155" i="32"/>
  <c r="B155" i="32"/>
  <c r="A156" i="32"/>
  <c r="B156" i="32"/>
  <c r="A157" i="32"/>
  <c r="B157" i="32"/>
  <c r="A158" i="32"/>
  <c r="B158" i="32"/>
  <c r="A159" i="32"/>
  <c r="B159" i="32"/>
  <c r="A160" i="32"/>
  <c r="B160" i="32"/>
  <c r="A161" i="32"/>
  <c r="B161" i="32"/>
  <c r="A162" i="32"/>
  <c r="B162" i="32"/>
  <c r="A163" i="32"/>
  <c r="B163" i="32"/>
  <c r="A164" i="32"/>
  <c r="B164" i="32"/>
  <c r="A165" i="32"/>
  <c r="B165" i="32"/>
  <c r="A166" i="32"/>
  <c r="B166" i="32"/>
  <c r="A167" i="32"/>
  <c r="B167" i="32"/>
  <c r="A168" i="32"/>
  <c r="B168" i="32"/>
  <c r="A169" i="32"/>
  <c r="B169" i="32"/>
  <c r="A170" i="32"/>
  <c r="B170" i="32"/>
  <c r="A171" i="32"/>
  <c r="B171" i="32"/>
  <c r="A172" i="32"/>
  <c r="B172" i="32"/>
  <c r="A173" i="32"/>
  <c r="B173" i="32"/>
  <c r="A174" i="32"/>
  <c r="B174" i="32"/>
  <c r="A175" i="32"/>
  <c r="B175" i="32"/>
  <c r="A176" i="32"/>
  <c r="B176" i="32"/>
  <c r="A177" i="32"/>
  <c r="B177" i="32"/>
  <c r="A178" i="32"/>
  <c r="B178" i="32"/>
  <c r="A179" i="32"/>
  <c r="B179" i="32"/>
  <c r="A180" i="32"/>
  <c r="B180" i="32"/>
  <c r="A181" i="32"/>
  <c r="B181" i="32"/>
  <c r="A182" i="32"/>
  <c r="B182" i="32"/>
  <c r="A183" i="32"/>
  <c r="B183" i="32"/>
  <c r="A184" i="32"/>
  <c r="B184" i="32"/>
  <c r="A185" i="32"/>
  <c r="B185" i="32"/>
  <c r="A186" i="32"/>
  <c r="B186" i="32"/>
  <c r="A187" i="32"/>
  <c r="B187" i="32"/>
  <c r="A188" i="32"/>
  <c r="B188" i="32"/>
  <c r="A189" i="32"/>
  <c r="B189" i="32"/>
  <c r="A190" i="32"/>
  <c r="B190" i="32"/>
  <c r="A191" i="32"/>
  <c r="B191" i="32"/>
  <c r="A192" i="32"/>
  <c r="B192" i="32"/>
  <c r="A193" i="32"/>
  <c r="B193" i="32"/>
  <c r="A194" i="32"/>
  <c r="B194" i="32"/>
  <c r="A195" i="32"/>
  <c r="B195" i="32"/>
  <c r="A196" i="32"/>
  <c r="B196" i="32"/>
  <c r="A197" i="32"/>
  <c r="B197" i="32"/>
  <c r="A198" i="32"/>
  <c r="B198" i="32"/>
  <c r="A199" i="32"/>
  <c r="B199" i="32"/>
  <c r="A200" i="32"/>
  <c r="B200" i="32"/>
  <c r="A201" i="32"/>
  <c r="B201" i="32"/>
  <c r="A202" i="32"/>
  <c r="B202" i="32"/>
  <c r="A203" i="32"/>
  <c r="B203" i="32"/>
  <c r="A204" i="32"/>
  <c r="B204" i="32"/>
  <c r="A205" i="32"/>
  <c r="B205" i="32"/>
  <c r="A206" i="32"/>
  <c r="B206" i="32"/>
  <c r="A207" i="32"/>
  <c r="B207" i="32"/>
  <c r="A208" i="32"/>
  <c r="B208" i="32"/>
  <c r="A209" i="32"/>
  <c r="B209" i="32"/>
  <c r="A210" i="32"/>
  <c r="B210" i="32"/>
  <c r="A211" i="32"/>
  <c r="B211" i="32"/>
  <c r="A212" i="32"/>
  <c r="B212" i="32"/>
  <c r="A213" i="32"/>
  <c r="B213" i="32"/>
  <c r="A214" i="32"/>
  <c r="B214" i="32"/>
  <c r="A215" i="32"/>
  <c r="B215" i="32"/>
  <c r="A216" i="32"/>
  <c r="B216" i="32"/>
  <c r="A217" i="32"/>
  <c r="B217" i="32"/>
  <c r="A218" i="32"/>
  <c r="B218" i="32"/>
  <c r="A219" i="32"/>
  <c r="B219" i="32"/>
  <c r="A220" i="32"/>
  <c r="B220" i="32"/>
  <c r="A221" i="32"/>
  <c r="B221" i="32"/>
  <c r="A222" i="32"/>
  <c r="B222" i="32"/>
  <c r="A223" i="32"/>
  <c r="B223" i="32"/>
  <c r="A224" i="32"/>
  <c r="B224" i="32"/>
  <c r="A225" i="32"/>
  <c r="B225" i="32"/>
  <c r="A226" i="32"/>
  <c r="B226" i="32"/>
  <c r="A227" i="32"/>
  <c r="B227" i="32"/>
  <c r="A228" i="32"/>
  <c r="B228" i="32"/>
  <c r="A229" i="32"/>
  <c r="B229" i="32"/>
  <c r="A230" i="32"/>
  <c r="B230" i="32"/>
  <c r="A231" i="32"/>
  <c r="B231" i="32"/>
  <c r="A232" i="32"/>
  <c r="B232" i="32"/>
  <c r="A233" i="32"/>
  <c r="B233" i="32"/>
  <c r="A234" i="32"/>
  <c r="B234" i="32"/>
  <c r="A235" i="32"/>
  <c r="B235" i="32"/>
  <c r="A236" i="32"/>
  <c r="B236" i="32"/>
  <c r="A237" i="32"/>
  <c r="B237" i="32"/>
  <c r="A238" i="32"/>
  <c r="B238" i="32"/>
  <c r="A239" i="32"/>
  <c r="B239" i="32"/>
  <c r="A240" i="32"/>
  <c r="B240" i="32"/>
  <c r="A241" i="32"/>
  <c r="B241" i="32"/>
  <c r="A242" i="32"/>
  <c r="B242" i="32"/>
  <c r="A243" i="32"/>
  <c r="B243" i="32"/>
  <c r="A244" i="32"/>
  <c r="B244" i="32"/>
  <c r="A245" i="32"/>
  <c r="B245" i="32"/>
  <c r="A246" i="32"/>
  <c r="B246" i="32"/>
  <c r="A247" i="32"/>
  <c r="B247" i="32"/>
  <c r="A248" i="32"/>
  <c r="B248" i="32"/>
  <c r="A249" i="32"/>
  <c r="B249" i="32"/>
  <c r="A250" i="32"/>
  <c r="B250" i="32"/>
  <c r="A251" i="32"/>
  <c r="B251" i="32"/>
  <c r="A252" i="32"/>
  <c r="B252" i="32"/>
  <c r="A253" i="32"/>
  <c r="B253" i="32"/>
  <c r="A254" i="32"/>
  <c r="B254" i="32"/>
  <c r="A255" i="32"/>
  <c r="B255" i="32"/>
  <c r="A256" i="32"/>
  <c r="B256" i="32"/>
  <c r="A257" i="32"/>
  <c r="B257" i="32"/>
  <c r="A258" i="32"/>
  <c r="B258" i="32"/>
  <c r="A259" i="32"/>
  <c r="B259" i="32"/>
  <c r="A260" i="32"/>
  <c r="B260" i="32"/>
  <c r="A261" i="32"/>
  <c r="B261" i="32"/>
  <c r="A262" i="32"/>
  <c r="B262" i="32"/>
  <c r="A263" i="32"/>
  <c r="B263" i="32"/>
  <c r="A264" i="32"/>
  <c r="B264" i="32"/>
  <c r="A265" i="32"/>
  <c r="B265" i="32"/>
  <c r="A266" i="32"/>
  <c r="B266" i="32"/>
  <c r="A267" i="32"/>
  <c r="B267" i="32"/>
  <c r="A268" i="32"/>
  <c r="B268" i="32"/>
  <c r="A269" i="32"/>
  <c r="B269" i="32"/>
  <c r="A270" i="32"/>
  <c r="B270" i="32"/>
  <c r="A271" i="32"/>
  <c r="B271" i="32"/>
  <c r="A272" i="32"/>
  <c r="B272" i="32"/>
  <c r="A273" i="32"/>
  <c r="B273" i="32"/>
  <c r="A274" i="32"/>
  <c r="B274" i="32"/>
  <c r="A275" i="32"/>
  <c r="B275" i="32"/>
  <c r="A276" i="32"/>
  <c r="B276" i="32"/>
  <c r="A277" i="32"/>
  <c r="B277" i="32"/>
  <c r="A278" i="32"/>
  <c r="B278" i="32"/>
  <c r="A279" i="32"/>
  <c r="B279" i="32"/>
  <c r="A280" i="32"/>
  <c r="B280" i="32"/>
  <c r="A281" i="32"/>
  <c r="B281" i="32"/>
  <c r="A282" i="32"/>
  <c r="B282" i="32"/>
  <c r="A283" i="32"/>
  <c r="B283" i="32"/>
  <c r="A284" i="32"/>
  <c r="B284" i="32"/>
  <c r="A285" i="32"/>
  <c r="B285" i="32"/>
  <c r="A286" i="32"/>
  <c r="B286" i="32"/>
  <c r="A287" i="32"/>
  <c r="B287" i="32"/>
  <c r="A288" i="32"/>
  <c r="B288" i="32"/>
  <c r="A289" i="32"/>
  <c r="B289" i="32"/>
  <c r="A290" i="32"/>
  <c r="B290" i="32"/>
  <c r="A291" i="32"/>
  <c r="B291" i="32"/>
  <c r="A292" i="32"/>
  <c r="B292" i="32"/>
  <c r="A293" i="32"/>
  <c r="B293" i="32"/>
  <c r="A294" i="32"/>
  <c r="B294" i="32"/>
  <c r="A295" i="32"/>
  <c r="B295" i="32"/>
  <c r="A296" i="32"/>
  <c r="B296" i="32"/>
  <c r="A297" i="32"/>
  <c r="B297" i="32"/>
  <c r="A298" i="32"/>
  <c r="B298" i="32"/>
  <c r="A299" i="32"/>
  <c r="B299" i="32"/>
  <c r="A300" i="32"/>
  <c r="B300" i="32"/>
  <c r="A301" i="32"/>
  <c r="B301" i="32"/>
  <c r="A302" i="32"/>
  <c r="B302" i="32"/>
  <c r="A303" i="32"/>
  <c r="B303" i="32"/>
  <c r="A304" i="32"/>
  <c r="B304" i="32"/>
  <c r="A305" i="32"/>
  <c r="B305" i="32"/>
  <c r="A306" i="32"/>
  <c r="B306" i="32"/>
  <c r="A307" i="32"/>
  <c r="B307" i="32"/>
  <c r="A308" i="32"/>
  <c r="B308" i="32"/>
  <c r="A309" i="32"/>
  <c r="B309" i="32"/>
  <c r="A310" i="32"/>
  <c r="B310" i="32"/>
  <c r="A311" i="32"/>
  <c r="B311" i="32"/>
  <c r="A312" i="32"/>
  <c r="B312" i="32"/>
  <c r="A313" i="32"/>
  <c r="B313" i="32"/>
  <c r="Z8" i="19"/>
  <c r="D6" i="32" s="1"/>
  <c r="AR8" i="19"/>
  <c r="Z9" i="19"/>
  <c r="D7" i="32" s="1"/>
  <c r="AR9" i="19"/>
  <c r="Z10" i="19"/>
  <c r="D8" i="32" s="1"/>
  <c r="AR10" i="19"/>
  <c r="Z11" i="19"/>
  <c r="D9" i="32" s="1"/>
  <c r="AR11" i="19"/>
  <c r="Z12" i="19"/>
  <c r="D10" i="32" s="1"/>
  <c r="AR12" i="19"/>
  <c r="Z13" i="19"/>
  <c r="D11" i="32" s="1"/>
  <c r="AR13" i="19"/>
  <c r="Z14" i="19"/>
  <c r="D12" i="32" s="1"/>
  <c r="AR14" i="19"/>
  <c r="Z15" i="19"/>
  <c r="D13" i="32" s="1"/>
  <c r="AR15" i="19"/>
  <c r="Z16" i="19"/>
  <c r="D14" i="32" s="1"/>
  <c r="AR16" i="19"/>
  <c r="Z17" i="19"/>
  <c r="D15" i="32" s="1"/>
  <c r="AR17" i="19"/>
  <c r="Z18" i="19"/>
  <c r="D16" i="32" s="1"/>
  <c r="AR18" i="19"/>
  <c r="Z19" i="19"/>
  <c r="D17" i="32" s="1"/>
  <c r="AR19" i="19"/>
  <c r="Z20" i="19"/>
  <c r="D18" i="32" s="1"/>
  <c r="AR20" i="19"/>
  <c r="Z21" i="19"/>
  <c r="D19" i="32" s="1"/>
  <c r="AR21" i="19"/>
  <c r="Z22" i="19"/>
  <c r="D20" i="32" s="1"/>
  <c r="AR22" i="19"/>
  <c r="Z23" i="19"/>
  <c r="D21" i="32" s="1"/>
  <c r="AR23" i="19"/>
  <c r="Z24" i="19"/>
  <c r="D22" i="32" s="1"/>
  <c r="AR24" i="19"/>
  <c r="Z25" i="19"/>
  <c r="D23" i="32" s="1"/>
  <c r="AR25" i="19"/>
  <c r="Z26" i="19"/>
  <c r="D24" i="32" s="1"/>
  <c r="AR26" i="19"/>
  <c r="Z27" i="19"/>
  <c r="D25" i="32" s="1"/>
  <c r="AR27" i="19"/>
  <c r="Z28" i="19"/>
  <c r="D26" i="32" s="1"/>
  <c r="AR28" i="19"/>
  <c r="Z29" i="19"/>
  <c r="D27" i="32" s="1"/>
  <c r="AR29" i="19"/>
  <c r="Z30" i="19"/>
  <c r="D28" i="32" s="1"/>
  <c r="AR30" i="19"/>
  <c r="Z31" i="19"/>
  <c r="D29" i="32" s="1"/>
  <c r="AR31" i="19"/>
  <c r="Z32" i="19"/>
  <c r="D30" i="32" s="1"/>
  <c r="AR32" i="19"/>
  <c r="Z33" i="19"/>
  <c r="D31" i="32" s="1"/>
  <c r="AR33" i="19"/>
  <c r="Z34" i="19"/>
  <c r="D32" i="32" s="1"/>
  <c r="AR34" i="19"/>
  <c r="Z35" i="19"/>
  <c r="D33" i="32" s="1"/>
  <c r="AR35" i="19"/>
  <c r="Z36" i="19"/>
  <c r="D34" i="32" s="1"/>
  <c r="AR36" i="19"/>
  <c r="Z37" i="19"/>
  <c r="D35" i="32" s="1"/>
  <c r="AR37" i="19"/>
  <c r="Z38" i="19"/>
  <c r="D36" i="32" s="1"/>
  <c r="AR38" i="19"/>
  <c r="Z39" i="19"/>
  <c r="D37" i="32" s="1"/>
  <c r="AR39" i="19"/>
  <c r="Z40" i="19"/>
  <c r="D38" i="32" s="1"/>
  <c r="AR40" i="19"/>
  <c r="Z41" i="19"/>
  <c r="D39" i="32" s="1"/>
  <c r="AR41" i="19"/>
  <c r="Z42" i="19"/>
  <c r="D40" i="32" s="1"/>
  <c r="AR42" i="19"/>
  <c r="Z43" i="19"/>
  <c r="D41" i="32" s="1"/>
  <c r="AR43" i="19"/>
  <c r="Z44" i="19"/>
  <c r="D42" i="32" s="1"/>
  <c r="AR44" i="19"/>
  <c r="Z45" i="19"/>
  <c r="D43" i="32" s="1"/>
  <c r="AR45" i="19"/>
  <c r="Z46" i="19"/>
  <c r="D44" i="32" s="1"/>
  <c r="AR46" i="19"/>
  <c r="Z47" i="19"/>
  <c r="D45" i="32" s="1"/>
  <c r="AR47" i="19"/>
  <c r="Z48" i="19"/>
  <c r="D46" i="32" s="1"/>
  <c r="AR48" i="19"/>
  <c r="Z49" i="19"/>
  <c r="D47" i="32" s="1"/>
  <c r="AR49" i="19"/>
  <c r="Z50" i="19"/>
  <c r="D48" i="32" s="1"/>
  <c r="AR50" i="19"/>
  <c r="Z51" i="19"/>
  <c r="D49" i="32" s="1"/>
  <c r="AR51" i="19"/>
  <c r="Z52" i="19"/>
  <c r="D50" i="32" s="1"/>
  <c r="AR52" i="19"/>
  <c r="Z53" i="19"/>
  <c r="D51" i="32" s="1"/>
  <c r="AR53" i="19"/>
  <c r="Z54" i="19"/>
  <c r="D52" i="32" s="1"/>
  <c r="AR54" i="19"/>
  <c r="Z55" i="19"/>
  <c r="D53" i="32" s="1"/>
  <c r="AR55" i="19"/>
  <c r="Z56" i="19"/>
  <c r="D54" i="32" s="1"/>
  <c r="AR56" i="19"/>
  <c r="Z57" i="19"/>
  <c r="D55" i="32" s="1"/>
  <c r="AR57" i="19"/>
  <c r="Z58" i="19"/>
  <c r="D56" i="32" s="1"/>
  <c r="AR58" i="19"/>
  <c r="Z59" i="19"/>
  <c r="D57" i="32" s="1"/>
  <c r="AR59" i="19"/>
  <c r="Z60" i="19"/>
  <c r="D58" i="32" s="1"/>
  <c r="AR60" i="19"/>
  <c r="Z61" i="19"/>
  <c r="D59" i="32" s="1"/>
  <c r="AR61" i="19"/>
  <c r="Z62" i="19"/>
  <c r="D60" i="32" s="1"/>
  <c r="AR62" i="19"/>
  <c r="Z63" i="19"/>
  <c r="D61" i="32" s="1"/>
  <c r="AR63" i="19"/>
  <c r="Z64" i="19"/>
  <c r="D62" i="32" s="1"/>
  <c r="AR64" i="19"/>
  <c r="Z65" i="19"/>
  <c r="D63" i="32" s="1"/>
  <c r="AR65" i="19"/>
  <c r="Z66" i="19"/>
  <c r="D64" i="32" s="1"/>
  <c r="AR66" i="19"/>
  <c r="Z67" i="19"/>
  <c r="D65" i="32" s="1"/>
  <c r="AR67" i="19"/>
  <c r="Z68" i="19"/>
  <c r="D66" i="32" s="1"/>
  <c r="AR68" i="19"/>
  <c r="Z69" i="19"/>
  <c r="D67" i="32" s="1"/>
  <c r="AR69" i="19"/>
  <c r="Z70" i="19"/>
  <c r="D68" i="32" s="1"/>
  <c r="AR70" i="19"/>
  <c r="Z71" i="19"/>
  <c r="D69" i="32" s="1"/>
  <c r="AR71" i="19"/>
  <c r="Z72" i="19"/>
  <c r="D70" i="32" s="1"/>
  <c r="AR72" i="19"/>
  <c r="Z73" i="19"/>
  <c r="D71" i="32" s="1"/>
  <c r="AR73" i="19"/>
  <c r="Z74" i="19"/>
  <c r="D72" i="32" s="1"/>
  <c r="AR74" i="19"/>
  <c r="Z75" i="19"/>
  <c r="D73" i="32" s="1"/>
  <c r="AR75" i="19"/>
  <c r="Z76" i="19"/>
  <c r="D74" i="32" s="1"/>
  <c r="AR76" i="19"/>
  <c r="Z77" i="19"/>
  <c r="D75" i="32" s="1"/>
  <c r="AR77" i="19"/>
  <c r="Z78" i="19"/>
  <c r="D76" i="32" s="1"/>
  <c r="AR78" i="19"/>
  <c r="Z79" i="19"/>
  <c r="D77" i="32" s="1"/>
  <c r="AR79" i="19"/>
  <c r="Z80" i="19"/>
  <c r="D78" i="32" s="1"/>
  <c r="AR80" i="19"/>
  <c r="Z81" i="19"/>
  <c r="D79" i="32" s="1"/>
  <c r="AR81" i="19"/>
  <c r="Z82" i="19"/>
  <c r="D80" i="32" s="1"/>
  <c r="AR82" i="19"/>
  <c r="Z83" i="19"/>
  <c r="D81" i="32" s="1"/>
  <c r="AR83" i="19"/>
  <c r="Z84" i="19"/>
  <c r="D82" i="32" s="1"/>
  <c r="AR84" i="19"/>
  <c r="Z85" i="19"/>
  <c r="D83" i="32" s="1"/>
  <c r="AR85" i="19"/>
  <c r="Z86" i="19"/>
  <c r="D84" i="32" s="1"/>
  <c r="AR86" i="19"/>
  <c r="Z87" i="19"/>
  <c r="D85" i="32" s="1"/>
  <c r="AR87" i="19"/>
  <c r="Z88" i="19"/>
  <c r="D86" i="32" s="1"/>
  <c r="AR88" i="19"/>
  <c r="Z89" i="19"/>
  <c r="D87" i="32" s="1"/>
  <c r="AR89" i="19"/>
  <c r="Z90" i="19"/>
  <c r="D88" i="32" s="1"/>
  <c r="AR90" i="19"/>
  <c r="Z91" i="19"/>
  <c r="D89" i="32" s="1"/>
  <c r="AR91" i="19"/>
  <c r="Z92" i="19"/>
  <c r="D90" i="32" s="1"/>
  <c r="AR92" i="19"/>
  <c r="Z93" i="19"/>
  <c r="D91" i="32" s="1"/>
  <c r="AR93" i="19"/>
  <c r="Z94" i="19"/>
  <c r="D92" i="32" s="1"/>
  <c r="AR94" i="19"/>
  <c r="Z95" i="19"/>
  <c r="D93" i="32" s="1"/>
  <c r="AR95" i="19"/>
  <c r="Z96" i="19"/>
  <c r="D94" i="32" s="1"/>
  <c r="AR96" i="19"/>
  <c r="Z97" i="19"/>
  <c r="D95" i="32" s="1"/>
  <c r="AR97" i="19"/>
  <c r="Z98" i="19"/>
  <c r="D96" i="32" s="1"/>
  <c r="AR98" i="19"/>
  <c r="Z99" i="19"/>
  <c r="D97" i="32" s="1"/>
  <c r="AR99" i="19"/>
  <c r="Z100" i="19"/>
  <c r="D98" i="32" s="1"/>
  <c r="AR100" i="19"/>
  <c r="Z101" i="19"/>
  <c r="D99" i="32" s="1"/>
  <c r="AR101" i="19"/>
  <c r="Z102" i="19"/>
  <c r="D100" i="32" s="1"/>
  <c r="AR102" i="19"/>
  <c r="Z103" i="19"/>
  <c r="D101" i="32" s="1"/>
  <c r="AR103" i="19"/>
  <c r="Z104" i="19"/>
  <c r="D102" i="32" s="1"/>
  <c r="AR104" i="19"/>
  <c r="Z105" i="19"/>
  <c r="D103" i="32" s="1"/>
  <c r="AR105" i="19"/>
  <c r="Z106" i="19"/>
  <c r="D104" i="32" s="1"/>
  <c r="AR106" i="19"/>
  <c r="Z107" i="19"/>
  <c r="D105" i="32" s="1"/>
  <c r="AR107" i="19"/>
  <c r="Z108" i="19"/>
  <c r="D106" i="32" s="1"/>
  <c r="AR108" i="19"/>
  <c r="Z109" i="19"/>
  <c r="D107" i="32" s="1"/>
  <c r="AR109" i="19"/>
  <c r="Z110" i="19"/>
  <c r="D108" i="32" s="1"/>
  <c r="AR110" i="19"/>
  <c r="Z111" i="19"/>
  <c r="D109" i="32" s="1"/>
  <c r="AR111" i="19"/>
  <c r="Z112" i="19"/>
  <c r="D110" i="32" s="1"/>
  <c r="AR112" i="19"/>
  <c r="Z113" i="19"/>
  <c r="D111" i="32" s="1"/>
  <c r="AR113" i="19"/>
  <c r="Z114" i="19"/>
  <c r="D112" i="32" s="1"/>
  <c r="AR114" i="19"/>
  <c r="Z115" i="19"/>
  <c r="D113" i="32" s="1"/>
  <c r="AR115" i="19"/>
  <c r="Z116" i="19"/>
  <c r="D114" i="32" s="1"/>
  <c r="AR116" i="19"/>
  <c r="Z117" i="19"/>
  <c r="D115" i="32" s="1"/>
  <c r="AR117" i="19"/>
  <c r="Z118" i="19"/>
  <c r="D116" i="32" s="1"/>
  <c r="AR118" i="19"/>
  <c r="Z119" i="19"/>
  <c r="D117" i="32" s="1"/>
  <c r="AR119" i="19"/>
  <c r="Z120" i="19"/>
  <c r="D118" i="32" s="1"/>
  <c r="AR120" i="19"/>
  <c r="Z121" i="19"/>
  <c r="D119" i="32" s="1"/>
  <c r="AR121" i="19"/>
  <c r="Z122" i="19"/>
  <c r="D120" i="32" s="1"/>
  <c r="AR122" i="19"/>
  <c r="Z123" i="19"/>
  <c r="D121" i="32" s="1"/>
  <c r="AR123" i="19"/>
  <c r="Z124" i="19"/>
  <c r="D122" i="32" s="1"/>
  <c r="AR124" i="19"/>
  <c r="Z125" i="19"/>
  <c r="D123" i="32" s="1"/>
  <c r="AR125" i="19"/>
  <c r="Z126" i="19"/>
  <c r="D124" i="32" s="1"/>
  <c r="AR126" i="19"/>
  <c r="Z127" i="19"/>
  <c r="D125" i="32" s="1"/>
  <c r="AR127" i="19"/>
  <c r="Z128" i="19"/>
  <c r="D126" i="32" s="1"/>
  <c r="AR128" i="19"/>
  <c r="Z129" i="19"/>
  <c r="D127" i="32" s="1"/>
  <c r="AR129" i="19"/>
  <c r="Z130" i="19"/>
  <c r="D128" i="32" s="1"/>
  <c r="AR130" i="19"/>
  <c r="Z131" i="19"/>
  <c r="D129" i="32" s="1"/>
  <c r="AR131" i="19"/>
  <c r="Z132" i="19"/>
  <c r="D130" i="32" s="1"/>
  <c r="AR132" i="19"/>
  <c r="Z133" i="19"/>
  <c r="D131" i="32" s="1"/>
  <c r="AR133" i="19"/>
  <c r="Z134" i="19"/>
  <c r="D132" i="32" s="1"/>
  <c r="AR134" i="19"/>
  <c r="Z135" i="19"/>
  <c r="D133" i="32" s="1"/>
  <c r="AR135" i="19"/>
  <c r="Z136" i="19"/>
  <c r="D134" i="32" s="1"/>
  <c r="AR136" i="19"/>
  <c r="Z137" i="19"/>
  <c r="D135" i="32" s="1"/>
  <c r="AR137" i="19"/>
  <c r="Z138" i="19"/>
  <c r="D136" i="32" s="1"/>
  <c r="AR138" i="19"/>
  <c r="Z139" i="19"/>
  <c r="D137" i="32" s="1"/>
  <c r="AR139" i="19"/>
  <c r="Z140" i="19"/>
  <c r="D138" i="32" s="1"/>
  <c r="AR140" i="19"/>
  <c r="Z141" i="19"/>
  <c r="D139" i="32" s="1"/>
  <c r="AR141" i="19"/>
  <c r="Z142" i="19"/>
  <c r="D140" i="32" s="1"/>
  <c r="AR142" i="19"/>
  <c r="Z143" i="19"/>
  <c r="D141" i="32" s="1"/>
  <c r="AR143" i="19"/>
  <c r="Z144" i="19"/>
  <c r="D142" i="32" s="1"/>
  <c r="AR144" i="19"/>
  <c r="Z145" i="19"/>
  <c r="D143" i="32" s="1"/>
  <c r="AR145" i="19"/>
  <c r="Z146" i="19"/>
  <c r="D144" i="32" s="1"/>
  <c r="AR146" i="19"/>
  <c r="Z147" i="19"/>
  <c r="D145" i="32" s="1"/>
  <c r="AR147" i="19"/>
  <c r="Z148" i="19"/>
  <c r="D146" i="32" s="1"/>
  <c r="AR148" i="19"/>
  <c r="Z149" i="19"/>
  <c r="D147" i="32" s="1"/>
  <c r="AR149" i="19"/>
  <c r="Z150" i="19"/>
  <c r="D148" i="32" s="1"/>
  <c r="AR150" i="19"/>
  <c r="Z151" i="19"/>
  <c r="D149" i="32" s="1"/>
  <c r="AR151" i="19"/>
  <c r="Z152" i="19"/>
  <c r="D150" i="32" s="1"/>
  <c r="AR152" i="19"/>
  <c r="Z153" i="19"/>
  <c r="D151" i="32" s="1"/>
  <c r="AR153" i="19"/>
  <c r="Z154" i="19"/>
  <c r="D152" i="32" s="1"/>
  <c r="AR154" i="19"/>
  <c r="Z155" i="19"/>
  <c r="D153" i="32" s="1"/>
  <c r="AR155" i="19"/>
  <c r="Z156" i="19"/>
  <c r="D154" i="32" s="1"/>
  <c r="AR156" i="19"/>
  <c r="Z157" i="19"/>
  <c r="D155" i="32" s="1"/>
  <c r="AR157" i="19"/>
  <c r="Z158" i="19"/>
  <c r="D156" i="32" s="1"/>
  <c r="AR158" i="19"/>
  <c r="Z159" i="19"/>
  <c r="D157" i="32" s="1"/>
  <c r="AR159" i="19"/>
  <c r="Z160" i="19"/>
  <c r="D158" i="32" s="1"/>
  <c r="AR160" i="19"/>
  <c r="Z161" i="19"/>
  <c r="D159" i="32" s="1"/>
  <c r="AR161" i="19"/>
  <c r="Z162" i="19"/>
  <c r="D160" i="32" s="1"/>
  <c r="AR162" i="19"/>
  <c r="Z163" i="19"/>
  <c r="D161" i="32" s="1"/>
  <c r="AR163" i="19"/>
  <c r="Z164" i="19"/>
  <c r="D162" i="32" s="1"/>
  <c r="AR164" i="19"/>
  <c r="Z165" i="19"/>
  <c r="D163" i="32" s="1"/>
  <c r="AR165" i="19"/>
  <c r="Z166" i="19"/>
  <c r="D164" i="32" s="1"/>
  <c r="AR166" i="19"/>
  <c r="Z167" i="19"/>
  <c r="D165" i="32" s="1"/>
  <c r="AR167" i="19"/>
  <c r="Z168" i="19"/>
  <c r="D166" i="32" s="1"/>
  <c r="AR168" i="19"/>
  <c r="Z169" i="19"/>
  <c r="D167" i="32" s="1"/>
  <c r="AR169" i="19"/>
  <c r="Z170" i="19"/>
  <c r="D168" i="32" s="1"/>
  <c r="AR170" i="19"/>
  <c r="Z171" i="19"/>
  <c r="D169" i="32" s="1"/>
  <c r="AR171" i="19"/>
  <c r="Z172" i="19"/>
  <c r="D170" i="32" s="1"/>
  <c r="AR172" i="19"/>
  <c r="Z173" i="19"/>
  <c r="D171" i="32" s="1"/>
  <c r="AR173" i="19"/>
  <c r="Z174" i="19"/>
  <c r="D172" i="32" s="1"/>
  <c r="AR174" i="19"/>
  <c r="Z175" i="19"/>
  <c r="D173" i="32" s="1"/>
  <c r="AR175" i="19"/>
  <c r="Z176" i="19"/>
  <c r="D174" i="32" s="1"/>
  <c r="AR176" i="19"/>
  <c r="Z177" i="19"/>
  <c r="D175" i="32" s="1"/>
  <c r="AR177" i="19"/>
  <c r="Z178" i="19"/>
  <c r="D176" i="32" s="1"/>
  <c r="AR178" i="19"/>
  <c r="Z179" i="19"/>
  <c r="D177" i="32" s="1"/>
  <c r="AR179" i="19"/>
  <c r="Z180" i="19"/>
  <c r="D178" i="32" s="1"/>
  <c r="AR180" i="19"/>
  <c r="Z181" i="19"/>
  <c r="D179" i="32" s="1"/>
  <c r="AR181" i="19"/>
  <c r="Z182" i="19"/>
  <c r="D180" i="32" s="1"/>
  <c r="AR182" i="19"/>
  <c r="Z183" i="19"/>
  <c r="D181" i="32" s="1"/>
  <c r="AR183" i="19"/>
  <c r="Z184" i="19"/>
  <c r="D182" i="32" s="1"/>
  <c r="AR184" i="19"/>
  <c r="Z185" i="19"/>
  <c r="D183" i="32" s="1"/>
  <c r="AR185" i="19"/>
  <c r="Z186" i="19"/>
  <c r="D184" i="32" s="1"/>
  <c r="AR186" i="19"/>
  <c r="Z187" i="19"/>
  <c r="D185" i="32" s="1"/>
  <c r="AR187" i="19"/>
  <c r="Z188" i="19"/>
  <c r="D186" i="32" s="1"/>
  <c r="AR188" i="19"/>
  <c r="Z189" i="19"/>
  <c r="D187" i="32" s="1"/>
  <c r="AR189" i="19"/>
  <c r="Z190" i="19"/>
  <c r="D188" i="32" s="1"/>
  <c r="AR190" i="19"/>
  <c r="Z191" i="19"/>
  <c r="D189" i="32" s="1"/>
  <c r="AR191" i="19"/>
  <c r="Z192" i="19"/>
  <c r="D190" i="32" s="1"/>
  <c r="AR192" i="19"/>
  <c r="Z193" i="19"/>
  <c r="D191" i="32" s="1"/>
  <c r="AR193" i="19"/>
  <c r="Z194" i="19"/>
  <c r="D192" i="32" s="1"/>
  <c r="AR194" i="19"/>
  <c r="Z195" i="19"/>
  <c r="D193" i="32" s="1"/>
  <c r="AR195" i="19"/>
  <c r="Z196" i="19"/>
  <c r="D194" i="32" s="1"/>
  <c r="AR196" i="19"/>
  <c r="Z197" i="19"/>
  <c r="D195" i="32" s="1"/>
  <c r="AR197" i="19"/>
  <c r="Z198" i="19"/>
  <c r="D196" i="32" s="1"/>
  <c r="AR198" i="19"/>
  <c r="Z199" i="19"/>
  <c r="D197" i="32" s="1"/>
  <c r="AR199" i="19"/>
  <c r="Z200" i="19"/>
  <c r="D198" i="32" s="1"/>
  <c r="AR200" i="19"/>
  <c r="Z201" i="19"/>
  <c r="D199" i="32" s="1"/>
  <c r="AR201" i="19"/>
  <c r="Z202" i="19"/>
  <c r="D200" i="32" s="1"/>
  <c r="AR202" i="19"/>
  <c r="Z203" i="19"/>
  <c r="D201" i="32" s="1"/>
  <c r="AR203" i="19"/>
  <c r="Z204" i="19"/>
  <c r="D202" i="32" s="1"/>
  <c r="AR204" i="19"/>
  <c r="Z205" i="19"/>
  <c r="D203" i="32" s="1"/>
  <c r="AR205" i="19"/>
  <c r="Z206" i="19"/>
  <c r="D204" i="32" s="1"/>
  <c r="AR206" i="19"/>
  <c r="Z207" i="19"/>
  <c r="D205" i="32" s="1"/>
  <c r="AR207" i="19"/>
  <c r="Z208" i="19"/>
  <c r="D206" i="32" s="1"/>
  <c r="AR208" i="19"/>
  <c r="Z209" i="19"/>
  <c r="D207" i="32" s="1"/>
  <c r="AR209" i="19"/>
  <c r="Z210" i="19"/>
  <c r="D208" i="32" s="1"/>
  <c r="AR210" i="19"/>
  <c r="Z211" i="19"/>
  <c r="D209" i="32" s="1"/>
  <c r="AR211" i="19"/>
  <c r="Z212" i="19"/>
  <c r="D210" i="32" s="1"/>
  <c r="AR212" i="19"/>
  <c r="Z213" i="19"/>
  <c r="D211" i="32" s="1"/>
  <c r="AR213" i="19"/>
  <c r="Z214" i="19"/>
  <c r="D212" i="32" s="1"/>
  <c r="AR214" i="19"/>
  <c r="Z215" i="19"/>
  <c r="D213" i="32" s="1"/>
  <c r="AR215" i="19"/>
  <c r="Z216" i="19"/>
  <c r="D214" i="32" s="1"/>
  <c r="AR216" i="19"/>
  <c r="Z217" i="19"/>
  <c r="D215" i="32" s="1"/>
  <c r="AR217" i="19"/>
  <c r="Z218" i="19"/>
  <c r="D216" i="32" s="1"/>
  <c r="AR218" i="19"/>
  <c r="Z219" i="19"/>
  <c r="D217" i="32" s="1"/>
  <c r="AR219" i="19"/>
  <c r="Z220" i="19"/>
  <c r="D218" i="32" s="1"/>
  <c r="AR220" i="19"/>
  <c r="Z221" i="19"/>
  <c r="D219" i="32" s="1"/>
  <c r="AR221" i="19"/>
  <c r="Z222" i="19"/>
  <c r="D220" i="32" s="1"/>
  <c r="AR222" i="19"/>
  <c r="Z223" i="19"/>
  <c r="D221" i="32" s="1"/>
  <c r="AR223" i="19"/>
  <c r="Z224" i="19"/>
  <c r="D222" i="32" s="1"/>
  <c r="AR224" i="19"/>
  <c r="Z225" i="19"/>
  <c r="D223" i="32" s="1"/>
  <c r="AR225" i="19"/>
  <c r="Z226" i="19"/>
  <c r="D224" i="32" s="1"/>
  <c r="AR226" i="19"/>
  <c r="Z227" i="19"/>
  <c r="D225" i="32" s="1"/>
  <c r="AR227" i="19"/>
  <c r="Z228" i="19"/>
  <c r="D226" i="32" s="1"/>
  <c r="AR228" i="19"/>
  <c r="Z229" i="19"/>
  <c r="D227" i="32" s="1"/>
  <c r="AR229" i="19"/>
  <c r="Z230" i="19"/>
  <c r="D228" i="32" s="1"/>
  <c r="AR230" i="19"/>
  <c r="Z231" i="19"/>
  <c r="D229" i="32" s="1"/>
  <c r="AR231" i="19"/>
  <c r="Z232" i="19"/>
  <c r="D230" i="32" s="1"/>
  <c r="AR232" i="19"/>
  <c r="Z233" i="19"/>
  <c r="D231" i="32" s="1"/>
  <c r="AR233" i="19"/>
  <c r="Z234" i="19"/>
  <c r="D232" i="32" s="1"/>
  <c r="AR234" i="19"/>
  <c r="Z235" i="19"/>
  <c r="D233" i="32" s="1"/>
  <c r="AR235" i="19"/>
  <c r="Z236" i="19"/>
  <c r="D234" i="32" s="1"/>
  <c r="AR236" i="19"/>
  <c r="Z237" i="19"/>
  <c r="D235" i="32" s="1"/>
  <c r="AR237" i="19"/>
  <c r="Z238" i="19"/>
  <c r="D236" i="32" s="1"/>
  <c r="AR238" i="19"/>
  <c r="Z239" i="19"/>
  <c r="D237" i="32" s="1"/>
  <c r="AR239" i="19"/>
  <c r="Z240" i="19"/>
  <c r="D238" i="32" s="1"/>
  <c r="AR240" i="19"/>
  <c r="Z241" i="19"/>
  <c r="D239" i="32" s="1"/>
  <c r="AR241" i="19"/>
  <c r="Z242" i="19"/>
  <c r="D240" i="32" s="1"/>
  <c r="AR242" i="19"/>
  <c r="Z243" i="19"/>
  <c r="D241" i="32" s="1"/>
  <c r="AR243" i="19"/>
  <c r="Z244" i="19"/>
  <c r="D242" i="32" s="1"/>
  <c r="AR244" i="19"/>
  <c r="Z245" i="19"/>
  <c r="D243" i="32" s="1"/>
  <c r="AR245" i="19"/>
  <c r="Z246" i="19"/>
  <c r="D244" i="32" s="1"/>
  <c r="AR246" i="19"/>
  <c r="Z247" i="19"/>
  <c r="D245" i="32" s="1"/>
  <c r="AR247" i="19"/>
  <c r="Z248" i="19"/>
  <c r="D246" i="32" s="1"/>
  <c r="AR248" i="19"/>
  <c r="Z249" i="19"/>
  <c r="D247" i="32" s="1"/>
  <c r="AR249" i="19"/>
  <c r="Z250" i="19"/>
  <c r="D248" i="32" s="1"/>
  <c r="AR250" i="19"/>
  <c r="Z251" i="19"/>
  <c r="D249" i="32" s="1"/>
  <c r="AR251" i="19"/>
  <c r="Z252" i="19"/>
  <c r="D250" i="32" s="1"/>
  <c r="AR252" i="19"/>
  <c r="Z253" i="19"/>
  <c r="D251" i="32" s="1"/>
  <c r="AR253" i="19"/>
  <c r="Z254" i="19"/>
  <c r="D252" i="32" s="1"/>
  <c r="AR254" i="19"/>
  <c r="Z255" i="19"/>
  <c r="D253" i="32" s="1"/>
  <c r="AR255" i="19"/>
  <c r="Z256" i="19"/>
  <c r="D254" i="32" s="1"/>
  <c r="AR256" i="19"/>
  <c r="Z257" i="19"/>
  <c r="D255" i="32" s="1"/>
  <c r="AR257" i="19"/>
  <c r="Z258" i="19"/>
  <c r="D256" i="32" s="1"/>
  <c r="AR258" i="19"/>
  <c r="Z259" i="19"/>
  <c r="D257" i="32" s="1"/>
  <c r="AR259" i="19"/>
  <c r="Z260" i="19"/>
  <c r="D258" i="32" s="1"/>
  <c r="AR260" i="19"/>
  <c r="Z261" i="19"/>
  <c r="D259" i="32" s="1"/>
  <c r="AR261" i="19"/>
  <c r="Z262" i="19"/>
  <c r="D260" i="32" s="1"/>
  <c r="AR262" i="19"/>
  <c r="Z263" i="19"/>
  <c r="D261" i="32" s="1"/>
  <c r="AR263" i="19"/>
  <c r="Z264" i="19"/>
  <c r="D262" i="32" s="1"/>
  <c r="AR264" i="19"/>
  <c r="Z265" i="19"/>
  <c r="D263" i="32" s="1"/>
  <c r="AR265" i="19"/>
  <c r="Z266" i="19"/>
  <c r="D264" i="32" s="1"/>
  <c r="AR266" i="19"/>
  <c r="Z267" i="19"/>
  <c r="D265" i="32" s="1"/>
  <c r="AR267" i="19"/>
  <c r="Z268" i="19"/>
  <c r="D266" i="32" s="1"/>
  <c r="AR268" i="19"/>
  <c r="Z269" i="19"/>
  <c r="D267" i="32" s="1"/>
  <c r="AR269" i="19"/>
  <c r="Z270" i="19"/>
  <c r="D268" i="32" s="1"/>
  <c r="AR270" i="19"/>
  <c r="Z271" i="19"/>
  <c r="D269" i="32" s="1"/>
  <c r="AR271" i="19"/>
  <c r="Z272" i="19"/>
  <c r="D270" i="32" s="1"/>
  <c r="AR272" i="19"/>
  <c r="Z273" i="19"/>
  <c r="D271" i="32" s="1"/>
  <c r="AR273" i="19"/>
  <c r="Z274" i="19"/>
  <c r="D272" i="32" s="1"/>
  <c r="AR274" i="19"/>
  <c r="Z275" i="19"/>
  <c r="D273" i="32" s="1"/>
  <c r="AR275" i="19"/>
  <c r="Z276" i="19"/>
  <c r="D274" i="32" s="1"/>
  <c r="AR276" i="19"/>
  <c r="Z277" i="19"/>
  <c r="D275" i="32" s="1"/>
  <c r="AR277" i="19"/>
  <c r="Z278" i="19"/>
  <c r="D276" i="32" s="1"/>
  <c r="AR278" i="19"/>
  <c r="Z279" i="19"/>
  <c r="D277" i="32" s="1"/>
  <c r="AR279" i="19"/>
  <c r="Z280" i="19"/>
  <c r="D278" i="32" s="1"/>
  <c r="AR280" i="19"/>
  <c r="Z281" i="19"/>
  <c r="D279" i="32" s="1"/>
  <c r="AR281" i="19"/>
  <c r="Z282" i="19"/>
  <c r="D280" i="32" s="1"/>
  <c r="AR282" i="19"/>
  <c r="Z283" i="19"/>
  <c r="D281" i="32" s="1"/>
  <c r="AR283" i="19"/>
  <c r="Z284" i="19"/>
  <c r="D282" i="32" s="1"/>
  <c r="AR284" i="19"/>
  <c r="Z285" i="19"/>
  <c r="D283" i="32" s="1"/>
  <c r="AR285" i="19"/>
  <c r="Z286" i="19"/>
  <c r="D284" i="32" s="1"/>
  <c r="AR286" i="19"/>
  <c r="Z287" i="19"/>
  <c r="D285" i="32" s="1"/>
  <c r="AR287" i="19"/>
  <c r="Z288" i="19"/>
  <c r="D286" i="32" s="1"/>
  <c r="AR288" i="19"/>
  <c r="Z289" i="19"/>
  <c r="D287" i="32" s="1"/>
  <c r="AR289" i="19"/>
  <c r="Z290" i="19"/>
  <c r="D288" i="32" s="1"/>
  <c r="AR290" i="19"/>
  <c r="Z291" i="19"/>
  <c r="D289" i="32" s="1"/>
  <c r="AR291" i="19"/>
  <c r="Z292" i="19"/>
  <c r="D290" i="32" s="1"/>
  <c r="AR292" i="19"/>
  <c r="Z293" i="19"/>
  <c r="D291" i="32" s="1"/>
  <c r="AR293" i="19"/>
  <c r="Z294" i="19"/>
  <c r="D292" i="32" s="1"/>
  <c r="AR294" i="19"/>
  <c r="Z295" i="19"/>
  <c r="D293" i="32" s="1"/>
  <c r="AR295" i="19"/>
  <c r="Z296" i="19"/>
  <c r="D294" i="32" s="1"/>
  <c r="AR296" i="19"/>
  <c r="Z297" i="19"/>
  <c r="D295" i="32" s="1"/>
  <c r="AR297" i="19"/>
  <c r="Z298" i="19"/>
  <c r="D296" i="32" s="1"/>
  <c r="AR298" i="19"/>
  <c r="Z299" i="19"/>
  <c r="D297" i="32" s="1"/>
  <c r="AR299" i="19"/>
  <c r="Z300" i="19"/>
  <c r="D298" i="32" s="1"/>
  <c r="AR300" i="19"/>
  <c r="Z301" i="19"/>
  <c r="D299" i="32" s="1"/>
  <c r="AR301" i="19"/>
  <c r="Z302" i="19"/>
  <c r="D300" i="32" s="1"/>
  <c r="AR302" i="19"/>
  <c r="Z303" i="19"/>
  <c r="D301" i="32" s="1"/>
  <c r="AR303" i="19"/>
  <c r="Z304" i="19"/>
  <c r="D302" i="32" s="1"/>
  <c r="AR304" i="19"/>
  <c r="Z305" i="19"/>
  <c r="D303" i="32" s="1"/>
  <c r="AR305" i="19"/>
  <c r="Z306" i="19"/>
  <c r="D304" i="32" s="1"/>
  <c r="AR306" i="19"/>
  <c r="Z307" i="19"/>
  <c r="D305" i="32" s="1"/>
  <c r="AR307" i="19"/>
  <c r="Z308" i="19"/>
  <c r="D306" i="32" s="1"/>
  <c r="AR308" i="19"/>
  <c r="Z309" i="19"/>
  <c r="D307" i="32" s="1"/>
  <c r="AR309" i="19"/>
  <c r="Z310" i="19"/>
  <c r="D308" i="32" s="1"/>
  <c r="AR310" i="19"/>
  <c r="Z311" i="19"/>
  <c r="D309" i="32" s="1"/>
  <c r="AR311" i="19"/>
  <c r="Z312" i="19"/>
  <c r="D310" i="32" s="1"/>
  <c r="AR312" i="19"/>
  <c r="Z313" i="19"/>
  <c r="D311" i="32" s="1"/>
  <c r="AR313" i="19"/>
  <c r="Z314" i="19"/>
  <c r="D312" i="32" s="1"/>
  <c r="AR314" i="19"/>
  <c r="Z315" i="19"/>
  <c r="D313" i="32" s="1"/>
  <c r="AR315" i="19"/>
  <c r="V8" i="19"/>
  <c r="W8" i="19"/>
  <c r="X8" i="19"/>
  <c r="V9" i="19"/>
  <c r="W9" i="19"/>
  <c r="X9" i="19"/>
  <c r="V10" i="19"/>
  <c r="W10" i="19"/>
  <c r="X10" i="19"/>
  <c r="V11" i="19"/>
  <c r="W11" i="19"/>
  <c r="X11" i="19"/>
  <c r="V12" i="19"/>
  <c r="W12" i="19"/>
  <c r="X12" i="19"/>
  <c r="V13" i="19"/>
  <c r="W13" i="19"/>
  <c r="X13" i="19"/>
  <c r="V14" i="19"/>
  <c r="W14" i="19"/>
  <c r="X14" i="19"/>
  <c r="V15" i="19"/>
  <c r="W15" i="19"/>
  <c r="X15" i="19"/>
  <c r="V16" i="19"/>
  <c r="W16" i="19"/>
  <c r="X16" i="19"/>
  <c r="V17" i="19"/>
  <c r="W17" i="19"/>
  <c r="X17" i="19"/>
  <c r="V18" i="19"/>
  <c r="W18" i="19"/>
  <c r="X18" i="19"/>
  <c r="V19" i="19"/>
  <c r="W19" i="19"/>
  <c r="X19" i="19"/>
  <c r="V20" i="19"/>
  <c r="W20" i="19"/>
  <c r="X20" i="19"/>
  <c r="V21" i="19"/>
  <c r="W21" i="19"/>
  <c r="X21" i="19"/>
  <c r="V22" i="19"/>
  <c r="W22" i="19"/>
  <c r="X22" i="19"/>
  <c r="V23" i="19"/>
  <c r="W23" i="19"/>
  <c r="X23" i="19"/>
  <c r="V24" i="19"/>
  <c r="W24" i="19"/>
  <c r="X24" i="19"/>
  <c r="V25" i="19"/>
  <c r="W25" i="19"/>
  <c r="X25" i="19"/>
  <c r="V26" i="19"/>
  <c r="W26" i="19"/>
  <c r="X26" i="19"/>
  <c r="V27" i="19"/>
  <c r="W27" i="19"/>
  <c r="X27" i="19"/>
  <c r="V28" i="19"/>
  <c r="W28" i="19"/>
  <c r="X28" i="19"/>
  <c r="V29" i="19"/>
  <c r="W29" i="19"/>
  <c r="X29" i="19"/>
  <c r="V30" i="19"/>
  <c r="W30" i="19"/>
  <c r="X30" i="19"/>
  <c r="V31" i="19"/>
  <c r="W31" i="19"/>
  <c r="X31" i="19"/>
  <c r="V32" i="19"/>
  <c r="W32" i="19"/>
  <c r="X32" i="19"/>
  <c r="V33" i="19"/>
  <c r="W33" i="19"/>
  <c r="X33" i="19"/>
  <c r="V34" i="19"/>
  <c r="W34" i="19"/>
  <c r="X34" i="19"/>
  <c r="V35" i="19"/>
  <c r="W35" i="19"/>
  <c r="X35" i="19"/>
  <c r="V36" i="19"/>
  <c r="W36" i="19"/>
  <c r="X36" i="19"/>
  <c r="V37" i="19"/>
  <c r="W37" i="19"/>
  <c r="X37" i="19"/>
  <c r="V38" i="19"/>
  <c r="W38" i="19"/>
  <c r="X38" i="19"/>
  <c r="V39" i="19"/>
  <c r="W39" i="19"/>
  <c r="X39" i="19"/>
  <c r="V40" i="19"/>
  <c r="W40" i="19"/>
  <c r="X40" i="19"/>
  <c r="V41" i="19"/>
  <c r="W41" i="19"/>
  <c r="X41" i="19"/>
  <c r="V42" i="19"/>
  <c r="W42" i="19"/>
  <c r="X42" i="19"/>
  <c r="V43" i="19"/>
  <c r="W43" i="19"/>
  <c r="X43" i="19"/>
  <c r="V44" i="19"/>
  <c r="W44" i="19"/>
  <c r="X44" i="19"/>
  <c r="V45" i="19"/>
  <c r="W45" i="19"/>
  <c r="X45" i="19"/>
  <c r="V46" i="19"/>
  <c r="W46" i="19"/>
  <c r="X46" i="19"/>
  <c r="V47" i="19"/>
  <c r="W47" i="19"/>
  <c r="X47" i="19"/>
  <c r="V48" i="19"/>
  <c r="W48" i="19"/>
  <c r="X48" i="19"/>
  <c r="V49" i="19"/>
  <c r="W49" i="19"/>
  <c r="X49" i="19"/>
  <c r="V50" i="19"/>
  <c r="W50" i="19"/>
  <c r="X50" i="19"/>
  <c r="V51" i="19"/>
  <c r="W51" i="19"/>
  <c r="X51" i="19"/>
  <c r="V52" i="19"/>
  <c r="W52" i="19"/>
  <c r="X52" i="19"/>
  <c r="V53" i="19"/>
  <c r="W53" i="19"/>
  <c r="X53" i="19"/>
  <c r="V54" i="19"/>
  <c r="W54" i="19"/>
  <c r="X54" i="19"/>
  <c r="V55" i="19"/>
  <c r="W55" i="19"/>
  <c r="X55" i="19"/>
  <c r="V56" i="19"/>
  <c r="W56" i="19"/>
  <c r="X56" i="19"/>
  <c r="V57" i="19"/>
  <c r="W57" i="19"/>
  <c r="X57" i="19"/>
  <c r="V58" i="19"/>
  <c r="W58" i="19"/>
  <c r="X58" i="19"/>
  <c r="V59" i="19"/>
  <c r="W59" i="19"/>
  <c r="X59" i="19"/>
  <c r="V60" i="19"/>
  <c r="W60" i="19"/>
  <c r="X60" i="19"/>
  <c r="V61" i="19"/>
  <c r="W61" i="19"/>
  <c r="X61" i="19"/>
  <c r="V62" i="19"/>
  <c r="W62" i="19"/>
  <c r="X62" i="19"/>
  <c r="V63" i="19"/>
  <c r="W63" i="19"/>
  <c r="X63" i="19"/>
  <c r="V64" i="19"/>
  <c r="W64" i="19"/>
  <c r="X64" i="19"/>
  <c r="V65" i="19"/>
  <c r="W65" i="19"/>
  <c r="X65" i="19"/>
  <c r="V66" i="19"/>
  <c r="W66" i="19"/>
  <c r="X66" i="19"/>
  <c r="V67" i="19"/>
  <c r="W67" i="19"/>
  <c r="X67" i="19"/>
  <c r="V68" i="19"/>
  <c r="W68" i="19"/>
  <c r="X68" i="19"/>
  <c r="V69" i="19"/>
  <c r="W69" i="19"/>
  <c r="X69" i="19"/>
  <c r="V70" i="19"/>
  <c r="W70" i="19"/>
  <c r="X70" i="19"/>
  <c r="V71" i="19"/>
  <c r="W71" i="19"/>
  <c r="X71" i="19"/>
  <c r="V72" i="19"/>
  <c r="W72" i="19"/>
  <c r="X72" i="19"/>
  <c r="V73" i="19"/>
  <c r="W73" i="19"/>
  <c r="X73" i="19"/>
  <c r="V74" i="19"/>
  <c r="W74" i="19"/>
  <c r="X74" i="19"/>
  <c r="V75" i="19"/>
  <c r="W75" i="19"/>
  <c r="X75" i="19"/>
  <c r="V76" i="19"/>
  <c r="W76" i="19"/>
  <c r="X76" i="19"/>
  <c r="V77" i="19"/>
  <c r="W77" i="19"/>
  <c r="X77" i="19"/>
  <c r="V78" i="19"/>
  <c r="W78" i="19"/>
  <c r="X78" i="19"/>
  <c r="V79" i="19"/>
  <c r="W79" i="19"/>
  <c r="X79" i="19"/>
  <c r="V80" i="19"/>
  <c r="W80" i="19"/>
  <c r="X80" i="19"/>
  <c r="V81" i="19"/>
  <c r="W81" i="19"/>
  <c r="X81" i="19"/>
  <c r="V82" i="19"/>
  <c r="W82" i="19"/>
  <c r="X82" i="19"/>
  <c r="V83" i="19"/>
  <c r="W83" i="19"/>
  <c r="X83" i="19"/>
  <c r="V84" i="19"/>
  <c r="W84" i="19"/>
  <c r="X84" i="19"/>
  <c r="V85" i="19"/>
  <c r="W85" i="19"/>
  <c r="X85" i="19"/>
  <c r="V86" i="19"/>
  <c r="W86" i="19"/>
  <c r="X86" i="19"/>
  <c r="V87" i="19"/>
  <c r="W87" i="19"/>
  <c r="X87" i="19"/>
  <c r="V88" i="19"/>
  <c r="W88" i="19"/>
  <c r="X88" i="19"/>
  <c r="V89" i="19"/>
  <c r="W89" i="19"/>
  <c r="X89" i="19"/>
  <c r="V90" i="19"/>
  <c r="W90" i="19"/>
  <c r="X90" i="19"/>
  <c r="V91" i="19"/>
  <c r="W91" i="19"/>
  <c r="X91" i="19"/>
  <c r="V92" i="19"/>
  <c r="W92" i="19"/>
  <c r="X92" i="19"/>
  <c r="V93" i="19"/>
  <c r="W93" i="19"/>
  <c r="X93" i="19"/>
  <c r="V94" i="19"/>
  <c r="W94" i="19"/>
  <c r="X94" i="19"/>
  <c r="V95" i="19"/>
  <c r="W95" i="19"/>
  <c r="X95" i="19"/>
  <c r="V96" i="19"/>
  <c r="W96" i="19"/>
  <c r="X96" i="19"/>
  <c r="V97" i="19"/>
  <c r="W97" i="19"/>
  <c r="X97" i="19"/>
  <c r="V98" i="19"/>
  <c r="W98" i="19"/>
  <c r="X98" i="19"/>
  <c r="V99" i="19"/>
  <c r="W99" i="19"/>
  <c r="X99" i="19"/>
  <c r="V100" i="19"/>
  <c r="W100" i="19"/>
  <c r="X100" i="19"/>
  <c r="V101" i="19"/>
  <c r="W101" i="19"/>
  <c r="X101" i="19"/>
  <c r="V102" i="19"/>
  <c r="W102" i="19"/>
  <c r="X102" i="19"/>
  <c r="V103" i="19"/>
  <c r="W103" i="19"/>
  <c r="X103" i="19"/>
  <c r="V104" i="19"/>
  <c r="W104" i="19"/>
  <c r="X104" i="19"/>
  <c r="V105" i="19"/>
  <c r="W105" i="19"/>
  <c r="X105" i="19"/>
  <c r="V106" i="19"/>
  <c r="W106" i="19"/>
  <c r="X106" i="19"/>
  <c r="V107" i="19"/>
  <c r="W107" i="19"/>
  <c r="X107" i="19"/>
  <c r="V108" i="19"/>
  <c r="W108" i="19"/>
  <c r="X108" i="19"/>
  <c r="V109" i="19"/>
  <c r="W109" i="19"/>
  <c r="X109" i="19"/>
  <c r="V110" i="19"/>
  <c r="W110" i="19"/>
  <c r="X110" i="19"/>
  <c r="V111" i="19"/>
  <c r="W111" i="19"/>
  <c r="X111" i="19"/>
  <c r="V112" i="19"/>
  <c r="W112" i="19"/>
  <c r="X112" i="19"/>
  <c r="V113" i="19"/>
  <c r="W113" i="19"/>
  <c r="X113" i="19"/>
  <c r="V114" i="19"/>
  <c r="W114" i="19"/>
  <c r="X114" i="19"/>
  <c r="V115" i="19"/>
  <c r="W115" i="19"/>
  <c r="X115" i="19"/>
  <c r="V116" i="19"/>
  <c r="W116" i="19"/>
  <c r="X116" i="19"/>
  <c r="V117" i="19"/>
  <c r="W117" i="19"/>
  <c r="X117" i="19"/>
  <c r="V118" i="19"/>
  <c r="W118" i="19"/>
  <c r="X118" i="19"/>
  <c r="V119" i="19"/>
  <c r="W119" i="19"/>
  <c r="X119" i="19"/>
  <c r="V120" i="19"/>
  <c r="W120" i="19"/>
  <c r="X120" i="19"/>
  <c r="V121" i="19"/>
  <c r="W121" i="19"/>
  <c r="X121" i="19"/>
  <c r="V122" i="19"/>
  <c r="W122" i="19"/>
  <c r="X122" i="19"/>
  <c r="V123" i="19"/>
  <c r="W123" i="19"/>
  <c r="X123" i="19"/>
  <c r="V124" i="19"/>
  <c r="W124" i="19"/>
  <c r="X124" i="19"/>
  <c r="V125" i="19"/>
  <c r="W125" i="19"/>
  <c r="X125" i="19"/>
  <c r="V126" i="19"/>
  <c r="W126" i="19"/>
  <c r="X126" i="19"/>
  <c r="V127" i="19"/>
  <c r="W127" i="19"/>
  <c r="X127" i="19"/>
  <c r="V128" i="19"/>
  <c r="W128" i="19"/>
  <c r="X128" i="19"/>
  <c r="V129" i="19"/>
  <c r="W129" i="19"/>
  <c r="X129" i="19"/>
  <c r="V130" i="19"/>
  <c r="W130" i="19"/>
  <c r="X130" i="19"/>
  <c r="V131" i="19"/>
  <c r="W131" i="19"/>
  <c r="X131" i="19"/>
  <c r="V132" i="19"/>
  <c r="W132" i="19"/>
  <c r="X132" i="19"/>
  <c r="V133" i="19"/>
  <c r="W133" i="19"/>
  <c r="X133" i="19"/>
  <c r="V134" i="19"/>
  <c r="W134" i="19"/>
  <c r="X134" i="19"/>
  <c r="V135" i="19"/>
  <c r="W135" i="19"/>
  <c r="X135" i="19"/>
  <c r="V136" i="19"/>
  <c r="W136" i="19"/>
  <c r="X136" i="19"/>
  <c r="V137" i="19"/>
  <c r="W137" i="19"/>
  <c r="X137" i="19"/>
  <c r="V138" i="19"/>
  <c r="W138" i="19"/>
  <c r="X138" i="19"/>
  <c r="V139" i="19"/>
  <c r="W139" i="19"/>
  <c r="X139" i="19"/>
  <c r="V140" i="19"/>
  <c r="W140" i="19"/>
  <c r="X140" i="19"/>
  <c r="V141" i="19"/>
  <c r="W141" i="19"/>
  <c r="X141" i="19"/>
  <c r="V142" i="19"/>
  <c r="W142" i="19"/>
  <c r="X142" i="19"/>
  <c r="V143" i="19"/>
  <c r="W143" i="19"/>
  <c r="X143" i="19"/>
  <c r="V144" i="19"/>
  <c r="W144" i="19"/>
  <c r="X144" i="19"/>
  <c r="V145" i="19"/>
  <c r="W145" i="19"/>
  <c r="X145" i="19"/>
  <c r="V146" i="19"/>
  <c r="W146" i="19"/>
  <c r="X146" i="19"/>
  <c r="V147" i="19"/>
  <c r="W147" i="19"/>
  <c r="X147" i="19"/>
  <c r="V148" i="19"/>
  <c r="W148" i="19"/>
  <c r="X148" i="19"/>
  <c r="V149" i="19"/>
  <c r="W149" i="19"/>
  <c r="X149" i="19"/>
  <c r="V150" i="19"/>
  <c r="W150" i="19"/>
  <c r="X150" i="19"/>
  <c r="V151" i="19"/>
  <c r="W151" i="19"/>
  <c r="X151" i="19"/>
  <c r="V152" i="19"/>
  <c r="W152" i="19"/>
  <c r="X152" i="19"/>
  <c r="V153" i="19"/>
  <c r="W153" i="19"/>
  <c r="X153" i="19"/>
  <c r="V154" i="19"/>
  <c r="W154" i="19"/>
  <c r="X154" i="19"/>
  <c r="V155" i="19"/>
  <c r="W155" i="19"/>
  <c r="X155" i="19"/>
  <c r="V156" i="19"/>
  <c r="W156" i="19"/>
  <c r="X156" i="19"/>
  <c r="V157" i="19"/>
  <c r="W157" i="19"/>
  <c r="X157" i="19"/>
  <c r="V158" i="19"/>
  <c r="W158" i="19"/>
  <c r="X158" i="19"/>
  <c r="V159" i="19"/>
  <c r="W159" i="19"/>
  <c r="X159" i="19"/>
  <c r="V160" i="19"/>
  <c r="W160" i="19"/>
  <c r="X160" i="19"/>
  <c r="V161" i="19"/>
  <c r="W161" i="19"/>
  <c r="X161" i="19"/>
  <c r="V162" i="19"/>
  <c r="W162" i="19"/>
  <c r="X162" i="19"/>
  <c r="V163" i="19"/>
  <c r="W163" i="19"/>
  <c r="X163" i="19"/>
  <c r="V164" i="19"/>
  <c r="W164" i="19"/>
  <c r="X164" i="19"/>
  <c r="V165" i="19"/>
  <c r="W165" i="19"/>
  <c r="X165" i="19"/>
  <c r="V166" i="19"/>
  <c r="W166" i="19"/>
  <c r="X166" i="19"/>
  <c r="V167" i="19"/>
  <c r="W167" i="19"/>
  <c r="X167" i="19"/>
  <c r="V168" i="19"/>
  <c r="W168" i="19"/>
  <c r="X168" i="19"/>
  <c r="V169" i="19"/>
  <c r="W169" i="19"/>
  <c r="X169" i="19"/>
  <c r="V170" i="19"/>
  <c r="W170" i="19"/>
  <c r="X170" i="19"/>
  <c r="V171" i="19"/>
  <c r="W171" i="19"/>
  <c r="X171" i="19"/>
  <c r="V172" i="19"/>
  <c r="W172" i="19"/>
  <c r="X172" i="19"/>
  <c r="V173" i="19"/>
  <c r="W173" i="19"/>
  <c r="X173" i="19"/>
  <c r="V174" i="19"/>
  <c r="W174" i="19"/>
  <c r="X174" i="19"/>
  <c r="V175" i="19"/>
  <c r="W175" i="19"/>
  <c r="X175" i="19"/>
  <c r="V176" i="19"/>
  <c r="W176" i="19"/>
  <c r="X176" i="19"/>
  <c r="V177" i="19"/>
  <c r="W177" i="19"/>
  <c r="X177" i="19"/>
  <c r="V178" i="19"/>
  <c r="W178" i="19"/>
  <c r="X178" i="19"/>
  <c r="V179" i="19"/>
  <c r="W179" i="19"/>
  <c r="X179" i="19"/>
  <c r="V180" i="19"/>
  <c r="W180" i="19"/>
  <c r="X180" i="19"/>
  <c r="V181" i="19"/>
  <c r="W181" i="19"/>
  <c r="X181" i="19"/>
  <c r="V182" i="19"/>
  <c r="W182" i="19"/>
  <c r="X182" i="19"/>
  <c r="V183" i="19"/>
  <c r="W183" i="19"/>
  <c r="X183" i="19"/>
  <c r="V184" i="19"/>
  <c r="W184" i="19"/>
  <c r="X184" i="19"/>
  <c r="V185" i="19"/>
  <c r="W185" i="19"/>
  <c r="X185" i="19"/>
  <c r="V186" i="19"/>
  <c r="W186" i="19"/>
  <c r="X186" i="19"/>
  <c r="V187" i="19"/>
  <c r="W187" i="19"/>
  <c r="X187" i="19"/>
  <c r="V188" i="19"/>
  <c r="W188" i="19"/>
  <c r="X188" i="19"/>
  <c r="V189" i="19"/>
  <c r="W189" i="19"/>
  <c r="X189" i="19"/>
  <c r="V190" i="19"/>
  <c r="W190" i="19"/>
  <c r="X190" i="19"/>
  <c r="V191" i="19"/>
  <c r="W191" i="19"/>
  <c r="X191" i="19"/>
  <c r="V192" i="19"/>
  <c r="W192" i="19"/>
  <c r="X192" i="19"/>
  <c r="V193" i="19"/>
  <c r="W193" i="19"/>
  <c r="X193" i="19"/>
  <c r="V194" i="19"/>
  <c r="W194" i="19"/>
  <c r="X194" i="19"/>
  <c r="V195" i="19"/>
  <c r="W195" i="19"/>
  <c r="X195" i="19"/>
  <c r="V196" i="19"/>
  <c r="W196" i="19"/>
  <c r="X196" i="19"/>
  <c r="V197" i="19"/>
  <c r="W197" i="19"/>
  <c r="X197" i="19"/>
  <c r="V198" i="19"/>
  <c r="W198" i="19"/>
  <c r="X198" i="19"/>
  <c r="V199" i="19"/>
  <c r="W199" i="19"/>
  <c r="X199" i="19"/>
  <c r="V200" i="19"/>
  <c r="W200" i="19"/>
  <c r="X200" i="19"/>
  <c r="V201" i="19"/>
  <c r="W201" i="19"/>
  <c r="X201" i="19"/>
  <c r="V202" i="19"/>
  <c r="W202" i="19"/>
  <c r="X202" i="19"/>
  <c r="V203" i="19"/>
  <c r="W203" i="19"/>
  <c r="X203" i="19"/>
  <c r="V204" i="19"/>
  <c r="W204" i="19"/>
  <c r="X204" i="19"/>
  <c r="V205" i="19"/>
  <c r="W205" i="19"/>
  <c r="X205" i="19"/>
  <c r="V206" i="19"/>
  <c r="W206" i="19"/>
  <c r="X206" i="19"/>
  <c r="V207" i="19"/>
  <c r="W207" i="19"/>
  <c r="X207" i="19"/>
  <c r="V208" i="19"/>
  <c r="W208" i="19"/>
  <c r="X208" i="19"/>
  <c r="V209" i="19"/>
  <c r="W209" i="19"/>
  <c r="X209" i="19"/>
  <c r="V210" i="19"/>
  <c r="W210" i="19"/>
  <c r="X210" i="19"/>
  <c r="V211" i="19"/>
  <c r="W211" i="19"/>
  <c r="X211" i="19"/>
  <c r="V212" i="19"/>
  <c r="W212" i="19"/>
  <c r="X212" i="19"/>
  <c r="V213" i="19"/>
  <c r="W213" i="19"/>
  <c r="X213" i="19"/>
  <c r="V214" i="19"/>
  <c r="W214" i="19"/>
  <c r="X214" i="19"/>
  <c r="V215" i="19"/>
  <c r="W215" i="19"/>
  <c r="X215" i="19"/>
  <c r="V216" i="19"/>
  <c r="W216" i="19"/>
  <c r="X216" i="19"/>
  <c r="V217" i="19"/>
  <c r="W217" i="19"/>
  <c r="X217" i="19"/>
  <c r="V218" i="19"/>
  <c r="W218" i="19"/>
  <c r="X218" i="19"/>
  <c r="V219" i="19"/>
  <c r="W219" i="19"/>
  <c r="X219" i="19"/>
  <c r="V220" i="19"/>
  <c r="W220" i="19"/>
  <c r="X220" i="19"/>
  <c r="V221" i="19"/>
  <c r="W221" i="19"/>
  <c r="X221" i="19"/>
  <c r="V222" i="19"/>
  <c r="W222" i="19"/>
  <c r="X222" i="19"/>
  <c r="V223" i="19"/>
  <c r="W223" i="19"/>
  <c r="X223" i="19"/>
  <c r="V224" i="19"/>
  <c r="W224" i="19"/>
  <c r="X224" i="19"/>
  <c r="V225" i="19"/>
  <c r="W225" i="19"/>
  <c r="X225" i="19"/>
  <c r="V226" i="19"/>
  <c r="W226" i="19"/>
  <c r="X226" i="19"/>
  <c r="V227" i="19"/>
  <c r="W227" i="19"/>
  <c r="X227" i="19"/>
  <c r="V228" i="19"/>
  <c r="W228" i="19"/>
  <c r="X228" i="19"/>
  <c r="V229" i="19"/>
  <c r="W229" i="19"/>
  <c r="X229" i="19"/>
  <c r="V230" i="19"/>
  <c r="W230" i="19"/>
  <c r="X230" i="19"/>
  <c r="V231" i="19"/>
  <c r="W231" i="19"/>
  <c r="X231" i="19"/>
  <c r="V232" i="19"/>
  <c r="W232" i="19"/>
  <c r="X232" i="19"/>
  <c r="V233" i="19"/>
  <c r="W233" i="19"/>
  <c r="X233" i="19"/>
  <c r="V234" i="19"/>
  <c r="W234" i="19"/>
  <c r="X234" i="19"/>
  <c r="V235" i="19"/>
  <c r="W235" i="19"/>
  <c r="X235" i="19"/>
  <c r="V236" i="19"/>
  <c r="W236" i="19"/>
  <c r="X236" i="19"/>
  <c r="V237" i="19"/>
  <c r="W237" i="19"/>
  <c r="X237" i="19"/>
  <c r="V238" i="19"/>
  <c r="W238" i="19"/>
  <c r="X238" i="19"/>
  <c r="V239" i="19"/>
  <c r="W239" i="19"/>
  <c r="X239" i="19"/>
  <c r="V240" i="19"/>
  <c r="W240" i="19"/>
  <c r="X240" i="19"/>
  <c r="V241" i="19"/>
  <c r="W241" i="19"/>
  <c r="X241" i="19"/>
  <c r="V242" i="19"/>
  <c r="W242" i="19"/>
  <c r="X242" i="19"/>
  <c r="V243" i="19"/>
  <c r="W243" i="19"/>
  <c r="X243" i="19"/>
  <c r="V244" i="19"/>
  <c r="W244" i="19"/>
  <c r="X244" i="19"/>
  <c r="V245" i="19"/>
  <c r="W245" i="19"/>
  <c r="X245" i="19"/>
  <c r="V246" i="19"/>
  <c r="W246" i="19"/>
  <c r="X246" i="19"/>
  <c r="V247" i="19"/>
  <c r="W247" i="19"/>
  <c r="X247" i="19"/>
  <c r="V248" i="19"/>
  <c r="W248" i="19"/>
  <c r="X248" i="19"/>
  <c r="V249" i="19"/>
  <c r="W249" i="19"/>
  <c r="X249" i="19"/>
  <c r="V250" i="19"/>
  <c r="W250" i="19"/>
  <c r="X250" i="19"/>
  <c r="V251" i="19"/>
  <c r="W251" i="19"/>
  <c r="X251" i="19"/>
  <c r="V252" i="19"/>
  <c r="W252" i="19"/>
  <c r="X252" i="19"/>
  <c r="V253" i="19"/>
  <c r="W253" i="19"/>
  <c r="X253" i="19"/>
  <c r="V254" i="19"/>
  <c r="W254" i="19"/>
  <c r="X254" i="19"/>
  <c r="V255" i="19"/>
  <c r="W255" i="19"/>
  <c r="X255" i="19"/>
  <c r="V256" i="19"/>
  <c r="W256" i="19"/>
  <c r="X256" i="19"/>
  <c r="V257" i="19"/>
  <c r="W257" i="19"/>
  <c r="X257" i="19"/>
  <c r="V258" i="19"/>
  <c r="W258" i="19"/>
  <c r="X258" i="19"/>
  <c r="V259" i="19"/>
  <c r="W259" i="19"/>
  <c r="X259" i="19"/>
  <c r="V260" i="19"/>
  <c r="W260" i="19"/>
  <c r="X260" i="19"/>
  <c r="V261" i="19"/>
  <c r="W261" i="19"/>
  <c r="X261" i="19"/>
  <c r="V262" i="19"/>
  <c r="W262" i="19"/>
  <c r="X262" i="19"/>
  <c r="V263" i="19"/>
  <c r="W263" i="19"/>
  <c r="X263" i="19"/>
  <c r="V264" i="19"/>
  <c r="W264" i="19"/>
  <c r="X264" i="19"/>
  <c r="V265" i="19"/>
  <c r="W265" i="19"/>
  <c r="X265" i="19"/>
  <c r="V266" i="19"/>
  <c r="W266" i="19"/>
  <c r="X266" i="19"/>
  <c r="V267" i="19"/>
  <c r="W267" i="19"/>
  <c r="X267" i="19"/>
  <c r="V268" i="19"/>
  <c r="W268" i="19"/>
  <c r="X268" i="19"/>
  <c r="V269" i="19"/>
  <c r="W269" i="19"/>
  <c r="X269" i="19"/>
  <c r="V270" i="19"/>
  <c r="W270" i="19"/>
  <c r="X270" i="19"/>
  <c r="V271" i="19"/>
  <c r="W271" i="19"/>
  <c r="X271" i="19"/>
  <c r="V272" i="19"/>
  <c r="W272" i="19"/>
  <c r="X272" i="19"/>
  <c r="V273" i="19"/>
  <c r="W273" i="19"/>
  <c r="X273" i="19"/>
  <c r="V274" i="19"/>
  <c r="W274" i="19"/>
  <c r="X274" i="19"/>
  <c r="V275" i="19"/>
  <c r="W275" i="19"/>
  <c r="X275" i="19"/>
  <c r="V276" i="19"/>
  <c r="W276" i="19"/>
  <c r="X276" i="19"/>
  <c r="V277" i="19"/>
  <c r="W277" i="19"/>
  <c r="X277" i="19"/>
  <c r="V278" i="19"/>
  <c r="W278" i="19"/>
  <c r="X278" i="19"/>
  <c r="V279" i="19"/>
  <c r="W279" i="19"/>
  <c r="X279" i="19"/>
  <c r="V280" i="19"/>
  <c r="W280" i="19"/>
  <c r="X280" i="19"/>
  <c r="V281" i="19"/>
  <c r="W281" i="19"/>
  <c r="X281" i="19"/>
  <c r="V282" i="19"/>
  <c r="W282" i="19"/>
  <c r="X282" i="19"/>
  <c r="V283" i="19"/>
  <c r="W283" i="19"/>
  <c r="X283" i="19"/>
  <c r="V284" i="19"/>
  <c r="W284" i="19"/>
  <c r="X284" i="19"/>
  <c r="V285" i="19"/>
  <c r="W285" i="19"/>
  <c r="X285" i="19"/>
  <c r="V286" i="19"/>
  <c r="W286" i="19"/>
  <c r="X286" i="19"/>
  <c r="V287" i="19"/>
  <c r="W287" i="19"/>
  <c r="X287" i="19"/>
  <c r="V288" i="19"/>
  <c r="W288" i="19"/>
  <c r="X288" i="19"/>
  <c r="V289" i="19"/>
  <c r="W289" i="19"/>
  <c r="X289" i="19"/>
  <c r="V290" i="19"/>
  <c r="W290" i="19"/>
  <c r="X290" i="19"/>
  <c r="V291" i="19"/>
  <c r="W291" i="19"/>
  <c r="X291" i="19"/>
  <c r="V292" i="19"/>
  <c r="W292" i="19"/>
  <c r="X292" i="19"/>
  <c r="V293" i="19"/>
  <c r="W293" i="19"/>
  <c r="X293" i="19"/>
  <c r="V294" i="19"/>
  <c r="W294" i="19"/>
  <c r="X294" i="19"/>
  <c r="V295" i="19"/>
  <c r="W295" i="19"/>
  <c r="X295" i="19"/>
  <c r="V296" i="19"/>
  <c r="W296" i="19"/>
  <c r="X296" i="19"/>
  <c r="V297" i="19"/>
  <c r="W297" i="19"/>
  <c r="X297" i="19"/>
  <c r="V298" i="19"/>
  <c r="W298" i="19"/>
  <c r="X298" i="19"/>
  <c r="V299" i="19"/>
  <c r="W299" i="19"/>
  <c r="X299" i="19"/>
  <c r="V300" i="19"/>
  <c r="W300" i="19"/>
  <c r="X300" i="19"/>
  <c r="V301" i="19"/>
  <c r="W301" i="19"/>
  <c r="X301" i="19"/>
  <c r="V302" i="19"/>
  <c r="W302" i="19"/>
  <c r="X302" i="19"/>
  <c r="V303" i="19"/>
  <c r="W303" i="19"/>
  <c r="X303" i="19"/>
  <c r="V304" i="19"/>
  <c r="W304" i="19"/>
  <c r="X304" i="19"/>
  <c r="V305" i="19"/>
  <c r="W305" i="19"/>
  <c r="X305" i="19"/>
  <c r="V306" i="19"/>
  <c r="W306" i="19"/>
  <c r="X306" i="19"/>
  <c r="V307" i="19"/>
  <c r="W307" i="19"/>
  <c r="X307" i="19"/>
  <c r="V308" i="19"/>
  <c r="W308" i="19"/>
  <c r="X308" i="19"/>
  <c r="V309" i="19"/>
  <c r="W309" i="19"/>
  <c r="X309" i="19"/>
  <c r="V310" i="19"/>
  <c r="W310" i="19"/>
  <c r="X310" i="19"/>
  <c r="V311" i="19"/>
  <c r="W311" i="19"/>
  <c r="X311" i="19"/>
  <c r="V312" i="19"/>
  <c r="W312" i="19"/>
  <c r="X312" i="19"/>
  <c r="V313" i="19"/>
  <c r="W313" i="19"/>
  <c r="X313" i="19"/>
  <c r="V314" i="19"/>
  <c r="W314" i="19"/>
  <c r="X314" i="19"/>
  <c r="V315" i="19"/>
  <c r="W315" i="19"/>
  <c r="X315" i="19"/>
  <c r="C7" i="25"/>
  <c r="C8" i="25"/>
  <c r="C9" i="25"/>
  <c r="C10" i="25"/>
  <c r="C11" i="25"/>
  <c r="C12" i="25"/>
  <c r="C13" i="25"/>
  <c r="C14" i="25"/>
  <c r="C15" i="25"/>
  <c r="C16" i="25"/>
  <c r="C17" i="25"/>
  <c r="C18" i="25"/>
  <c r="C19" i="25"/>
  <c r="C20" i="25"/>
  <c r="C21" i="25"/>
  <c r="C22" i="25"/>
  <c r="C23" i="25"/>
  <c r="C24" i="25"/>
  <c r="C25" i="25"/>
  <c r="C26" i="25"/>
  <c r="C27" i="25"/>
  <c r="C28" i="25"/>
  <c r="C29" i="25"/>
  <c r="C30" i="25"/>
  <c r="C31" i="25"/>
  <c r="C32" i="25"/>
  <c r="C33" i="25"/>
  <c r="C34" i="25"/>
  <c r="C35" i="25"/>
  <c r="C36" i="25"/>
  <c r="C37" i="25"/>
  <c r="C38" i="25"/>
  <c r="C39" i="25"/>
  <c r="C40" i="25"/>
  <c r="C41" i="25"/>
  <c r="C42" i="25"/>
  <c r="C43" i="25"/>
  <c r="C44" i="25"/>
  <c r="C45" i="25"/>
  <c r="C46" i="25"/>
  <c r="C47" i="25"/>
  <c r="C48" i="25"/>
  <c r="C49" i="25"/>
  <c r="C50" i="25"/>
  <c r="C51" i="25"/>
  <c r="C52" i="25"/>
  <c r="C53" i="25"/>
  <c r="C54" i="25"/>
  <c r="C55" i="25"/>
  <c r="C56" i="25"/>
  <c r="C57" i="25"/>
  <c r="C58" i="25"/>
  <c r="C59" i="25"/>
  <c r="C60" i="25"/>
  <c r="C61" i="25"/>
  <c r="C62" i="25"/>
  <c r="C63" i="25"/>
  <c r="C64" i="25"/>
  <c r="C65" i="25"/>
  <c r="C66" i="25"/>
  <c r="C67" i="25"/>
  <c r="C68" i="25"/>
  <c r="C69" i="25"/>
  <c r="C70" i="25"/>
  <c r="C71" i="25"/>
  <c r="C72" i="25"/>
  <c r="C73" i="25"/>
  <c r="C74" i="25"/>
  <c r="C75" i="25"/>
  <c r="C76" i="25"/>
  <c r="C77" i="25"/>
  <c r="C78" i="25"/>
  <c r="C79" i="25"/>
  <c r="C80" i="25"/>
  <c r="C81" i="25"/>
  <c r="C82" i="25"/>
  <c r="C83" i="25"/>
  <c r="C84" i="25"/>
  <c r="C85" i="25"/>
  <c r="C86" i="25"/>
  <c r="C87" i="25"/>
  <c r="C88" i="25"/>
  <c r="C89" i="25"/>
  <c r="C90" i="25"/>
  <c r="C91" i="25"/>
  <c r="C92" i="25"/>
  <c r="C93" i="25"/>
  <c r="C94" i="25"/>
  <c r="C95" i="25"/>
  <c r="C96" i="25"/>
  <c r="C97" i="25"/>
  <c r="C98" i="25"/>
  <c r="C99" i="25"/>
  <c r="C100" i="25"/>
  <c r="C101" i="25"/>
  <c r="C102" i="25"/>
  <c r="C103" i="25"/>
  <c r="C104" i="25"/>
  <c r="C105" i="25"/>
  <c r="C106" i="25"/>
  <c r="C107" i="25"/>
  <c r="C108" i="25"/>
  <c r="C109" i="25"/>
  <c r="C110" i="25"/>
  <c r="C111" i="25"/>
  <c r="C112" i="25"/>
  <c r="C113" i="25"/>
  <c r="C114" i="25"/>
  <c r="C115" i="25"/>
  <c r="C116" i="25"/>
  <c r="C117" i="25"/>
  <c r="C118" i="25"/>
  <c r="C119" i="25"/>
  <c r="C120" i="25"/>
  <c r="C121" i="25"/>
  <c r="C122" i="25"/>
  <c r="C123" i="25"/>
  <c r="C124" i="25"/>
  <c r="C125" i="25"/>
  <c r="C126" i="25"/>
  <c r="C127" i="25"/>
  <c r="C128" i="25"/>
  <c r="C129" i="25"/>
  <c r="C130" i="25"/>
  <c r="C131" i="25"/>
  <c r="C132" i="25"/>
  <c r="C133" i="25"/>
  <c r="C134" i="25"/>
  <c r="C135" i="25"/>
  <c r="C136" i="25"/>
  <c r="C137" i="25"/>
  <c r="C138" i="25"/>
  <c r="C139" i="25"/>
  <c r="C140" i="25"/>
  <c r="C141" i="25"/>
  <c r="C142" i="25"/>
  <c r="C143" i="25"/>
  <c r="C144" i="25"/>
  <c r="C145" i="25"/>
  <c r="C146" i="25"/>
  <c r="C147" i="25"/>
  <c r="C148" i="25"/>
  <c r="C149" i="25"/>
  <c r="C150" i="25"/>
  <c r="C151" i="25"/>
  <c r="C152" i="25"/>
  <c r="C153" i="25"/>
  <c r="C154" i="25"/>
  <c r="C155" i="25"/>
  <c r="C156" i="25"/>
  <c r="C157" i="25"/>
  <c r="C158" i="25"/>
  <c r="C159" i="25"/>
  <c r="C160" i="25"/>
  <c r="C161" i="25"/>
  <c r="C162" i="25"/>
  <c r="C163" i="25"/>
  <c r="C164" i="25"/>
  <c r="C165" i="25"/>
  <c r="C166" i="25"/>
  <c r="C167" i="25"/>
  <c r="C168" i="25"/>
  <c r="C169" i="25"/>
  <c r="C170" i="25"/>
  <c r="C171" i="25"/>
  <c r="C172" i="25"/>
  <c r="C173" i="25"/>
  <c r="C174" i="25"/>
  <c r="C175" i="25"/>
  <c r="C176" i="25"/>
  <c r="C177" i="25"/>
  <c r="C178" i="25"/>
  <c r="C179" i="25"/>
  <c r="C180" i="25"/>
  <c r="C181" i="25"/>
  <c r="C182" i="25"/>
  <c r="C183" i="25"/>
  <c r="C184" i="25"/>
  <c r="C185" i="25"/>
  <c r="C186" i="25"/>
  <c r="C187" i="25"/>
  <c r="C188" i="25"/>
  <c r="C189" i="25"/>
  <c r="C190" i="25"/>
  <c r="C191" i="25"/>
  <c r="C192" i="25"/>
  <c r="C193" i="25"/>
  <c r="C194" i="25"/>
  <c r="C195" i="25"/>
  <c r="C196" i="25"/>
  <c r="C197" i="25"/>
  <c r="C198" i="25"/>
  <c r="C199" i="25"/>
  <c r="C200" i="25"/>
  <c r="C201" i="25"/>
  <c r="C202" i="25"/>
  <c r="C203" i="25"/>
  <c r="C204" i="25"/>
  <c r="C205" i="25"/>
  <c r="C206" i="25"/>
  <c r="C207" i="25"/>
  <c r="C208" i="25"/>
  <c r="C209" i="25"/>
  <c r="C210" i="25"/>
  <c r="C211" i="25"/>
  <c r="C212" i="25"/>
  <c r="C213" i="25"/>
  <c r="C214" i="25"/>
  <c r="C215" i="25"/>
  <c r="C216" i="25"/>
  <c r="C217" i="25"/>
  <c r="C218" i="25"/>
  <c r="C219" i="25"/>
  <c r="C220" i="25"/>
  <c r="C221" i="25"/>
  <c r="C222" i="25"/>
  <c r="C223" i="25"/>
  <c r="C224" i="25"/>
  <c r="C225" i="25"/>
  <c r="C226" i="25"/>
  <c r="C227" i="25"/>
  <c r="C228" i="25"/>
  <c r="C229" i="25"/>
  <c r="C230" i="25"/>
  <c r="C231" i="25"/>
  <c r="C232" i="25"/>
  <c r="C233" i="25"/>
  <c r="C234" i="25"/>
  <c r="C235" i="25"/>
  <c r="C236" i="25"/>
  <c r="C237" i="25"/>
  <c r="C238" i="25"/>
  <c r="C239" i="25"/>
  <c r="C240" i="25"/>
  <c r="C241" i="25"/>
  <c r="C242" i="25"/>
  <c r="C243" i="25"/>
  <c r="C244" i="25"/>
  <c r="C245" i="25"/>
  <c r="C246" i="25"/>
  <c r="C247" i="25"/>
  <c r="C248" i="25"/>
  <c r="C249" i="25"/>
  <c r="C250" i="25"/>
  <c r="C251" i="25"/>
  <c r="C252" i="25"/>
  <c r="C253" i="25"/>
  <c r="C254" i="25"/>
  <c r="C255" i="25"/>
  <c r="C256" i="25"/>
  <c r="C257" i="25"/>
  <c r="C258" i="25"/>
  <c r="C259" i="25"/>
  <c r="C260" i="25"/>
  <c r="C261" i="25"/>
  <c r="C262" i="25"/>
  <c r="C263" i="25"/>
  <c r="C264" i="25"/>
  <c r="C265" i="25"/>
  <c r="C266" i="25"/>
  <c r="C267" i="25"/>
  <c r="C268" i="25"/>
  <c r="C269" i="25"/>
  <c r="C270" i="25"/>
  <c r="C271" i="25"/>
  <c r="C272" i="25"/>
  <c r="C273" i="25"/>
  <c r="C274" i="25"/>
  <c r="C275" i="25"/>
  <c r="C276" i="25"/>
  <c r="C277" i="25"/>
  <c r="C278" i="25"/>
  <c r="C279" i="25"/>
  <c r="C280" i="25"/>
  <c r="C281" i="25"/>
  <c r="C282" i="25"/>
  <c r="C283" i="25"/>
  <c r="C284" i="25"/>
  <c r="C285" i="25"/>
  <c r="C286" i="25"/>
  <c r="C287" i="25"/>
  <c r="C288" i="25"/>
  <c r="C289" i="25"/>
  <c r="C290" i="25"/>
  <c r="C291" i="25"/>
  <c r="C292" i="25"/>
  <c r="C293" i="25"/>
  <c r="C294" i="25"/>
  <c r="C295" i="25"/>
  <c r="C296" i="25"/>
  <c r="C297" i="25"/>
  <c r="C298" i="25"/>
  <c r="C299" i="25"/>
  <c r="C300" i="25"/>
  <c r="C301" i="25"/>
  <c r="C302" i="25"/>
  <c r="C303" i="25"/>
  <c r="C304" i="25"/>
  <c r="C305" i="25"/>
  <c r="C306" i="25"/>
  <c r="C307" i="25"/>
  <c r="C308" i="25"/>
  <c r="C309" i="25"/>
  <c r="C310" i="25"/>
  <c r="C311" i="25"/>
  <c r="C312" i="25"/>
  <c r="C313" i="25"/>
  <c r="C314" i="25"/>
  <c r="H8" i="19"/>
  <c r="I8" i="19"/>
  <c r="K8" i="19"/>
  <c r="L8" i="19"/>
  <c r="M8" i="19"/>
  <c r="N8" i="19"/>
  <c r="P8" i="19"/>
  <c r="Q8" i="19"/>
  <c r="H9" i="19"/>
  <c r="I9" i="19"/>
  <c r="K9" i="19"/>
  <c r="L9" i="19"/>
  <c r="M9" i="19"/>
  <c r="N9" i="19"/>
  <c r="P9" i="19"/>
  <c r="Q9" i="19"/>
  <c r="H10" i="19"/>
  <c r="I10" i="19"/>
  <c r="K10" i="19"/>
  <c r="L10" i="19"/>
  <c r="M10" i="19"/>
  <c r="N10" i="19"/>
  <c r="P10" i="19"/>
  <c r="Q10" i="19"/>
  <c r="H11" i="19"/>
  <c r="I11" i="19"/>
  <c r="K11" i="19"/>
  <c r="L11" i="19"/>
  <c r="M11" i="19"/>
  <c r="N11" i="19"/>
  <c r="P11" i="19"/>
  <c r="Q11" i="19"/>
  <c r="H12" i="19"/>
  <c r="I12" i="19"/>
  <c r="K12" i="19"/>
  <c r="L12" i="19"/>
  <c r="M12" i="19"/>
  <c r="N12" i="19"/>
  <c r="P12" i="19"/>
  <c r="Q12" i="19"/>
  <c r="H13" i="19"/>
  <c r="I13" i="19"/>
  <c r="K13" i="19"/>
  <c r="L13" i="19"/>
  <c r="M13" i="19"/>
  <c r="N13" i="19"/>
  <c r="P13" i="19"/>
  <c r="Q13" i="19"/>
  <c r="H14" i="19"/>
  <c r="I14" i="19"/>
  <c r="K14" i="19"/>
  <c r="L14" i="19"/>
  <c r="M14" i="19"/>
  <c r="N14" i="19"/>
  <c r="P14" i="19"/>
  <c r="Q14" i="19"/>
  <c r="H15" i="19"/>
  <c r="I15" i="19"/>
  <c r="K15" i="19"/>
  <c r="L15" i="19"/>
  <c r="M15" i="19"/>
  <c r="N15" i="19"/>
  <c r="P15" i="19"/>
  <c r="Q15" i="19"/>
  <c r="H16" i="19"/>
  <c r="I16" i="19"/>
  <c r="K16" i="19"/>
  <c r="L16" i="19"/>
  <c r="M16" i="19"/>
  <c r="N16" i="19"/>
  <c r="P16" i="19"/>
  <c r="Q16" i="19"/>
  <c r="H17" i="19"/>
  <c r="I17" i="19"/>
  <c r="K17" i="19"/>
  <c r="L17" i="19"/>
  <c r="M17" i="19"/>
  <c r="N17" i="19"/>
  <c r="P17" i="19"/>
  <c r="Q17" i="19"/>
  <c r="H18" i="19"/>
  <c r="I18" i="19"/>
  <c r="K18" i="19"/>
  <c r="L18" i="19"/>
  <c r="M18" i="19"/>
  <c r="N18" i="19"/>
  <c r="P18" i="19"/>
  <c r="Q18" i="19"/>
  <c r="H19" i="19"/>
  <c r="I19" i="19"/>
  <c r="K19" i="19"/>
  <c r="L19" i="19"/>
  <c r="M19" i="19"/>
  <c r="N19" i="19"/>
  <c r="P19" i="19"/>
  <c r="Q19" i="19"/>
  <c r="H20" i="19"/>
  <c r="I20" i="19"/>
  <c r="K20" i="19"/>
  <c r="L20" i="19"/>
  <c r="M20" i="19"/>
  <c r="N20" i="19"/>
  <c r="P20" i="19"/>
  <c r="Q20" i="19"/>
  <c r="H21" i="19"/>
  <c r="I21" i="19"/>
  <c r="K21" i="19"/>
  <c r="L21" i="19"/>
  <c r="M21" i="19"/>
  <c r="N21" i="19"/>
  <c r="P21" i="19"/>
  <c r="Q21" i="19"/>
  <c r="H22" i="19"/>
  <c r="I22" i="19"/>
  <c r="K22" i="19"/>
  <c r="L22" i="19"/>
  <c r="M22" i="19"/>
  <c r="N22" i="19"/>
  <c r="P22" i="19"/>
  <c r="Q22" i="19"/>
  <c r="H23" i="19"/>
  <c r="I23" i="19"/>
  <c r="K23" i="19"/>
  <c r="L23" i="19"/>
  <c r="M23" i="19"/>
  <c r="N23" i="19"/>
  <c r="P23" i="19"/>
  <c r="Q23" i="19"/>
  <c r="H24" i="19"/>
  <c r="I24" i="19"/>
  <c r="K24" i="19"/>
  <c r="L24" i="19"/>
  <c r="M24" i="19"/>
  <c r="N24" i="19"/>
  <c r="P24" i="19"/>
  <c r="Q24" i="19"/>
  <c r="H25" i="19"/>
  <c r="I25" i="19"/>
  <c r="K25" i="19"/>
  <c r="L25" i="19"/>
  <c r="M25" i="19"/>
  <c r="N25" i="19"/>
  <c r="P25" i="19"/>
  <c r="Q25" i="19"/>
  <c r="H26" i="19"/>
  <c r="I26" i="19"/>
  <c r="K26" i="19"/>
  <c r="L26" i="19"/>
  <c r="M26" i="19"/>
  <c r="N26" i="19"/>
  <c r="P26" i="19"/>
  <c r="Q26" i="19"/>
  <c r="H27" i="19"/>
  <c r="I27" i="19"/>
  <c r="K27" i="19"/>
  <c r="L27" i="19"/>
  <c r="M27" i="19"/>
  <c r="N27" i="19"/>
  <c r="P27" i="19"/>
  <c r="Q27" i="19"/>
  <c r="H28" i="19"/>
  <c r="I28" i="19"/>
  <c r="K28" i="19"/>
  <c r="L28" i="19"/>
  <c r="M28" i="19"/>
  <c r="P28" i="19"/>
  <c r="Q28" i="19"/>
  <c r="H29" i="19"/>
  <c r="I29" i="19"/>
  <c r="K29" i="19"/>
  <c r="L29" i="19"/>
  <c r="M29" i="19"/>
  <c r="N29" i="19"/>
  <c r="P29" i="19"/>
  <c r="Q29" i="19"/>
  <c r="H30" i="19"/>
  <c r="I30" i="19"/>
  <c r="K30" i="19"/>
  <c r="L30" i="19"/>
  <c r="M30" i="19"/>
  <c r="N30" i="19"/>
  <c r="P30" i="19"/>
  <c r="Q30" i="19"/>
  <c r="H31" i="19"/>
  <c r="I31" i="19"/>
  <c r="K31" i="19"/>
  <c r="L31" i="19"/>
  <c r="M31" i="19"/>
  <c r="N31" i="19"/>
  <c r="P31" i="19"/>
  <c r="Q31" i="19"/>
  <c r="H32" i="19"/>
  <c r="I32" i="19"/>
  <c r="K32" i="19"/>
  <c r="L32" i="19"/>
  <c r="M32" i="19"/>
  <c r="N32" i="19"/>
  <c r="P32" i="19"/>
  <c r="Q32" i="19"/>
  <c r="H33" i="19"/>
  <c r="I33" i="19"/>
  <c r="K33" i="19"/>
  <c r="L33" i="19"/>
  <c r="M33" i="19"/>
  <c r="N33" i="19"/>
  <c r="P33" i="19"/>
  <c r="Q33" i="19"/>
  <c r="H34" i="19"/>
  <c r="I34" i="19"/>
  <c r="K34" i="19"/>
  <c r="L34" i="19"/>
  <c r="M34" i="19"/>
  <c r="N34" i="19"/>
  <c r="P34" i="19"/>
  <c r="Q34" i="19"/>
  <c r="H35" i="19"/>
  <c r="I35" i="19"/>
  <c r="K35" i="19"/>
  <c r="L35" i="19"/>
  <c r="M35" i="19"/>
  <c r="N35" i="19"/>
  <c r="P35" i="19"/>
  <c r="Q35" i="19"/>
  <c r="H36" i="19"/>
  <c r="I36" i="19"/>
  <c r="K36" i="19"/>
  <c r="L36" i="19"/>
  <c r="M36" i="19"/>
  <c r="N36" i="19"/>
  <c r="P36" i="19"/>
  <c r="Q36" i="19"/>
  <c r="H37" i="19"/>
  <c r="I37" i="19"/>
  <c r="K37" i="19"/>
  <c r="L37" i="19"/>
  <c r="M37" i="19"/>
  <c r="N37" i="19"/>
  <c r="P37" i="19"/>
  <c r="Q37" i="19"/>
  <c r="H38" i="19"/>
  <c r="I38" i="19"/>
  <c r="K38" i="19"/>
  <c r="L38" i="19"/>
  <c r="M38" i="19"/>
  <c r="N38" i="19"/>
  <c r="P38" i="19"/>
  <c r="Q38" i="19"/>
  <c r="H39" i="19"/>
  <c r="I39" i="19"/>
  <c r="K39" i="19"/>
  <c r="L39" i="19"/>
  <c r="M39" i="19"/>
  <c r="N39" i="19"/>
  <c r="P39" i="19"/>
  <c r="Q39" i="19"/>
  <c r="H40" i="19"/>
  <c r="I40" i="19"/>
  <c r="K40" i="19"/>
  <c r="L40" i="19"/>
  <c r="M40" i="19"/>
  <c r="N40" i="19"/>
  <c r="P40" i="19"/>
  <c r="Q40" i="19"/>
  <c r="H41" i="19"/>
  <c r="I41" i="19"/>
  <c r="K41" i="19"/>
  <c r="L41" i="19"/>
  <c r="M41" i="19"/>
  <c r="N41" i="19"/>
  <c r="P41" i="19"/>
  <c r="Q41" i="19"/>
  <c r="H42" i="19"/>
  <c r="I42" i="19"/>
  <c r="K42" i="19"/>
  <c r="L42" i="19"/>
  <c r="M42" i="19"/>
  <c r="N42" i="19"/>
  <c r="P42" i="19"/>
  <c r="Q42" i="19"/>
  <c r="H43" i="19"/>
  <c r="I43" i="19"/>
  <c r="K43" i="19"/>
  <c r="L43" i="19"/>
  <c r="M43" i="19"/>
  <c r="N43" i="19"/>
  <c r="P43" i="19"/>
  <c r="Q43" i="19"/>
  <c r="H44" i="19"/>
  <c r="I44" i="19"/>
  <c r="K44" i="19"/>
  <c r="L44" i="19"/>
  <c r="M44" i="19"/>
  <c r="N44" i="19"/>
  <c r="P44" i="19"/>
  <c r="Q44" i="19"/>
  <c r="H45" i="19"/>
  <c r="I45" i="19"/>
  <c r="K45" i="19"/>
  <c r="L45" i="19"/>
  <c r="M45" i="19"/>
  <c r="N45" i="19"/>
  <c r="P45" i="19"/>
  <c r="Q45" i="19"/>
  <c r="H46" i="19"/>
  <c r="I46" i="19"/>
  <c r="K46" i="19"/>
  <c r="L46" i="19"/>
  <c r="M46" i="19"/>
  <c r="N46" i="19"/>
  <c r="P46" i="19"/>
  <c r="Q46" i="19"/>
  <c r="H47" i="19"/>
  <c r="I47" i="19"/>
  <c r="K47" i="19"/>
  <c r="L47" i="19"/>
  <c r="M47" i="19"/>
  <c r="N47" i="19"/>
  <c r="P47" i="19"/>
  <c r="Q47" i="19"/>
  <c r="H48" i="19"/>
  <c r="I48" i="19"/>
  <c r="K48" i="19"/>
  <c r="L48" i="19"/>
  <c r="M48" i="19"/>
  <c r="N48" i="19"/>
  <c r="P48" i="19"/>
  <c r="Q48" i="19"/>
  <c r="H49" i="19"/>
  <c r="I49" i="19"/>
  <c r="K49" i="19"/>
  <c r="L49" i="19"/>
  <c r="M49" i="19"/>
  <c r="N49" i="19"/>
  <c r="P49" i="19"/>
  <c r="Q49" i="19"/>
  <c r="H50" i="19"/>
  <c r="I50" i="19"/>
  <c r="K50" i="19"/>
  <c r="L50" i="19"/>
  <c r="M50" i="19"/>
  <c r="N50" i="19"/>
  <c r="P50" i="19"/>
  <c r="Q50" i="19"/>
  <c r="H51" i="19"/>
  <c r="I51" i="19"/>
  <c r="K51" i="19"/>
  <c r="L51" i="19"/>
  <c r="M51" i="19"/>
  <c r="N51" i="19"/>
  <c r="P51" i="19"/>
  <c r="Q51" i="19"/>
  <c r="H52" i="19"/>
  <c r="I52" i="19"/>
  <c r="K52" i="19"/>
  <c r="L52" i="19"/>
  <c r="M52" i="19"/>
  <c r="N52" i="19"/>
  <c r="P52" i="19"/>
  <c r="Q52" i="19"/>
  <c r="H53" i="19"/>
  <c r="I53" i="19"/>
  <c r="K53" i="19"/>
  <c r="L53" i="19"/>
  <c r="M53" i="19"/>
  <c r="N53" i="19"/>
  <c r="P53" i="19"/>
  <c r="Q53" i="19"/>
  <c r="H54" i="19"/>
  <c r="I54" i="19"/>
  <c r="K54" i="19"/>
  <c r="L54" i="19"/>
  <c r="M54" i="19"/>
  <c r="N54" i="19"/>
  <c r="P54" i="19"/>
  <c r="Q54" i="19"/>
  <c r="H55" i="19"/>
  <c r="I55" i="19"/>
  <c r="K55" i="19"/>
  <c r="L55" i="19"/>
  <c r="M55" i="19"/>
  <c r="N55" i="19"/>
  <c r="P55" i="19"/>
  <c r="Q55" i="19"/>
  <c r="H56" i="19"/>
  <c r="I56" i="19"/>
  <c r="K56" i="19"/>
  <c r="L56" i="19"/>
  <c r="M56" i="19"/>
  <c r="N56" i="19"/>
  <c r="P56" i="19"/>
  <c r="Q56" i="19"/>
  <c r="H57" i="19"/>
  <c r="I57" i="19"/>
  <c r="K57" i="19"/>
  <c r="L57" i="19"/>
  <c r="M57" i="19"/>
  <c r="N57" i="19"/>
  <c r="P57" i="19"/>
  <c r="Q57" i="19"/>
  <c r="H58" i="19"/>
  <c r="I58" i="19"/>
  <c r="K58" i="19"/>
  <c r="L58" i="19"/>
  <c r="M58" i="19"/>
  <c r="N58" i="19"/>
  <c r="P58" i="19"/>
  <c r="Q58" i="19"/>
  <c r="H59" i="19"/>
  <c r="I59" i="19"/>
  <c r="K59" i="19"/>
  <c r="L59" i="19"/>
  <c r="M59" i="19"/>
  <c r="N59" i="19"/>
  <c r="P59" i="19"/>
  <c r="Q59" i="19"/>
  <c r="H60" i="19"/>
  <c r="I60" i="19"/>
  <c r="K60" i="19"/>
  <c r="L60" i="19"/>
  <c r="M60" i="19"/>
  <c r="N60" i="19"/>
  <c r="P60" i="19"/>
  <c r="Q60" i="19"/>
  <c r="H61" i="19"/>
  <c r="I61" i="19"/>
  <c r="K61" i="19"/>
  <c r="L61" i="19"/>
  <c r="M61" i="19"/>
  <c r="N61" i="19"/>
  <c r="P61" i="19"/>
  <c r="Q61" i="19"/>
  <c r="H62" i="19"/>
  <c r="I62" i="19"/>
  <c r="K62" i="19"/>
  <c r="L62" i="19"/>
  <c r="M62" i="19"/>
  <c r="N62" i="19"/>
  <c r="P62" i="19"/>
  <c r="Q62" i="19"/>
  <c r="H63" i="19"/>
  <c r="I63" i="19"/>
  <c r="K63" i="19"/>
  <c r="L63" i="19"/>
  <c r="M63" i="19"/>
  <c r="N63" i="19"/>
  <c r="P63" i="19"/>
  <c r="Q63" i="19"/>
  <c r="H64" i="19"/>
  <c r="I64" i="19"/>
  <c r="K64" i="19"/>
  <c r="L64" i="19"/>
  <c r="M64" i="19"/>
  <c r="N64" i="19"/>
  <c r="P64" i="19"/>
  <c r="Q64" i="19"/>
  <c r="H65" i="19"/>
  <c r="I65" i="19"/>
  <c r="K65" i="19"/>
  <c r="L65" i="19"/>
  <c r="M65" i="19"/>
  <c r="N65" i="19"/>
  <c r="P65" i="19"/>
  <c r="Q65" i="19"/>
  <c r="H66" i="19"/>
  <c r="I66" i="19"/>
  <c r="K66" i="19"/>
  <c r="L66" i="19"/>
  <c r="M66" i="19"/>
  <c r="N66" i="19"/>
  <c r="P66" i="19"/>
  <c r="Q66" i="19"/>
  <c r="H67" i="19"/>
  <c r="I67" i="19"/>
  <c r="K67" i="19"/>
  <c r="L67" i="19"/>
  <c r="M67" i="19"/>
  <c r="N67" i="19"/>
  <c r="P67" i="19"/>
  <c r="Q67" i="19"/>
  <c r="H68" i="19"/>
  <c r="I68" i="19"/>
  <c r="K68" i="19"/>
  <c r="L68" i="19"/>
  <c r="M68" i="19"/>
  <c r="N68" i="19"/>
  <c r="P68" i="19"/>
  <c r="Q68" i="19"/>
  <c r="H69" i="19"/>
  <c r="I69" i="19"/>
  <c r="K69" i="19"/>
  <c r="L69" i="19"/>
  <c r="M69" i="19"/>
  <c r="N69" i="19"/>
  <c r="P69" i="19"/>
  <c r="Q69" i="19"/>
  <c r="H70" i="19"/>
  <c r="I70" i="19"/>
  <c r="K70" i="19"/>
  <c r="L70" i="19"/>
  <c r="M70" i="19"/>
  <c r="N70" i="19"/>
  <c r="P70" i="19"/>
  <c r="Q70" i="19"/>
  <c r="H71" i="19"/>
  <c r="I71" i="19"/>
  <c r="K71" i="19"/>
  <c r="L71" i="19"/>
  <c r="M71" i="19"/>
  <c r="N71" i="19"/>
  <c r="P71" i="19"/>
  <c r="Q71" i="19"/>
  <c r="H72" i="19"/>
  <c r="I72" i="19"/>
  <c r="K72" i="19"/>
  <c r="L72" i="19"/>
  <c r="M72" i="19"/>
  <c r="N72" i="19"/>
  <c r="P72" i="19"/>
  <c r="Q72" i="19"/>
  <c r="H73" i="19"/>
  <c r="I73" i="19"/>
  <c r="K73" i="19"/>
  <c r="L73" i="19"/>
  <c r="M73" i="19"/>
  <c r="N73" i="19"/>
  <c r="P73" i="19"/>
  <c r="Q73" i="19"/>
  <c r="H74" i="19"/>
  <c r="I74" i="19"/>
  <c r="K74" i="19"/>
  <c r="L74" i="19"/>
  <c r="M74" i="19"/>
  <c r="N74" i="19"/>
  <c r="P74" i="19"/>
  <c r="Q74" i="19"/>
  <c r="H75" i="19"/>
  <c r="I75" i="19"/>
  <c r="K75" i="19"/>
  <c r="L75" i="19"/>
  <c r="M75" i="19"/>
  <c r="N75" i="19"/>
  <c r="P75" i="19"/>
  <c r="Q75" i="19"/>
  <c r="H76" i="19"/>
  <c r="I76" i="19"/>
  <c r="K76" i="19"/>
  <c r="L76" i="19"/>
  <c r="M76" i="19"/>
  <c r="N76" i="19"/>
  <c r="P76" i="19"/>
  <c r="Q76" i="19"/>
  <c r="H77" i="19"/>
  <c r="I77" i="19"/>
  <c r="K77" i="19"/>
  <c r="L77" i="19"/>
  <c r="M77" i="19"/>
  <c r="N77" i="19"/>
  <c r="P77" i="19"/>
  <c r="Q77" i="19"/>
  <c r="H78" i="19"/>
  <c r="I78" i="19"/>
  <c r="K78" i="19"/>
  <c r="L78" i="19"/>
  <c r="M78" i="19"/>
  <c r="N78" i="19"/>
  <c r="P78" i="19"/>
  <c r="Q78" i="19"/>
  <c r="H79" i="19"/>
  <c r="I79" i="19"/>
  <c r="K79" i="19"/>
  <c r="L79" i="19"/>
  <c r="M79" i="19"/>
  <c r="N79" i="19"/>
  <c r="P79" i="19"/>
  <c r="Q79" i="19"/>
  <c r="H80" i="19"/>
  <c r="I80" i="19"/>
  <c r="K80" i="19"/>
  <c r="L80" i="19"/>
  <c r="M80" i="19"/>
  <c r="N80" i="19"/>
  <c r="P80" i="19"/>
  <c r="Q80" i="19"/>
  <c r="H81" i="19"/>
  <c r="I81" i="19"/>
  <c r="K81" i="19"/>
  <c r="L81" i="19"/>
  <c r="M81" i="19"/>
  <c r="N81" i="19"/>
  <c r="P81" i="19"/>
  <c r="Q81" i="19"/>
  <c r="H82" i="19"/>
  <c r="I82" i="19"/>
  <c r="K82" i="19"/>
  <c r="L82" i="19"/>
  <c r="M82" i="19"/>
  <c r="N82" i="19"/>
  <c r="P82" i="19"/>
  <c r="Q82" i="19"/>
  <c r="H83" i="19"/>
  <c r="I83" i="19"/>
  <c r="K83" i="19"/>
  <c r="L83" i="19"/>
  <c r="M83" i="19"/>
  <c r="N83" i="19"/>
  <c r="P83" i="19"/>
  <c r="Q83" i="19"/>
  <c r="H84" i="19"/>
  <c r="I84" i="19"/>
  <c r="K84" i="19"/>
  <c r="L84" i="19"/>
  <c r="M84" i="19"/>
  <c r="N84" i="19"/>
  <c r="P84" i="19"/>
  <c r="Q84" i="19"/>
  <c r="H85" i="19"/>
  <c r="I85" i="19"/>
  <c r="K85" i="19"/>
  <c r="L85" i="19"/>
  <c r="M85" i="19"/>
  <c r="N85" i="19"/>
  <c r="P85" i="19"/>
  <c r="Q85" i="19"/>
  <c r="H86" i="19"/>
  <c r="I86" i="19"/>
  <c r="K86" i="19"/>
  <c r="L86" i="19"/>
  <c r="M86" i="19"/>
  <c r="N86" i="19"/>
  <c r="P86" i="19"/>
  <c r="Q86" i="19"/>
  <c r="H87" i="19"/>
  <c r="I87" i="19"/>
  <c r="K87" i="19"/>
  <c r="L87" i="19"/>
  <c r="M87" i="19"/>
  <c r="N87" i="19"/>
  <c r="P87" i="19"/>
  <c r="Q87" i="19"/>
  <c r="H88" i="19"/>
  <c r="I88" i="19"/>
  <c r="K88" i="19"/>
  <c r="L88" i="19"/>
  <c r="M88" i="19"/>
  <c r="N88" i="19"/>
  <c r="P88" i="19"/>
  <c r="Q88" i="19"/>
  <c r="H89" i="19"/>
  <c r="I89" i="19"/>
  <c r="K89" i="19"/>
  <c r="L89" i="19"/>
  <c r="M89" i="19"/>
  <c r="N89" i="19"/>
  <c r="P89" i="19"/>
  <c r="Q89" i="19"/>
  <c r="H90" i="19"/>
  <c r="I90" i="19"/>
  <c r="K90" i="19"/>
  <c r="L90" i="19"/>
  <c r="M90" i="19"/>
  <c r="N90" i="19"/>
  <c r="P90" i="19"/>
  <c r="Q90" i="19"/>
  <c r="H91" i="19"/>
  <c r="I91" i="19"/>
  <c r="K91" i="19"/>
  <c r="L91" i="19"/>
  <c r="M91" i="19"/>
  <c r="N91" i="19"/>
  <c r="P91" i="19"/>
  <c r="Q91" i="19"/>
  <c r="H92" i="19"/>
  <c r="I92" i="19"/>
  <c r="K92" i="19"/>
  <c r="L92" i="19"/>
  <c r="M92" i="19"/>
  <c r="N92" i="19"/>
  <c r="P92" i="19"/>
  <c r="Q92" i="19"/>
  <c r="H93" i="19"/>
  <c r="I93" i="19"/>
  <c r="K93" i="19"/>
  <c r="L93" i="19"/>
  <c r="M93" i="19"/>
  <c r="N93" i="19"/>
  <c r="P93" i="19"/>
  <c r="Q93" i="19"/>
  <c r="H94" i="19"/>
  <c r="I94" i="19"/>
  <c r="K94" i="19"/>
  <c r="L94" i="19"/>
  <c r="M94" i="19"/>
  <c r="N94" i="19"/>
  <c r="P94" i="19"/>
  <c r="Q94" i="19"/>
  <c r="H95" i="19"/>
  <c r="I95" i="19"/>
  <c r="K95" i="19"/>
  <c r="L95" i="19"/>
  <c r="M95" i="19"/>
  <c r="N95" i="19"/>
  <c r="P95" i="19"/>
  <c r="Q95" i="19"/>
  <c r="H96" i="19"/>
  <c r="I96" i="19"/>
  <c r="K96" i="19"/>
  <c r="L96" i="19"/>
  <c r="M96" i="19"/>
  <c r="N96" i="19"/>
  <c r="P96" i="19"/>
  <c r="Q96" i="19"/>
  <c r="H97" i="19"/>
  <c r="I97" i="19"/>
  <c r="K97" i="19"/>
  <c r="L97" i="19"/>
  <c r="M97" i="19"/>
  <c r="N97" i="19"/>
  <c r="P97" i="19"/>
  <c r="Q97" i="19"/>
  <c r="H98" i="19"/>
  <c r="I98" i="19"/>
  <c r="K98" i="19"/>
  <c r="L98" i="19"/>
  <c r="M98" i="19"/>
  <c r="N98" i="19"/>
  <c r="P98" i="19"/>
  <c r="Q98" i="19"/>
  <c r="H99" i="19"/>
  <c r="I99" i="19"/>
  <c r="K99" i="19"/>
  <c r="L99" i="19"/>
  <c r="M99" i="19"/>
  <c r="N99" i="19"/>
  <c r="P99" i="19"/>
  <c r="Q99" i="19"/>
  <c r="H100" i="19"/>
  <c r="I100" i="19"/>
  <c r="K100" i="19"/>
  <c r="L100" i="19"/>
  <c r="M100" i="19"/>
  <c r="N100" i="19"/>
  <c r="P100" i="19"/>
  <c r="Q100" i="19"/>
  <c r="H101" i="19"/>
  <c r="I101" i="19"/>
  <c r="K101" i="19"/>
  <c r="L101" i="19"/>
  <c r="M101" i="19"/>
  <c r="N101" i="19"/>
  <c r="P101" i="19"/>
  <c r="Q101" i="19"/>
  <c r="H102" i="19"/>
  <c r="I102" i="19"/>
  <c r="K102" i="19"/>
  <c r="L102" i="19"/>
  <c r="M102" i="19"/>
  <c r="N102" i="19"/>
  <c r="P102" i="19"/>
  <c r="Q102" i="19"/>
  <c r="H103" i="19"/>
  <c r="I103" i="19"/>
  <c r="K103" i="19"/>
  <c r="L103" i="19"/>
  <c r="M103" i="19"/>
  <c r="N103" i="19"/>
  <c r="P103" i="19"/>
  <c r="Q103" i="19"/>
  <c r="H104" i="19"/>
  <c r="I104" i="19"/>
  <c r="K104" i="19"/>
  <c r="L104" i="19"/>
  <c r="M104" i="19"/>
  <c r="N104" i="19"/>
  <c r="P104" i="19"/>
  <c r="Q104" i="19"/>
  <c r="H105" i="19"/>
  <c r="I105" i="19"/>
  <c r="K105" i="19"/>
  <c r="L105" i="19"/>
  <c r="M105" i="19"/>
  <c r="N105" i="19"/>
  <c r="P105" i="19"/>
  <c r="Q105" i="19"/>
  <c r="H106" i="19"/>
  <c r="I106" i="19"/>
  <c r="K106" i="19"/>
  <c r="L106" i="19"/>
  <c r="M106" i="19"/>
  <c r="N106" i="19"/>
  <c r="P106" i="19"/>
  <c r="Q106" i="19"/>
  <c r="H107" i="19"/>
  <c r="I107" i="19"/>
  <c r="K107" i="19"/>
  <c r="L107" i="19"/>
  <c r="M107" i="19"/>
  <c r="N107" i="19"/>
  <c r="P107" i="19"/>
  <c r="Q107" i="19"/>
  <c r="H108" i="19"/>
  <c r="I108" i="19"/>
  <c r="K108" i="19"/>
  <c r="L108" i="19"/>
  <c r="M108" i="19"/>
  <c r="N108" i="19"/>
  <c r="P108" i="19"/>
  <c r="Q108" i="19"/>
  <c r="H109" i="19"/>
  <c r="I109" i="19"/>
  <c r="K109" i="19"/>
  <c r="L109" i="19"/>
  <c r="M109" i="19"/>
  <c r="N109" i="19"/>
  <c r="P109" i="19"/>
  <c r="Q109" i="19"/>
  <c r="H110" i="19"/>
  <c r="I110" i="19"/>
  <c r="K110" i="19"/>
  <c r="L110" i="19"/>
  <c r="M110" i="19"/>
  <c r="N110" i="19"/>
  <c r="P110" i="19"/>
  <c r="Q110" i="19"/>
  <c r="H111" i="19"/>
  <c r="I111" i="19"/>
  <c r="K111" i="19"/>
  <c r="L111" i="19"/>
  <c r="M111" i="19"/>
  <c r="N111" i="19"/>
  <c r="P111" i="19"/>
  <c r="Q111" i="19"/>
  <c r="H112" i="19"/>
  <c r="I112" i="19"/>
  <c r="K112" i="19"/>
  <c r="L112" i="19"/>
  <c r="M112" i="19"/>
  <c r="N112" i="19"/>
  <c r="P112" i="19"/>
  <c r="Q112" i="19"/>
  <c r="H113" i="19"/>
  <c r="I113" i="19"/>
  <c r="K113" i="19"/>
  <c r="L113" i="19"/>
  <c r="M113" i="19"/>
  <c r="N113" i="19"/>
  <c r="P113" i="19"/>
  <c r="Q113" i="19"/>
  <c r="H114" i="19"/>
  <c r="I114" i="19"/>
  <c r="K114" i="19"/>
  <c r="L114" i="19"/>
  <c r="M114" i="19"/>
  <c r="N114" i="19"/>
  <c r="P114" i="19"/>
  <c r="Q114" i="19"/>
  <c r="H115" i="19"/>
  <c r="I115" i="19"/>
  <c r="K115" i="19"/>
  <c r="L115" i="19"/>
  <c r="M115" i="19"/>
  <c r="N115" i="19"/>
  <c r="P115" i="19"/>
  <c r="Q115" i="19"/>
  <c r="H116" i="19"/>
  <c r="I116" i="19"/>
  <c r="K116" i="19"/>
  <c r="L116" i="19"/>
  <c r="M116" i="19"/>
  <c r="N116" i="19"/>
  <c r="P116" i="19"/>
  <c r="Q116" i="19"/>
  <c r="H117" i="19"/>
  <c r="I117" i="19"/>
  <c r="K117" i="19"/>
  <c r="L117" i="19"/>
  <c r="M117" i="19"/>
  <c r="N117" i="19"/>
  <c r="P117" i="19"/>
  <c r="Q117" i="19"/>
  <c r="H118" i="19"/>
  <c r="I118" i="19"/>
  <c r="K118" i="19"/>
  <c r="L118" i="19"/>
  <c r="M118" i="19"/>
  <c r="N118" i="19"/>
  <c r="P118" i="19"/>
  <c r="Q118" i="19"/>
  <c r="H119" i="19"/>
  <c r="I119" i="19"/>
  <c r="K119" i="19"/>
  <c r="L119" i="19"/>
  <c r="M119" i="19"/>
  <c r="N119" i="19"/>
  <c r="P119" i="19"/>
  <c r="Q119" i="19"/>
  <c r="H120" i="19"/>
  <c r="I120" i="19"/>
  <c r="K120" i="19"/>
  <c r="L120" i="19"/>
  <c r="M120" i="19"/>
  <c r="N120" i="19"/>
  <c r="P120" i="19"/>
  <c r="Q120" i="19"/>
  <c r="H121" i="19"/>
  <c r="I121" i="19"/>
  <c r="K121" i="19"/>
  <c r="L121" i="19"/>
  <c r="M121" i="19"/>
  <c r="N121" i="19"/>
  <c r="P121" i="19"/>
  <c r="Q121" i="19"/>
  <c r="H122" i="19"/>
  <c r="I122" i="19"/>
  <c r="K122" i="19"/>
  <c r="L122" i="19"/>
  <c r="M122" i="19"/>
  <c r="N122" i="19"/>
  <c r="P122" i="19"/>
  <c r="Q122" i="19"/>
  <c r="H123" i="19"/>
  <c r="I123" i="19"/>
  <c r="K123" i="19"/>
  <c r="L123" i="19"/>
  <c r="M123" i="19"/>
  <c r="N123" i="19"/>
  <c r="P123" i="19"/>
  <c r="Q123" i="19"/>
  <c r="H124" i="19"/>
  <c r="I124" i="19"/>
  <c r="K124" i="19"/>
  <c r="L124" i="19"/>
  <c r="M124" i="19"/>
  <c r="N124" i="19"/>
  <c r="P124" i="19"/>
  <c r="Q124" i="19"/>
  <c r="H125" i="19"/>
  <c r="I125" i="19"/>
  <c r="K125" i="19"/>
  <c r="L125" i="19"/>
  <c r="M125" i="19"/>
  <c r="N125" i="19"/>
  <c r="P125" i="19"/>
  <c r="Q125" i="19"/>
  <c r="H126" i="19"/>
  <c r="I126" i="19"/>
  <c r="K126" i="19"/>
  <c r="L126" i="19"/>
  <c r="M126" i="19"/>
  <c r="N126" i="19"/>
  <c r="P126" i="19"/>
  <c r="Q126" i="19"/>
  <c r="H127" i="19"/>
  <c r="I127" i="19"/>
  <c r="K127" i="19"/>
  <c r="L127" i="19"/>
  <c r="M127" i="19"/>
  <c r="N127" i="19"/>
  <c r="P127" i="19"/>
  <c r="Q127" i="19"/>
  <c r="H128" i="19"/>
  <c r="I128" i="19"/>
  <c r="K128" i="19"/>
  <c r="L128" i="19"/>
  <c r="M128" i="19"/>
  <c r="N128" i="19"/>
  <c r="P128" i="19"/>
  <c r="Q128" i="19"/>
  <c r="H129" i="19"/>
  <c r="I129" i="19"/>
  <c r="K129" i="19"/>
  <c r="L129" i="19"/>
  <c r="M129" i="19"/>
  <c r="N129" i="19"/>
  <c r="P129" i="19"/>
  <c r="Q129" i="19"/>
  <c r="H130" i="19"/>
  <c r="I130" i="19"/>
  <c r="K130" i="19"/>
  <c r="L130" i="19"/>
  <c r="M130" i="19"/>
  <c r="N130" i="19"/>
  <c r="P130" i="19"/>
  <c r="Q130" i="19"/>
  <c r="H131" i="19"/>
  <c r="I131" i="19"/>
  <c r="K131" i="19"/>
  <c r="L131" i="19"/>
  <c r="M131" i="19"/>
  <c r="N131" i="19"/>
  <c r="P131" i="19"/>
  <c r="Q131" i="19"/>
  <c r="H132" i="19"/>
  <c r="I132" i="19"/>
  <c r="K132" i="19"/>
  <c r="L132" i="19"/>
  <c r="M132" i="19"/>
  <c r="N132" i="19"/>
  <c r="P132" i="19"/>
  <c r="Q132" i="19"/>
  <c r="H133" i="19"/>
  <c r="I133" i="19"/>
  <c r="K133" i="19"/>
  <c r="L133" i="19"/>
  <c r="M133" i="19"/>
  <c r="N133" i="19"/>
  <c r="P133" i="19"/>
  <c r="Q133" i="19"/>
  <c r="H134" i="19"/>
  <c r="I134" i="19"/>
  <c r="K134" i="19"/>
  <c r="L134" i="19"/>
  <c r="M134" i="19"/>
  <c r="N134" i="19"/>
  <c r="P134" i="19"/>
  <c r="Q134" i="19"/>
  <c r="H135" i="19"/>
  <c r="I135" i="19"/>
  <c r="K135" i="19"/>
  <c r="L135" i="19"/>
  <c r="M135" i="19"/>
  <c r="N135" i="19"/>
  <c r="P135" i="19"/>
  <c r="Q135" i="19"/>
  <c r="H136" i="19"/>
  <c r="I136" i="19"/>
  <c r="K136" i="19"/>
  <c r="L136" i="19"/>
  <c r="M136" i="19"/>
  <c r="N136" i="19"/>
  <c r="P136" i="19"/>
  <c r="Q136" i="19"/>
  <c r="H137" i="19"/>
  <c r="I137" i="19"/>
  <c r="K137" i="19"/>
  <c r="L137" i="19"/>
  <c r="M137" i="19"/>
  <c r="N137" i="19"/>
  <c r="P137" i="19"/>
  <c r="Q137" i="19"/>
  <c r="H138" i="19"/>
  <c r="I138" i="19"/>
  <c r="K138" i="19"/>
  <c r="L138" i="19"/>
  <c r="M138" i="19"/>
  <c r="N138" i="19"/>
  <c r="P138" i="19"/>
  <c r="Q138" i="19"/>
  <c r="H139" i="19"/>
  <c r="I139" i="19"/>
  <c r="K139" i="19"/>
  <c r="L139" i="19"/>
  <c r="M139" i="19"/>
  <c r="N139" i="19"/>
  <c r="P139" i="19"/>
  <c r="Q139" i="19"/>
  <c r="H140" i="19"/>
  <c r="I140" i="19"/>
  <c r="K140" i="19"/>
  <c r="L140" i="19"/>
  <c r="M140" i="19"/>
  <c r="N140" i="19"/>
  <c r="P140" i="19"/>
  <c r="Q140" i="19"/>
  <c r="H141" i="19"/>
  <c r="I141" i="19"/>
  <c r="K141" i="19"/>
  <c r="L141" i="19"/>
  <c r="M141" i="19"/>
  <c r="N141" i="19"/>
  <c r="P141" i="19"/>
  <c r="Q141" i="19"/>
  <c r="H142" i="19"/>
  <c r="I142" i="19"/>
  <c r="K142" i="19"/>
  <c r="L142" i="19"/>
  <c r="M142" i="19"/>
  <c r="N142" i="19"/>
  <c r="P142" i="19"/>
  <c r="Q142" i="19"/>
  <c r="H143" i="19"/>
  <c r="I143" i="19"/>
  <c r="K143" i="19"/>
  <c r="L143" i="19"/>
  <c r="M143" i="19"/>
  <c r="N143" i="19"/>
  <c r="P143" i="19"/>
  <c r="Q143" i="19"/>
  <c r="H144" i="19"/>
  <c r="I144" i="19"/>
  <c r="K144" i="19"/>
  <c r="L144" i="19"/>
  <c r="M144" i="19"/>
  <c r="N144" i="19"/>
  <c r="P144" i="19"/>
  <c r="Q144" i="19"/>
  <c r="H145" i="19"/>
  <c r="I145" i="19"/>
  <c r="K145" i="19"/>
  <c r="L145" i="19"/>
  <c r="M145" i="19"/>
  <c r="N145" i="19"/>
  <c r="P145" i="19"/>
  <c r="Q145" i="19"/>
  <c r="H146" i="19"/>
  <c r="I146" i="19"/>
  <c r="K146" i="19"/>
  <c r="L146" i="19"/>
  <c r="M146" i="19"/>
  <c r="N146" i="19"/>
  <c r="P146" i="19"/>
  <c r="Q146" i="19"/>
  <c r="H147" i="19"/>
  <c r="I147" i="19"/>
  <c r="K147" i="19"/>
  <c r="L147" i="19"/>
  <c r="M147" i="19"/>
  <c r="N147" i="19"/>
  <c r="P147" i="19"/>
  <c r="Q147" i="19"/>
  <c r="H148" i="19"/>
  <c r="I148" i="19"/>
  <c r="K148" i="19"/>
  <c r="L148" i="19"/>
  <c r="M148" i="19"/>
  <c r="N148" i="19"/>
  <c r="P148" i="19"/>
  <c r="Q148" i="19"/>
  <c r="H149" i="19"/>
  <c r="I149" i="19"/>
  <c r="K149" i="19"/>
  <c r="L149" i="19"/>
  <c r="M149" i="19"/>
  <c r="N149" i="19"/>
  <c r="P149" i="19"/>
  <c r="Q149" i="19"/>
  <c r="H150" i="19"/>
  <c r="I150" i="19"/>
  <c r="K150" i="19"/>
  <c r="L150" i="19"/>
  <c r="M150" i="19"/>
  <c r="N150" i="19"/>
  <c r="P150" i="19"/>
  <c r="Q150" i="19"/>
  <c r="H151" i="19"/>
  <c r="I151" i="19"/>
  <c r="K151" i="19"/>
  <c r="L151" i="19"/>
  <c r="M151" i="19"/>
  <c r="N151" i="19"/>
  <c r="P151" i="19"/>
  <c r="Q151" i="19"/>
  <c r="H152" i="19"/>
  <c r="I152" i="19"/>
  <c r="K152" i="19"/>
  <c r="L152" i="19"/>
  <c r="M152" i="19"/>
  <c r="N152" i="19"/>
  <c r="P152" i="19"/>
  <c r="Q152" i="19"/>
  <c r="H153" i="19"/>
  <c r="I153" i="19"/>
  <c r="K153" i="19"/>
  <c r="L153" i="19"/>
  <c r="M153" i="19"/>
  <c r="N153" i="19"/>
  <c r="P153" i="19"/>
  <c r="Q153" i="19"/>
  <c r="H154" i="19"/>
  <c r="I154" i="19"/>
  <c r="K154" i="19"/>
  <c r="L154" i="19"/>
  <c r="M154" i="19"/>
  <c r="N154" i="19"/>
  <c r="P154" i="19"/>
  <c r="Q154" i="19"/>
  <c r="H155" i="19"/>
  <c r="I155" i="19"/>
  <c r="K155" i="19"/>
  <c r="L155" i="19"/>
  <c r="M155" i="19"/>
  <c r="N155" i="19"/>
  <c r="P155" i="19"/>
  <c r="Q155" i="19"/>
  <c r="H156" i="19"/>
  <c r="I156" i="19"/>
  <c r="K156" i="19"/>
  <c r="L156" i="19"/>
  <c r="M156" i="19"/>
  <c r="N156" i="19"/>
  <c r="P156" i="19"/>
  <c r="Q156" i="19"/>
  <c r="H157" i="19"/>
  <c r="I157" i="19"/>
  <c r="K157" i="19"/>
  <c r="L157" i="19"/>
  <c r="M157" i="19"/>
  <c r="N157" i="19"/>
  <c r="P157" i="19"/>
  <c r="Q157" i="19"/>
  <c r="H158" i="19"/>
  <c r="I158" i="19"/>
  <c r="K158" i="19"/>
  <c r="L158" i="19"/>
  <c r="M158" i="19"/>
  <c r="N158" i="19"/>
  <c r="P158" i="19"/>
  <c r="Q158" i="19"/>
  <c r="H159" i="19"/>
  <c r="I159" i="19"/>
  <c r="K159" i="19"/>
  <c r="L159" i="19"/>
  <c r="M159" i="19"/>
  <c r="N159" i="19"/>
  <c r="P159" i="19"/>
  <c r="Q159" i="19"/>
  <c r="H160" i="19"/>
  <c r="I160" i="19"/>
  <c r="K160" i="19"/>
  <c r="L160" i="19"/>
  <c r="M160" i="19"/>
  <c r="N160" i="19"/>
  <c r="P160" i="19"/>
  <c r="Q160" i="19"/>
  <c r="H161" i="19"/>
  <c r="I161" i="19"/>
  <c r="K161" i="19"/>
  <c r="L161" i="19"/>
  <c r="M161" i="19"/>
  <c r="N161" i="19"/>
  <c r="P161" i="19"/>
  <c r="Q161" i="19"/>
  <c r="H162" i="19"/>
  <c r="I162" i="19"/>
  <c r="K162" i="19"/>
  <c r="L162" i="19"/>
  <c r="M162" i="19"/>
  <c r="N162" i="19"/>
  <c r="P162" i="19"/>
  <c r="Q162" i="19"/>
  <c r="H163" i="19"/>
  <c r="I163" i="19"/>
  <c r="K163" i="19"/>
  <c r="L163" i="19"/>
  <c r="M163" i="19"/>
  <c r="N163" i="19"/>
  <c r="P163" i="19"/>
  <c r="Q163" i="19"/>
  <c r="H164" i="19"/>
  <c r="I164" i="19"/>
  <c r="K164" i="19"/>
  <c r="L164" i="19"/>
  <c r="M164" i="19"/>
  <c r="N164" i="19"/>
  <c r="P164" i="19"/>
  <c r="Q164" i="19"/>
  <c r="H165" i="19"/>
  <c r="I165" i="19"/>
  <c r="K165" i="19"/>
  <c r="L165" i="19"/>
  <c r="M165" i="19"/>
  <c r="N165" i="19"/>
  <c r="P165" i="19"/>
  <c r="Q165" i="19"/>
  <c r="H166" i="19"/>
  <c r="I166" i="19"/>
  <c r="K166" i="19"/>
  <c r="L166" i="19"/>
  <c r="M166" i="19"/>
  <c r="N166" i="19"/>
  <c r="P166" i="19"/>
  <c r="Q166" i="19"/>
  <c r="H167" i="19"/>
  <c r="I167" i="19"/>
  <c r="K167" i="19"/>
  <c r="L167" i="19"/>
  <c r="M167" i="19"/>
  <c r="N167" i="19"/>
  <c r="P167" i="19"/>
  <c r="Q167" i="19"/>
  <c r="H168" i="19"/>
  <c r="I168" i="19"/>
  <c r="K168" i="19"/>
  <c r="L168" i="19"/>
  <c r="M168" i="19"/>
  <c r="N168" i="19"/>
  <c r="P168" i="19"/>
  <c r="Q168" i="19"/>
  <c r="H169" i="19"/>
  <c r="I169" i="19"/>
  <c r="K169" i="19"/>
  <c r="L169" i="19"/>
  <c r="M169" i="19"/>
  <c r="N169" i="19"/>
  <c r="P169" i="19"/>
  <c r="Q169" i="19"/>
  <c r="H170" i="19"/>
  <c r="I170" i="19"/>
  <c r="K170" i="19"/>
  <c r="L170" i="19"/>
  <c r="M170" i="19"/>
  <c r="N170" i="19"/>
  <c r="P170" i="19"/>
  <c r="Q170" i="19"/>
  <c r="H171" i="19"/>
  <c r="I171" i="19"/>
  <c r="K171" i="19"/>
  <c r="L171" i="19"/>
  <c r="M171" i="19"/>
  <c r="N171" i="19"/>
  <c r="P171" i="19"/>
  <c r="Q171" i="19"/>
  <c r="H172" i="19"/>
  <c r="I172" i="19"/>
  <c r="K172" i="19"/>
  <c r="L172" i="19"/>
  <c r="M172" i="19"/>
  <c r="N172" i="19"/>
  <c r="P172" i="19"/>
  <c r="Q172" i="19"/>
  <c r="H173" i="19"/>
  <c r="I173" i="19"/>
  <c r="K173" i="19"/>
  <c r="L173" i="19"/>
  <c r="M173" i="19"/>
  <c r="N173" i="19"/>
  <c r="P173" i="19"/>
  <c r="Q173" i="19"/>
  <c r="H174" i="19"/>
  <c r="I174" i="19"/>
  <c r="K174" i="19"/>
  <c r="L174" i="19"/>
  <c r="M174" i="19"/>
  <c r="N174" i="19"/>
  <c r="P174" i="19"/>
  <c r="Q174" i="19"/>
  <c r="H175" i="19"/>
  <c r="I175" i="19"/>
  <c r="K175" i="19"/>
  <c r="L175" i="19"/>
  <c r="M175" i="19"/>
  <c r="N175" i="19"/>
  <c r="P175" i="19"/>
  <c r="Q175" i="19"/>
  <c r="H176" i="19"/>
  <c r="I176" i="19"/>
  <c r="K176" i="19"/>
  <c r="L176" i="19"/>
  <c r="M176" i="19"/>
  <c r="N176" i="19"/>
  <c r="P176" i="19"/>
  <c r="Q176" i="19"/>
  <c r="H177" i="19"/>
  <c r="I177" i="19"/>
  <c r="K177" i="19"/>
  <c r="L177" i="19"/>
  <c r="M177" i="19"/>
  <c r="N177" i="19"/>
  <c r="P177" i="19"/>
  <c r="Q177" i="19"/>
  <c r="H178" i="19"/>
  <c r="I178" i="19"/>
  <c r="K178" i="19"/>
  <c r="L178" i="19"/>
  <c r="M178" i="19"/>
  <c r="N178" i="19"/>
  <c r="P178" i="19"/>
  <c r="Q178" i="19"/>
  <c r="H179" i="19"/>
  <c r="I179" i="19"/>
  <c r="K179" i="19"/>
  <c r="L179" i="19"/>
  <c r="M179" i="19"/>
  <c r="N179" i="19"/>
  <c r="P179" i="19"/>
  <c r="Q179" i="19"/>
  <c r="H180" i="19"/>
  <c r="I180" i="19"/>
  <c r="K180" i="19"/>
  <c r="L180" i="19"/>
  <c r="M180" i="19"/>
  <c r="N180" i="19"/>
  <c r="P180" i="19"/>
  <c r="Q180" i="19"/>
  <c r="H181" i="19"/>
  <c r="I181" i="19"/>
  <c r="K181" i="19"/>
  <c r="L181" i="19"/>
  <c r="M181" i="19"/>
  <c r="N181" i="19"/>
  <c r="P181" i="19"/>
  <c r="Q181" i="19"/>
  <c r="H182" i="19"/>
  <c r="I182" i="19"/>
  <c r="K182" i="19"/>
  <c r="L182" i="19"/>
  <c r="M182" i="19"/>
  <c r="N182" i="19"/>
  <c r="P182" i="19"/>
  <c r="Q182" i="19"/>
  <c r="H183" i="19"/>
  <c r="I183" i="19"/>
  <c r="K183" i="19"/>
  <c r="L183" i="19"/>
  <c r="M183" i="19"/>
  <c r="N183" i="19"/>
  <c r="P183" i="19"/>
  <c r="Q183" i="19"/>
  <c r="H184" i="19"/>
  <c r="I184" i="19"/>
  <c r="K184" i="19"/>
  <c r="L184" i="19"/>
  <c r="M184" i="19"/>
  <c r="N184" i="19"/>
  <c r="P184" i="19"/>
  <c r="Q184" i="19"/>
  <c r="H185" i="19"/>
  <c r="I185" i="19"/>
  <c r="K185" i="19"/>
  <c r="L185" i="19"/>
  <c r="M185" i="19"/>
  <c r="N185" i="19"/>
  <c r="P185" i="19"/>
  <c r="Q185" i="19"/>
  <c r="H186" i="19"/>
  <c r="I186" i="19"/>
  <c r="K186" i="19"/>
  <c r="L186" i="19"/>
  <c r="M186" i="19"/>
  <c r="N186" i="19"/>
  <c r="P186" i="19"/>
  <c r="Q186" i="19"/>
  <c r="H187" i="19"/>
  <c r="I187" i="19"/>
  <c r="K187" i="19"/>
  <c r="L187" i="19"/>
  <c r="M187" i="19"/>
  <c r="N187" i="19"/>
  <c r="P187" i="19"/>
  <c r="Q187" i="19"/>
  <c r="H188" i="19"/>
  <c r="I188" i="19"/>
  <c r="K188" i="19"/>
  <c r="L188" i="19"/>
  <c r="M188" i="19"/>
  <c r="N188" i="19"/>
  <c r="P188" i="19"/>
  <c r="Q188" i="19"/>
  <c r="H189" i="19"/>
  <c r="I189" i="19"/>
  <c r="K189" i="19"/>
  <c r="L189" i="19"/>
  <c r="M189" i="19"/>
  <c r="N189" i="19"/>
  <c r="P189" i="19"/>
  <c r="Q189" i="19"/>
  <c r="H190" i="19"/>
  <c r="I190" i="19"/>
  <c r="K190" i="19"/>
  <c r="L190" i="19"/>
  <c r="M190" i="19"/>
  <c r="N190" i="19"/>
  <c r="P190" i="19"/>
  <c r="Q190" i="19"/>
  <c r="H191" i="19"/>
  <c r="I191" i="19"/>
  <c r="K191" i="19"/>
  <c r="L191" i="19"/>
  <c r="M191" i="19"/>
  <c r="N191" i="19"/>
  <c r="P191" i="19"/>
  <c r="Q191" i="19"/>
  <c r="H192" i="19"/>
  <c r="I192" i="19"/>
  <c r="K192" i="19"/>
  <c r="L192" i="19"/>
  <c r="M192" i="19"/>
  <c r="N192" i="19"/>
  <c r="P192" i="19"/>
  <c r="Q192" i="19"/>
  <c r="H193" i="19"/>
  <c r="I193" i="19"/>
  <c r="K193" i="19"/>
  <c r="L193" i="19"/>
  <c r="M193" i="19"/>
  <c r="N193" i="19"/>
  <c r="P193" i="19"/>
  <c r="Q193" i="19"/>
  <c r="H194" i="19"/>
  <c r="I194" i="19"/>
  <c r="K194" i="19"/>
  <c r="L194" i="19"/>
  <c r="M194" i="19"/>
  <c r="N194" i="19"/>
  <c r="P194" i="19"/>
  <c r="Q194" i="19"/>
  <c r="H195" i="19"/>
  <c r="I195" i="19"/>
  <c r="K195" i="19"/>
  <c r="L195" i="19"/>
  <c r="M195" i="19"/>
  <c r="N195" i="19"/>
  <c r="P195" i="19"/>
  <c r="Q195" i="19"/>
  <c r="H196" i="19"/>
  <c r="I196" i="19"/>
  <c r="K196" i="19"/>
  <c r="L196" i="19"/>
  <c r="M196" i="19"/>
  <c r="N196" i="19"/>
  <c r="P196" i="19"/>
  <c r="Q196" i="19"/>
  <c r="H197" i="19"/>
  <c r="I197" i="19"/>
  <c r="K197" i="19"/>
  <c r="L197" i="19"/>
  <c r="M197" i="19"/>
  <c r="N197" i="19"/>
  <c r="P197" i="19"/>
  <c r="Q197" i="19"/>
  <c r="H198" i="19"/>
  <c r="I198" i="19"/>
  <c r="K198" i="19"/>
  <c r="L198" i="19"/>
  <c r="M198" i="19"/>
  <c r="N198" i="19"/>
  <c r="P198" i="19"/>
  <c r="Q198" i="19"/>
  <c r="H199" i="19"/>
  <c r="I199" i="19"/>
  <c r="K199" i="19"/>
  <c r="L199" i="19"/>
  <c r="M199" i="19"/>
  <c r="N199" i="19"/>
  <c r="P199" i="19"/>
  <c r="Q199" i="19"/>
  <c r="H200" i="19"/>
  <c r="I200" i="19"/>
  <c r="K200" i="19"/>
  <c r="L200" i="19"/>
  <c r="M200" i="19"/>
  <c r="N200" i="19"/>
  <c r="P200" i="19"/>
  <c r="Q200" i="19"/>
  <c r="H201" i="19"/>
  <c r="I201" i="19"/>
  <c r="K201" i="19"/>
  <c r="L201" i="19"/>
  <c r="M201" i="19"/>
  <c r="N201" i="19"/>
  <c r="P201" i="19"/>
  <c r="Q201" i="19"/>
  <c r="H202" i="19"/>
  <c r="I202" i="19"/>
  <c r="K202" i="19"/>
  <c r="L202" i="19"/>
  <c r="M202" i="19"/>
  <c r="N202" i="19"/>
  <c r="P202" i="19"/>
  <c r="Q202" i="19"/>
  <c r="H203" i="19"/>
  <c r="I203" i="19"/>
  <c r="K203" i="19"/>
  <c r="L203" i="19"/>
  <c r="M203" i="19"/>
  <c r="N203" i="19"/>
  <c r="P203" i="19"/>
  <c r="Q203" i="19"/>
  <c r="H204" i="19"/>
  <c r="I204" i="19"/>
  <c r="K204" i="19"/>
  <c r="L204" i="19"/>
  <c r="M204" i="19"/>
  <c r="N204" i="19"/>
  <c r="P204" i="19"/>
  <c r="Q204" i="19"/>
  <c r="H205" i="19"/>
  <c r="I205" i="19"/>
  <c r="K205" i="19"/>
  <c r="L205" i="19"/>
  <c r="M205" i="19"/>
  <c r="N205" i="19"/>
  <c r="P205" i="19"/>
  <c r="Q205" i="19"/>
  <c r="H206" i="19"/>
  <c r="I206" i="19"/>
  <c r="K206" i="19"/>
  <c r="L206" i="19"/>
  <c r="M206" i="19"/>
  <c r="N206" i="19"/>
  <c r="P206" i="19"/>
  <c r="Q206" i="19"/>
  <c r="H207" i="19"/>
  <c r="I207" i="19"/>
  <c r="K207" i="19"/>
  <c r="L207" i="19"/>
  <c r="M207" i="19"/>
  <c r="N207" i="19"/>
  <c r="P207" i="19"/>
  <c r="Q207" i="19"/>
  <c r="H208" i="19"/>
  <c r="I208" i="19"/>
  <c r="K208" i="19"/>
  <c r="L208" i="19"/>
  <c r="M208" i="19"/>
  <c r="N208" i="19"/>
  <c r="P208" i="19"/>
  <c r="Q208" i="19"/>
  <c r="H209" i="19"/>
  <c r="I209" i="19"/>
  <c r="K209" i="19"/>
  <c r="L209" i="19"/>
  <c r="M209" i="19"/>
  <c r="N209" i="19"/>
  <c r="P209" i="19"/>
  <c r="Q209" i="19"/>
  <c r="H210" i="19"/>
  <c r="I210" i="19"/>
  <c r="K210" i="19"/>
  <c r="L210" i="19"/>
  <c r="M210" i="19"/>
  <c r="N210" i="19"/>
  <c r="P210" i="19"/>
  <c r="Q210" i="19"/>
  <c r="H211" i="19"/>
  <c r="I211" i="19"/>
  <c r="K211" i="19"/>
  <c r="L211" i="19"/>
  <c r="M211" i="19"/>
  <c r="N211" i="19"/>
  <c r="P211" i="19"/>
  <c r="Q211" i="19"/>
  <c r="H212" i="19"/>
  <c r="I212" i="19"/>
  <c r="K212" i="19"/>
  <c r="L212" i="19"/>
  <c r="M212" i="19"/>
  <c r="N212" i="19"/>
  <c r="P212" i="19"/>
  <c r="Q212" i="19"/>
  <c r="H213" i="19"/>
  <c r="I213" i="19"/>
  <c r="K213" i="19"/>
  <c r="L213" i="19"/>
  <c r="M213" i="19"/>
  <c r="N213" i="19"/>
  <c r="P213" i="19"/>
  <c r="Q213" i="19"/>
  <c r="H214" i="19"/>
  <c r="I214" i="19"/>
  <c r="K214" i="19"/>
  <c r="L214" i="19"/>
  <c r="M214" i="19"/>
  <c r="N214" i="19"/>
  <c r="P214" i="19"/>
  <c r="Q214" i="19"/>
  <c r="H215" i="19"/>
  <c r="I215" i="19"/>
  <c r="K215" i="19"/>
  <c r="L215" i="19"/>
  <c r="M215" i="19"/>
  <c r="N215" i="19"/>
  <c r="P215" i="19"/>
  <c r="Q215" i="19"/>
  <c r="H216" i="19"/>
  <c r="I216" i="19"/>
  <c r="K216" i="19"/>
  <c r="L216" i="19"/>
  <c r="M216" i="19"/>
  <c r="N216" i="19"/>
  <c r="P216" i="19"/>
  <c r="Q216" i="19"/>
  <c r="H217" i="19"/>
  <c r="I217" i="19"/>
  <c r="K217" i="19"/>
  <c r="L217" i="19"/>
  <c r="M217" i="19"/>
  <c r="N217" i="19"/>
  <c r="P217" i="19"/>
  <c r="Q217" i="19"/>
  <c r="H218" i="19"/>
  <c r="I218" i="19"/>
  <c r="K218" i="19"/>
  <c r="L218" i="19"/>
  <c r="M218" i="19"/>
  <c r="N218" i="19"/>
  <c r="P218" i="19"/>
  <c r="Q218" i="19"/>
  <c r="H219" i="19"/>
  <c r="I219" i="19"/>
  <c r="K219" i="19"/>
  <c r="L219" i="19"/>
  <c r="M219" i="19"/>
  <c r="N219" i="19"/>
  <c r="P219" i="19"/>
  <c r="Q219" i="19"/>
  <c r="H220" i="19"/>
  <c r="I220" i="19"/>
  <c r="K220" i="19"/>
  <c r="L220" i="19"/>
  <c r="M220" i="19"/>
  <c r="N220" i="19"/>
  <c r="P220" i="19"/>
  <c r="Q220" i="19"/>
  <c r="H221" i="19"/>
  <c r="I221" i="19"/>
  <c r="K221" i="19"/>
  <c r="L221" i="19"/>
  <c r="M221" i="19"/>
  <c r="N221" i="19"/>
  <c r="P221" i="19"/>
  <c r="Q221" i="19"/>
  <c r="H222" i="19"/>
  <c r="I222" i="19"/>
  <c r="K222" i="19"/>
  <c r="L222" i="19"/>
  <c r="M222" i="19"/>
  <c r="N222" i="19"/>
  <c r="P222" i="19"/>
  <c r="Q222" i="19"/>
  <c r="H223" i="19"/>
  <c r="I223" i="19"/>
  <c r="K223" i="19"/>
  <c r="L223" i="19"/>
  <c r="M223" i="19"/>
  <c r="N223" i="19"/>
  <c r="P223" i="19"/>
  <c r="Q223" i="19"/>
  <c r="H224" i="19"/>
  <c r="I224" i="19"/>
  <c r="K224" i="19"/>
  <c r="L224" i="19"/>
  <c r="M224" i="19"/>
  <c r="N224" i="19"/>
  <c r="P224" i="19"/>
  <c r="Q224" i="19"/>
  <c r="H225" i="19"/>
  <c r="I225" i="19"/>
  <c r="K225" i="19"/>
  <c r="L225" i="19"/>
  <c r="M225" i="19"/>
  <c r="N225" i="19"/>
  <c r="P225" i="19"/>
  <c r="Q225" i="19"/>
  <c r="H226" i="19"/>
  <c r="I226" i="19"/>
  <c r="K226" i="19"/>
  <c r="L226" i="19"/>
  <c r="M226" i="19"/>
  <c r="N226" i="19"/>
  <c r="P226" i="19"/>
  <c r="Q226" i="19"/>
  <c r="H227" i="19"/>
  <c r="I227" i="19"/>
  <c r="K227" i="19"/>
  <c r="L227" i="19"/>
  <c r="M227" i="19"/>
  <c r="N227" i="19"/>
  <c r="P227" i="19"/>
  <c r="Q227" i="19"/>
  <c r="H228" i="19"/>
  <c r="I228" i="19"/>
  <c r="K228" i="19"/>
  <c r="L228" i="19"/>
  <c r="M228" i="19"/>
  <c r="N228" i="19"/>
  <c r="P228" i="19"/>
  <c r="Q228" i="19"/>
  <c r="H229" i="19"/>
  <c r="I229" i="19"/>
  <c r="K229" i="19"/>
  <c r="L229" i="19"/>
  <c r="M229" i="19"/>
  <c r="N229" i="19"/>
  <c r="P229" i="19"/>
  <c r="Q229" i="19"/>
  <c r="H230" i="19"/>
  <c r="I230" i="19"/>
  <c r="K230" i="19"/>
  <c r="L230" i="19"/>
  <c r="M230" i="19"/>
  <c r="N230" i="19"/>
  <c r="P230" i="19"/>
  <c r="Q230" i="19"/>
  <c r="H231" i="19"/>
  <c r="I231" i="19"/>
  <c r="K231" i="19"/>
  <c r="L231" i="19"/>
  <c r="M231" i="19"/>
  <c r="N231" i="19"/>
  <c r="P231" i="19"/>
  <c r="Q231" i="19"/>
  <c r="H232" i="19"/>
  <c r="I232" i="19"/>
  <c r="K232" i="19"/>
  <c r="L232" i="19"/>
  <c r="M232" i="19"/>
  <c r="N232" i="19"/>
  <c r="P232" i="19"/>
  <c r="Q232" i="19"/>
  <c r="H233" i="19"/>
  <c r="I233" i="19"/>
  <c r="K233" i="19"/>
  <c r="L233" i="19"/>
  <c r="M233" i="19"/>
  <c r="N233" i="19"/>
  <c r="P233" i="19"/>
  <c r="Q233" i="19"/>
  <c r="H234" i="19"/>
  <c r="I234" i="19"/>
  <c r="K234" i="19"/>
  <c r="L234" i="19"/>
  <c r="M234" i="19"/>
  <c r="N234" i="19"/>
  <c r="P234" i="19"/>
  <c r="Q234" i="19"/>
  <c r="H235" i="19"/>
  <c r="I235" i="19"/>
  <c r="K235" i="19"/>
  <c r="L235" i="19"/>
  <c r="M235" i="19"/>
  <c r="N235" i="19"/>
  <c r="P235" i="19"/>
  <c r="Q235" i="19"/>
  <c r="H236" i="19"/>
  <c r="I236" i="19"/>
  <c r="K236" i="19"/>
  <c r="L236" i="19"/>
  <c r="M236" i="19"/>
  <c r="N236" i="19"/>
  <c r="P236" i="19"/>
  <c r="Q236" i="19"/>
  <c r="H237" i="19"/>
  <c r="I237" i="19"/>
  <c r="K237" i="19"/>
  <c r="L237" i="19"/>
  <c r="M237" i="19"/>
  <c r="N237" i="19"/>
  <c r="P237" i="19"/>
  <c r="Q237" i="19"/>
  <c r="H238" i="19"/>
  <c r="I238" i="19"/>
  <c r="K238" i="19"/>
  <c r="L238" i="19"/>
  <c r="M238" i="19"/>
  <c r="N238" i="19"/>
  <c r="P238" i="19"/>
  <c r="Q238" i="19"/>
  <c r="H239" i="19"/>
  <c r="I239" i="19"/>
  <c r="K239" i="19"/>
  <c r="L239" i="19"/>
  <c r="M239" i="19"/>
  <c r="N239" i="19"/>
  <c r="P239" i="19"/>
  <c r="Q239" i="19"/>
  <c r="H240" i="19"/>
  <c r="I240" i="19"/>
  <c r="K240" i="19"/>
  <c r="L240" i="19"/>
  <c r="M240" i="19"/>
  <c r="N240" i="19"/>
  <c r="P240" i="19"/>
  <c r="Q240" i="19"/>
  <c r="H241" i="19"/>
  <c r="I241" i="19"/>
  <c r="K241" i="19"/>
  <c r="L241" i="19"/>
  <c r="M241" i="19"/>
  <c r="N241" i="19"/>
  <c r="P241" i="19"/>
  <c r="Q241" i="19"/>
  <c r="H242" i="19"/>
  <c r="I242" i="19"/>
  <c r="K242" i="19"/>
  <c r="L242" i="19"/>
  <c r="M242" i="19"/>
  <c r="N242" i="19"/>
  <c r="P242" i="19"/>
  <c r="Q242" i="19"/>
  <c r="H243" i="19"/>
  <c r="I243" i="19"/>
  <c r="K243" i="19"/>
  <c r="L243" i="19"/>
  <c r="M243" i="19"/>
  <c r="N243" i="19"/>
  <c r="P243" i="19"/>
  <c r="Q243" i="19"/>
  <c r="H244" i="19"/>
  <c r="I244" i="19"/>
  <c r="K244" i="19"/>
  <c r="L244" i="19"/>
  <c r="M244" i="19"/>
  <c r="N244" i="19"/>
  <c r="P244" i="19"/>
  <c r="Q244" i="19"/>
  <c r="H245" i="19"/>
  <c r="I245" i="19"/>
  <c r="K245" i="19"/>
  <c r="L245" i="19"/>
  <c r="M245" i="19"/>
  <c r="N245" i="19"/>
  <c r="P245" i="19"/>
  <c r="Q245" i="19"/>
  <c r="H246" i="19"/>
  <c r="I246" i="19"/>
  <c r="K246" i="19"/>
  <c r="L246" i="19"/>
  <c r="M246" i="19"/>
  <c r="N246" i="19"/>
  <c r="P246" i="19"/>
  <c r="Q246" i="19"/>
  <c r="H247" i="19"/>
  <c r="I247" i="19"/>
  <c r="K247" i="19"/>
  <c r="L247" i="19"/>
  <c r="M247" i="19"/>
  <c r="N247" i="19"/>
  <c r="P247" i="19"/>
  <c r="Q247" i="19"/>
  <c r="H248" i="19"/>
  <c r="I248" i="19"/>
  <c r="K248" i="19"/>
  <c r="L248" i="19"/>
  <c r="M248" i="19"/>
  <c r="N248" i="19"/>
  <c r="P248" i="19"/>
  <c r="Q248" i="19"/>
  <c r="H249" i="19"/>
  <c r="I249" i="19"/>
  <c r="K249" i="19"/>
  <c r="L249" i="19"/>
  <c r="M249" i="19"/>
  <c r="N249" i="19"/>
  <c r="P249" i="19"/>
  <c r="Q249" i="19"/>
  <c r="H250" i="19"/>
  <c r="I250" i="19"/>
  <c r="K250" i="19"/>
  <c r="L250" i="19"/>
  <c r="M250" i="19"/>
  <c r="N250" i="19"/>
  <c r="P250" i="19"/>
  <c r="Q250" i="19"/>
  <c r="H251" i="19"/>
  <c r="I251" i="19"/>
  <c r="K251" i="19"/>
  <c r="L251" i="19"/>
  <c r="M251" i="19"/>
  <c r="N251" i="19"/>
  <c r="P251" i="19"/>
  <c r="Q251" i="19"/>
  <c r="H252" i="19"/>
  <c r="I252" i="19"/>
  <c r="K252" i="19"/>
  <c r="L252" i="19"/>
  <c r="M252" i="19"/>
  <c r="N252" i="19"/>
  <c r="P252" i="19"/>
  <c r="Q252" i="19"/>
  <c r="H253" i="19"/>
  <c r="I253" i="19"/>
  <c r="K253" i="19"/>
  <c r="L253" i="19"/>
  <c r="M253" i="19"/>
  <c r="N253" i="19"/>
  <c r="P253" i="19"/>
  <c r="Q253" i="19"/>
  <c r="H254" i="19"/>
  <c r="I254" i="19"/>
  <c r="K254" i="19"/>
  <c r="L254" i="19"/>
  <c r="M254" i="19"/>
  <c r="N254" i="19"/>
  <c r="P254" i="19"/>
  <c r="Q254" i="19"/>
  <c r="H255" i="19"/>
  <c r="I255" i="19"/>
  <c r="K255" i="19"/>
  <c r="L255" i="19"/>
  <c r="M255" i="19"/>
  <c r="N255" i="19"/>
  <c r="P255" i="19"/>
  <c r="Q255" i="19"/>
  <c r="H256" i="19"/>
  <c r="I256" i="19"/>
  <c r="K256" i="19"/>
  <c r="L256" i="19"/>
  <c r="M256" i="19"/>
  <c r="N256" i="19"/>
  <c r="P256" i="19"/>
  <c r="Q256" i="19"/>
  <c r="H257" i="19"/>
  <c r="I257" i="19"/>
  <c r="K257" i="19"/>
  <c r="L257" i="19"/>
  <c r="M257" i="19"/>
  <c r="N257" i="19"/>
  <c r="P257" i="19"/>
  <c r="Q257" i="19"/>
  <c r="H258" i="19"/>
  <c r="I258" i="19"/>
  <c r="K258" i="19"/>
  <c r="L258" i="19"/>
  <c r="M258" i="19"/>
  <c r="N258" i="19"/>
  <c r="P258" i="19"/>
  <c r="Q258" i="19"/>
  <c r="H259" i="19"/>
  <c r="I259" i="19"/>
  <c r="K259" i="19"/>
  <c r="L259" i="19"/>
  <c r="M259" i="19"/>
  <c r="N259" i="19"/>
  <c r="P259" i="19"/>
  <c r="Q259" i="19"/>
  <c r="H260" i="19"/>
  <c r="I260" i="19"/>
  <c r="K260" i="19"/>
  <c r="L260" i="19"/>
  <c r="M260" i="19"/>
  <c r="N260" i="19"/>
  <c r="P260" i="19"/>
  <c r="Q260" i="19"/>
  <c r="H261" i="19"/>
  <c r="I261" i="19"/>
  <c r="K261" i="19"/>
  <c r="L261" i="19"/>
  <c r="M261" i="19"/>
  <c r="N261" i="19"/>
  <c r="P261" i="19"/>
  <c r="Q261" i="19"/>
  <c r="H262" i="19"/>
  <c r="I262" i="19"/>
  <c r="K262" i="19"/>
  <c r="L262" i="19"/>
  <c r="M262" i="19"/>
  <c r="N262" i="19"/>
  <c r="P262" i="19"/>
  <c r="Q262" i="19"/>
  <c r="H263" i="19"/>
  <c r="I263" i="19"/>
  <c r="K263" i="19"/>
  <c r="L263" i="19"/>
  <c r="M263" i="19"/>
  <c r="N263" i="19"/>
  <c r="P263" i="19"/>
  <c r="Q263" i="19"/>
  <c r="H264" i="19"/>
  <c r="I264" i="19"/>
  <c r="K264" i="19"/>
  <c r="L264" i="19"/>
  <c r="M264" i="19"/>
  <c r="N264" i="19"/>
  <c r="P264" i="19"/>
  <c r="Q264" i="19"/>
  <c r="H265" i="19"/>
  <c r="I265" i="19"/>
  <c r="K265" i="19"/>
  <c r="L265" i="19"/>
  <c r="M265" i="19"/>
  <c r="N265" i="19"/>
  <c r="P265" i="19"/>
  <c r="Q265" i="19"/>
  <c r="H266" i="19"/>
  <c r="I266" i="19"/>
  <c r="K266" i="19"/>
  <c r="L266" i="19"/>
  <c r="M266" i="19"/>
  <c r="N266" i="19"/>
  <c r="P266" i="19"/>
  <c r="Q266" i="19"/>
  <c r="H267" i="19"/>
  <c r="I267" i="19"/>
  <c r="K267" i="19"/>
  <c r="L267" i="19"/>
  <c r="M267" i="19"/>
  <c r="N267" i="19"/>
  <c r="P267" i="19"/>
  <c r="Q267" i="19"/>
  <c r="H268" i="19"/>
  <c r="I268" i="19"/>
  <c r="K268" i="19"/>
  <c r="L268" i="19"/>
  <c r="M268" i="19"/>
  <c r="N268" i="19"/>
  <c r="P268" i="19"/>
  <c r="Q268" i="19"/>
  <c r="H269" i="19"/>
  <c r="I269" i="19"/>
  <c r="K269" i="19"/>
  <c r="L269" i="19"/>
  <c r="M269" i="19"/>
  <c r="N269" i="19"/>
  <c r="P269" i="19"/>
  <c r="Q269" i="19"/>
  <c r="H270" i="19"/>
  <c r="I270" i="19"/>
  <c r="K270" i="19"/>
  <c r="L270" i="19"/>
  <c r="M270" i="19"/>
  <c r="N270" i="19"/>
  <c r="P270" i="19"/>
  <c r="Q270" i="19"/>
  <c r="H271" i="19"/>
  <c r="I271" i="19"/>
  <c r="K271" i="19"/>
  <c r="L271" i="19"/>
  <c r="M271" i="19"/>
  <c r="N271" i="19"/>
  <c r="P271" i="19"/>
  <c r="Q271" i="19"/>
  <c r="H272" i="19"/>
  <c r="I272" i="19"/>
  <c r="K272" i="19"/>
  <c r="L272" i="19"/>
  <c r="M272" i="19"/>
  <c r="N272" i="19"/>
  <c r="P272" i="19"/>
  <c r="Q272" i="19"/>
  <c r="H273" i="19"/>
  <c r="I273" i="19"/>
  <c r="K273" i="19"/>
  <c r="L273" i="19"/>
  <c r="M273" i="19"/>
  <c r="N273" i="19"/>
  <c r="P273" i="19"/>
  <c r="Q273" i="19"/>
  <c r="H274" i="19"/>
  <c r="I274" i="19"/>
  <c r="K274" i="19"/>
  <c r="L274" i="19"/>
  <c r="M274" i="19"/>
  <c r="N274" i="19"/>
  <c r="P274" i="19"/>
  <c r="Q274" i="19"/>
  <c r="H275" i="19"/>
  <c r="I275" i="19"/>
  <c r="K275" i="19"/>
  <c r="L275" i="19"/>
  <c r="M275" i="19"/>
  <c r="N275" i="19"/>
  <c r="P275" i="19"/>
  <c r="Q275" i="19"/>
  <c r="H276" i="19"/>
  <c r="I276" i="19"/>
  <c r="K276" i="19"/>
  <c r="L276" i="19"/>
  <c r="M276" i="19"/>
  <c r="N276" i="19"/>
  <c r="P276" i="19"/>
  <c r="Q276" i="19"/>
  <c r="H277" i="19"/>
  <c r="I277" i="19"/>
  <c r="K277" i="19"/>
  <c r="L277" i="19"/>
  <c r="M277" i="19"/>
  <c r="N277" i="19"/>
  <c r="P277" i="19"/>
  <c r="Q277" i="19"/>
  <c r="H278" i="19"/>
  <c r="I278" i="19"/>
  <c r="K278" i="19"/>
  <c r="L278" i="19"/>
  <c r="M278" i="19"/>
  <c r="N278" i="19"/>
  <c r="P278" i="19"/>
  <c r="Q278" i="19"/>
  <c r="H279" i="19"/>
  <c r="I279" i="19"/>
  <c r="K279" i="19"/>
  <c r="L279" i="19"/>
  <c r="M279" i="19"/>
  <c r="N279" i="19"/>
  <c r="P279" i="19"/>
  <c r="Q279" i="19"/>
  <c r="H280" i="19"/>
  <c r="I280" i="19"/>
  <c r="K280" i="19"/>
  <c r="L280" i="19"/>
  <c r="M280" i="19"/>
  <c r="N280" i="19"/>
  <c r="P280" i="19"/>
  <c r="Q280" i="19"/>
  <c r="H281" i="19"/>
  <c r="I281" i="19"/>
  <c r="K281" i="19"/>
  <c r="L281" i="19"/>
  <c r="M281" i="19"/>
  <c r="N281" i="19"/>
  <c r="P281" i="19"/>
  <c r="Q281" i="19"/>
  <c r="H282" i="19"/>
  <c r="I282" i="19"/>
  <c r="K282" i="19"/>
  <c r="L282" i="19"/>
  <c r="M282" i="19"/>
  <c r="N282" i="19"/>
  <c r="P282" i="19"/>
  <c r="Q282" i="19"/>
  <c r="H283" i="19"/>
  <c r="I283" i="19"/>
  <c r="K283" i="19"/>
  <c r="L283" i="19"/>
  <c r="M283" i="19"/>
  <c r="N283" i="19"/>
  <c r="P283" i="19"/>
  <c r="Q283" i="19"/>
  <c r="H284" i="19"/>
  <c r="I284" i="19"/>
  <c r="K284" i="19"/>
  <c r="L284" i="19"/>
  <c r="M284" i="19"/>
  <c r="N284" i="19"/>
  <c r="P284" i="19"/>
  <c r="Q284" i="19"/>
  <c r="H285" i="19"/>
  <c r="I285" i="19"/>
  <c r="K285" i="19"/>
  <c r="L285" i="19"/>
  <c r="M285" i="19"/>
  <c r="N285" i="19"/>
  <c r="P285" i="19"/>
  <c r="Q285" i="19"/>
  <c r="H286" i="19"/>
  <c r="I286" i="19"/>
  <c r="K286" i="19"/>
  <c r="L286" i="19"/>
  <c r="M286" i="19"/>
  <c r="N286" i="19"/>
  <c r="P286" i="19"/>
  <c r="Q286" i="19"/>
  <c r="H287" i="19"/>
  <c r="I287" i="19"/>
  <c r="K287" i="19"/>
  <c r="L287" i="19"/>
  <c r="M287" i="19"/>
  <c r="N287" i="19"/>
  <c r="P287" i="19"/>
  <c r="Q287" i="19"/>
  <c r="H288" i="19"/>
  <c r="I288" i="19"/>
  <c r="K288" i="19"/>
  <c r="L288" i="19"/>
  <c r="M288" i="19"/>
  <c r="N288" i="19"/>
  <c r="P288" i="19"/>
  <c r="Q288" i="19"/>
  <c r="H289" i="19"/>
  <c r="I289" i="19"/>
  <c r="K289" i="19"/>
  <c r="L289" i="19"/>
  <c r="M289" i="19"/>
  <c r="N289" i="19"/>
  <c r="P289" i="19"/>
  <c r="Q289" i="19"/>
  <c r="H290" i="19"/>
  <c r="I290" i="19"/>
  <c r="K290" i="19"/>
  <c r="L290" i="19"/>
  <c r="M290" i="19"/>
  <c r="N290" i="19"/>
  <c r="P290" i="19"/>
  <c r="Q290" i="19"/>
  <c r="H291" i="19"/>
  <c r="I291" i="19"/>
  <c r="K291" i="19"/>
  <c r="L291" i="19"/>
  <c r="M291" i="19"/>
  <c r="N291" i="19"/>
  <c r="P291" i="19"/>
  <c r="Q291" i="19"/>
  <c r="H292" i="19"/>
  <c r="I292" i="19"/>
  <c r="K292" i="19"/>
  <c r="L292" i="19"/>
  <c r="M292" i="19"/>
  <c r="N292" i="19"/>
  <c r="P292" i="19"/>
  <c r="Q292" i="19"/>
  <c r="H293" i="19"/>
  <c r="I293" i="19"/>
  <c r="K293" i="19"/>
  <c r="L293" i="19"/>
  <c r="M293" i="19"/>
  <c r="N293" i="19"/>
  <c r="P293" i="19"/>
  <c r="Q293" i="19"/>
  <c r="H294" i="19"/>
  <c r="I294" i="19"/>
  <c r="K294" i="19"/>
  <c r="L294" i="19"/>
  <c r="M294" i="19"/>
  <c r="N294" i="19"/>
  <c r="P294" i="19"/>
  <c r="Q294" i="19"/>
  <c r="H295" i="19"/>
  <c r="I295" i="19"/>
  <c r="K295" i="19"/>
  <c r="L295" i="19"/>
  <c r="M295" i="19"/>
  <c r="N295" i="19"/>
  <c r="P295" i="19"/>
  <c r="Q295" i="19"/>
  <c r="H296" i="19"/>
  <c r="I296" i="19"/>
  <c r="K296" i="19"/>
  <c r="L296" i="19"/>
  <c r="M296" i="19"/>
  <c r="N296" i="19"/>
  <c r="P296" i="19"/>
  <c r="Q296" i="19"/>
  <c r="H297" i="19"/>
  <c r="I297" i="19"/>
  <c r="K297" i="19"/>
  <c r="L297" i="19"/>
  <c r="M297" i="19"/>
  <c r="N297" i="19"/>
  <c r="P297" i="19"/>
  <c r="Q297" i="19"/>
  <c r="H298" i="19"/>
  <c r="I298" i="19"/>
  <c r="K298" i="19"/>
  <c r="L298" i="19"/>
  <c r="M298" i="19"/>
  <c r="N298" i="19"/>
  <c r="P298" i="19"/>
  <c r="Q298" i="19"/>
  <c r="H299" i="19"/>
  <c r="I299" i="19"/>
  <c r="K299" i="19"/>
  <c r="L299" i="19"/>
  <c r="M299" i="19"/>
  <c r="N299" i="19"/>
  <c r="P299" i="19"/>
  <c r="Q299" i="19"/>
  <c r="H300" i="19"/>
  <c r="I300" i="19"/>
  <c r="K300" i="19"/>
  <c r="L300" i="19"/>
  <c r="M300" i="19"/>
  <c r="N300" i="19"/>
  <c r="P300" i="19"/>
  <c r="Q300" i="19"/>
  <c r="H301" i="19"/>
  <c r="I301" i="19"/>
  <c r="K301" i="19"/>
  <c r="L301" i="19"/>
  <c r="M301" i="19"/>
  <c r="N301" i="19"/>
  <c r="P301" i="19"/>
  <c r="Q301" i="19"/>
  <c r="H302" i="19"/>
  <c r="I302" i="19"/>
  <c r="K302" i="19"/>
  <c r="L302" i="19"/>
  <c r="M302" i="19"/>
  <c r="N302" i="19"/>
  <c r="P302" i="19"/>
  <c r="Q302" i="19"/>
  <c r="H303" i="19"/>
  <c r="I303" i="19"/>
  <c r="K303" i="19"/>
  <c r="L303" i="19"/>
  <c r="M303" i="19"/>
  <c r="N303" i="19"/>
  <c r="P303" i="19"/>
  <c r="Q303" i="19"/>
  <c r="H304" i="19"/>
  <c r="I304" i="19"/>
  <c r="K304" i="19"/>
  <c r="L304" i="19"/>
  <c r="M304" i="19"/>
  <c r="N304" i="19"/>
  <c r="P304" i="19"/>
  <c r="Q304" i="19"/>
  <c r="H305" i="19"/>
  <c r="I305" i="19"/>
  <c r="K305" i="19"/>
  <c r="L305" i="19"/>
  <c r="M305" i="19"/>
  <c r="N305" i="19"/>
  <c r="P305" i="19"/>
  <c r="Q305" i="19"/>
  <c r="H306" i="19"/>
  <c r="I306" i="19"/>
  <c r="K306" i="19"/>
  <c r="L306" i="19"/>
  <c r="M306" i="19"/>
  <c r="N306" i="19"/>
  <c r="P306" i="19"/>
  <c r="Q306" i="19"/>
  <c r="H307" i="19"/>
  <c r="I307" i="19"/>
  <c r="K307" i="19"/>
  <c r="L307" i="19"/>
  <c r="M307" i="19"/>
  <c r="N307" i="19"/>
  <c r="P307" i="19"/>
  <c r="Q307" i="19"/>
  <c r="H308" i="19"/>
  <c r="I308" i="19"/>
  <c r="K308" i="19"/>
  <c r="L308" i="19"/>
  <c r="M308" i="19"/>
  <c r="N308" i="19"/>
  <c r="P308" i="19"/>
  <c r="Q308" i="19"/>
  <c r="H309" i="19"/>
  <c r="I309" i="19"/>
  <c r="K309" i="19"/>
  <c r="L309" i="19"/>
  <c r="M309" i="19"/>
  <c r="N309" i="19"/>
  <c r="P309" i="19"/>
  <c r="Q309" i="19"/>
  <c r="H310" i="19"/>
  <c r="I310" i="19"/>
  <c r="K310" i="19"/>
  <c r="L310" i="19"/>
  <c r="M310" i="19"/>
  <c r="N310" i="19"/>
  <c r="P310" i="19"/>
  <c r="Q310" i="19"/>
  <c r="H311" i="19"/>
  <c r="I311" i="19"/>
  <c r="K311" i="19"/>
  <c r="L311" i="19"/>
  <c r="M311" i="19"/>
  <c r="N311" i="19"/>
  <c r="P311" i="19"/>
  <c r="Q311" i="19"/>
  <c r="H312" i="19"/>
  <c r="I312" i="19"/>
  <c r="K312" i="19"/>
  <c r="L312" i="19"/>
  <c r="M312" i="19"/>
  <c r="N312" i="19"/>
  <c r="P312" i="19"/>
  <c r="Q312" i="19"/>
  <c r="H313" i="19"/>
  <c r="I313" i="19"/>
  <c r="K313" i="19"/>
  <c r="L313" i="19"/>
  <c r="M313" i="19"/>
  <c r="N313" i="19"/>
  <c r="P313" i="19"/>
  <c r="Q313" i="19"/>
  <c r="H314" i="19"/>
  <c r="I314" i="19"/>
  <c r="K314" i="19"/>
  <c r="L314" i="19"/>
  <c r="M314" i="19"/>
  <c r="N314" i="19"/>
  <c r="P314" i="19"/>
  <c r="Q314" i="19"/>
  <c r="H315" i="19"/>
  <c r="I315" i="19"/>
  <c r="K315" i="19"/>
  <c r="L315" i="19"/>
  <c r="M315" i="19"/>
  <c r="N315" i="19"/>
  <c r="P315" i="19"/>
  <c r="Q315" i="19"/>
  <c r="C8" i="19"/>
  <c r="D8" i="19"/>
  <c r="E8" i="19"/>
  <c r="F8" i="19"/>
  <c r="C9" i="19"/>
  <c r="D9" i="19"/>
  <c r="E9" i="19"/>
  <c r="F9" i="19"/>
  <c r="C10" i="19"/>
  <c r="D10" i="19"/>
  <c r="E10" i="19"/>
  <c r="F10" i="19"/>
  <c r="C11" i="19"/>
  <c r="D11" i="19"/>
  <c r="E11" i="19"/>
  <c r="F11" i="19"/>
  <c r="C12" i="19"/>
  <c r="D12" i="19"/>
  <c r="E12" i="19"/>
  <c r="F12" i="19"/>
  <c r="C13" i="19"/>
  <c r="D13" i="19"/>
  <c r="E13" i="19"/>
  <c r="F13" i="19"/>
  <c r="C14" i="19"/>
  <c r="D14" i="19"/>
  <c r="E14" i="19"/>
  <c r="F14" i="19"/>
  <c r="C15" i="19"/>
  <c r="D15" i="19"/>
  <c r="E15" i="19"/>
  <c r="F15" i="19"/>
  <c r="C16" i="19"/>
  <c r="D16" i="19"/>
  <c r="E16" i="19"/>
  <c r="F16" i="19"/>
  <c r="C17" i="19"/>
  <c r="D17" i="19"/>
  <c r="E17" i="19"/>
  <c r="F17" i="19"/>
  <c r="C18" i="19"/>
  <c r="D18" i="19"/>
  <c r="E18" i="19"/>
  <c r="F18" i="19"/>
  <c r="C19" i="19"/>
  <c r="D19" i="19"/>
  <c r="E19" i="19"/>
  <c r="F19" i="19"/>
  <c r="C20" i="19"/>
  <c r="D20" i="19"/>
  <c r="E20" i="19"/>
  <c r="F20" i="19"/>
  <c r="C21" i="19"/>
  <c r="D21" i="19"/>
  <c r="E21" i="19"/>
  <c r="F21" i="19"/>
  <c r="C22" i="19"/>
  <c r="D22" i="19"/>
  <c r="E22" i="19"/>
  <c r="F22" i="19"/>
  <c r="C23" i="19"/>
  <c r="D23" i="19"/>
  <c r="E23" i="19"/>
  <c r="F23" i="19"/>
  <c r="C24" i="19"/>
  <c r="D24" i="19"/>
  <c r="E24" i="19"/>
  <c r="F24" i="19"/>
  <c r="C25" i="19"/>
  <c r="D25" i="19"/>
  <c r="E25" i="19"/>
  <c r="F25" i="19"/>
  <c r="C26" i="19"/>
  <c r="D26" i="19"/>
  <c r="E26" i="19"/>
  <c r="F26" i="19"/>
  <c r="C27" i="19"/>
  <c r="D27" i="19"/>
  <c r="E27" i="19"/>
  <c r="F27" i="19"/>
  <c r="C28" i="19"/>
  <c r="D28" i="19"/>
  <c r="E28" i="19"/>
  <c r="F28" i="19"/>
  <c r="C29" i="19"/>
  <c r="D29" i="19"/>
  <c r="E29" i="19"/>
  <c r="F29" i="19"/>
  <c r="C30" i="19"/>
  <c r="D30" i="19"/>
  <c r="E30" i="19"/>
  <c r="F30" i="19"/>
  <c r="C31" i="19"/>
  <c r="D31" i="19"/>
  <c r="E31" i="19"/>
  <c r="F31" i="19"/>
  <c r="C32" i="19"/>
  <c r="D32" i="19"/>
  <c r="E32" i="19"/>
  <c r="F32" i="19"/>
  <c r="C33" i="19"/>
  <c r="D33" i="19"/>
  <c r="E33" i="19"/>
  <c r="F33" i="19"/>
  <c r="C34" i="19"/>
  <c r="D34" i="19"/>
  <c r="E34" i="19"/>
  <c r="F34" i="19"/>
  <c r="C35" i="19"/>
  <c r="D35" i="19"/>
  <c r="E35" i="19"/>
  <c r="F35" i="19"/>
  <c r="C36" i="19"/>
  <c r="D36" i="19"/>
  <c r="E36" i="19"/>
  <c r="F36" i="19"/>
  <c r="C37" i="19"/>
  <c r="D37" i="19"/>
  <c r="E37" i="19"/>
  <c r="F37" i="19"/>
  <c r="C38" i="19"/>
  <c r="D38" i="19"/>
  <c r="E38" i="19"/>
  <c r="F38" i="19"/>
  <c r="C39" i="19"/>
  <c r="D39" i="19"/>
  <c r="E39" i="19"/>
  <c r="F39" i="19"/>
  <c r="C40" i="19"/>
  <c r="D40" i="19"/>
  <c r="E40" i="19"/>
  <c r="F40" i="19"/>
  <c r="C41" i="19"/>
  <c r="D41" i="19"/>
  <c r="E41" i="19"/>
  <c r="F41" i="19"/>
  <c r="C42" i="19"/>
  <c r="D42" i="19"/>
  <c r="E42" i="19"/>
  <c r="F42" i="19"/>
  <c r="C43" i="19"/>
  <c r="D43" i="19"/>
  <c r="E43" i="19"/>
  <c r="F43" i="19"/>
  <c r="C44" i="19"/>
  <c r="D44" i="19"/>
  <c r="E44" i="19"/>
  <c r="F44" i="19"/>
  <c r="C45" i="19"/>
  <c r="D45" i="19"/>
  <c r="E45" i="19"/>
  <c r="F45" i="19"/>
  <c r="C46" i="19"/>
  <c r="D46" i="19"/>
  <c r="E46" i="19"/>
  <c r="F46" i="19"/>
  <c r="C47" i="19"/>
  <c r="D47" i="19"/>
  <c r="E47" i="19"/>
  <c r="F47" i="19"/>
  <c r="C48" i="19"/>
  <c r="D48" i="19"/>
  <c r="E48" i="19"/>
  <c r="F48" i="19"/>
  <c r="C49" i="19"/>
  <c r="D49" i="19"/>
  <c r="E49" i="19"/>
  <c r="F49" i="19"/>
  <c r="C50" i="19"/>
  <c r="D50" i="19"/>
  <c r="E50" i="19"/>
  <c r="F50" i="19"/>
  <c r="C51" i="19"/>
  <c r="D51" i="19"/>
  <c r="E51" i="19"/>
  <c r="F51" i="19"/>
  <c r="C52" i="19"/>
  <c r="D52" i="19"/>
  <c r="E52" i="19"/>
  <c r="F52" i="19"/>
  <c r="C53" i="19"/>
  <c r="D53" i="19"/>
  <c r="E53" i="19"/>
  <c r="F53" i="19"/>
  <c r="C54" i="19"/>
  <c r="D54" i="19"/>
  <c r="E54" i="19"/>
  <c r="F54" i="19"/>
  <c r="C55" i="19"/>
  <c r="D55" i="19"/>
  <c r="E55" i="19"/>
  <c r="F55" i="19"/>
  <c r="C56" i="19"/>
  <c r="D56" i="19"/>
  <c r="E56" i="19"/>
  <c r="F56" i="19"/>
  <c r="C57" i="19"/>
  <c r="D57" i="19"/>
  <c r="E57" i="19"/>
  <c r="F57" i="19"/>
  <c r="C58" i="19"/>
  <c r="D58" i="19"/>
  <c r="E58" i="19"/>
  <c r="F58" i="19"/>
  <c r="C59" i="19"/>
  <c r="D59" i="19"/>
  <c r="E59" i="19"/>
  <c r="F59" i="19"/>
  <c r="C60" i="19"/>
  <c r="D60" i="19"/>
  <c r="E60" i="19"/>
  <c r="F60" i="19"/>
  <c r="C61" i="19"/>
  <c r="D61" i="19"/>
  <c r="E61" i="19"/>
  <c r="F61" i="19"/>
  <c r="C62" i="19"/>
  <c r="D62" i="19"/>
  <c r="E62" i="19"/>
  <c r="F62" i="19"/>
  <c r="C63" i="19"/>
  <c r="D63" i="19"/>
  <c r="E63" i="19"/>
  <c r="F63" i="19"/>
  <c r="C64" i="19"/>
  <c r="D64" i="19"/>
  <c r="E64" i="19"/>
  <c r="F64" i="19"/>
  <c r="C65" i="19"/>
  <c r="D65" i="19"/>
  <c r="E65" i="19"/>
  <c r="F65" i="19"/>
  <c r="C66" i="19"/>
  <c r="D66" i="19"/>
  <c r="E66" i="19"/>
  <c r="F66" i="19"/>
  <c r="C67" i="19"/>
  <c r="D67" i="19"/>
  <c r="E67" i="19"/>
  <c r="F67" i="19"/>
  <c r="C68" i="19"/>
  <c r="D68" i="19"/>
  <c r="E68" i="19"/>
  <c r="F68" i="19"/>
  <c r="C69" i="19"/>
  <c r="D69" i="19"/>
  <c r="E69" i="19"/>
  <c r="F69" i="19"/>
  <c r="C70" i="19"/>
  <c r="D70" i="19"/>
  <c r="E70" i="19"/>
  <c r="F70" i="19"/>
  <c r="C71" i="19"/>
  <c r="D71" i="19"/>
  <c r="E71" i="19"/>
  <c r="F71" i="19"/>
  <c r="C72" i="19"/>
  <c r="D72" i="19"/>
  <c r="E72" i="19"/>
  <c r="F72" i="19"/>
  <c r="C73" i="19"/>
  <c r="D73" i="19"/>
  <c r="E73" i="19"/>
  <c r="F73" i="19"/>
  <c r="C74" i="19"/>
  <c r="D74" i="19"/>
  <c r="E74" i="19"/>
  <c r="F74" i="19"/>
  <c r="C75" i="19"/>
  <c r="D75" i="19"/>
  <c r="E75" i="19"/>
  <c r="F75" i="19"/>
  <c r="C76" i="19"/>
  <c r="D76" i="19"/>
  <c r="E76" i="19"/>
  <c r="F76" i="19"/>
  <c r="C77" i="19"/>
  <c r="D77" i="19"/>
  <c r="E77" i="19"/>
  <c r="F77" i="19"/>
  <c r="D78" i="19"/>
  <c r="E78" i="19"/>
  <c r="F78" i="19"/>
  <c r="C79" i="19"/>
  <c r="D79" i="19"/>
  <c r="E79" i="19"/>
  <c r="F79" i="19"/>
  <c r="C80" i="19"/>
  <c r="D80" i="19"/>
  <c r="E80" i="19"/>
  <c r="F80" i="19"/>
  <c r="C81" i="19"/>
  <c r="D81" i="19"/>
  <c r="E81" i="19"/>
  <c r="F81" i="19"/>
  <c r="C82" i="19"/>
  <c r="D82" i="19"/>
  <c r="E82" i="19"/>
  <c r="F82" i="19"/>
  <c r="C83" i="19"/>
  <c r="D83" i="19"/>
  <c r="E83" i="19"/>
  <c r="F83" i="19"/>
  <c r="C84" i="19"/>
  <c r="D84" i="19"/>
  <c r="E84" i="19"/>
  <c r="F84" i="19"/>
  <c r="C85" i="19"/>
  <c r="D85" i="19"/>
  <c r="E85" i="19"/>
  <c r="F85" i="19"/>
  <c r="C86" i="19"/>
  <c r="D86" i="19"/>
  <c r="E86" i="19"/>
  <c r="F86" i="19"/>
  <c r="C87" i="19"/>
  <c r="D87" i="19"/>
  <c r="E87" i="19"/>
  <c r="F87" i="19"/>
  <c r="C88" i="19"/>
  <c r="D88" i="19"/>
  <c r="E88" i="19"/>
  <c r="F88" i="19"/>
  <c r="C89" i="19"/>
  <c r="D89" i="19"/>
  <c r="E89" i="19"/>
  <c r="F89" i="19"/>
  <c r="C90" i="19"/>
  <c r="D90" i="19"/>
  <c r="E90" i="19"/>
  <c r="F90" i="19"/>
  <c r="C91" i="19"/>
  <c r="D91" i="19"/>
  <c r="E91" i="19"/>
  <c r="F91" i="19"/>
  <c r="C92" i="19"/>
  <c r="D92" i="19"/>
  <c r="E92" i="19"/>
  <c r="F92" i="19"/>
  <c r="C93" i="19"/>
  <c r="D93" i="19"/>
  <c r="E93" i="19"/>
  <c r="F93" i="19"/>
  <c r="C94" i="19"/>
  <c r="D94" i="19"/>
  <c r="E94" i="19"/>
  <c r="F94" i="19"/>
  <c r="C95" i="19"/>
  <c r="D95" i="19"/>
  <c r="E95" i="19"/>
  <c r="F95" i="19"/>
  <c r="C96" i="19"/>
  <c r="D96" i="19"/>
  <c r="E96" i="19"/>
  <c r="F96" i="19"/>
  <c r="C97" i="19"/>
  <c r="D97" i="19"/>
  <c r="E97" i="19"/>
  <c r="F97" i="19"/>
  <c r="C98" i="19"/>
  <c r="D98" i="19"/>
  <c r="E98" i="19"/>
  <c r="F98" i="19"/>
  <c r="C99" i="19"/>
  <c r="D99" i="19"/>
  <c r="E99" i="19"/>
  <c r="F99" i="19"/>
  <c r="C100" i="19"/>
  <c r="D100" i="19"/>
  <c r="E100" i="19"/>
  <c r="F100" i="19"/>
  <c r="C101" i="19"/>
  <c r="D101" i="19"/>
  <c r="E101" i="19"/>
  <c r="F101" i="19"/>
  <c r="C102" i="19"/>
  <c r="D102" i="19"/>
  <c r="E102" i="19"/>
  <c r="F102" i="19"/>
  <c r="C103" i="19"/>
  <c r="D103" i="19"/>
  <c r="E103" i="19"/>
  <c r="F103" i="19"/>
  <c r="C104" i="19"/>
  <c r="D104" i="19"/>
  <c r="E104" i="19"/>
  <c r="F104" i="19"/>
  <c r="C105" i="19"/>
  <c r="D105" i="19"/>
  <c r="E105" i="19"/>
  <c r="F105" i="19"/>
  <c r="C106" i="19"/>
  <c r="D106" i="19"/>
  <c r="E106" i="19"/>
  <c r="F106" i="19"/>
  <c r="C107" i="19"/>
  <c r="D107" i="19"/>
  <c r="E107" i="19"/>
  <c r="F107" i="19"/>
  <c r="C108" i="19"/>
  <c r="D108" i="19"/>
  <c r="E108" i="19"/>
  <c r="F108" i="19"/>
  <c r="C109" i="19"/>
  <c r="D109" i="19"/>
  <c r="E109" i="19"/>
  <c r="F109" i="19"/>
  <c r="C110" i="19"/>
  <c r="D110" i="19"/>
  <c r="E110" i="19"/>
  <c r="F110" i="19"/>
  <c r="C111" i="19"/>
  <c r="D111" i="19"/>
  <c r="E111" i="19"/>
  <c r="F111" i="19"/>
  <c r="C112" i="19"/>
  <c r="D112" i="19"/>
  <c r="E112" i="19"/>
  <c r="F112" i="19"/>
  <c r="C113" i="19"/>
  <c r="D113" i="19"/>
  <c r="E113" i="19"/>
  <c r="F113" i="19"/>
  <c r="C114" i="19"/>
  <c r="D114" i="19"/>
  <c r="E114" i="19"/>
  <c r="F114" i="19"/>
  <c r="C115" i="19"/>
  <c r="D115" i="19"/>
  <c r="E115" i="19"/>
  <c r="F115" i="19"/>
  <c r="C116" i="19"/>
  <c r="D116" i="19"/>
  <c r="E116" i="19"/>
  <c r="F116" i="19"/>
  <c r="C117" i="19"/>
  <c r="D117" i="19"/>
  <c r="E117" i="19"/>
  <c r="F117" i="19"/>
  <c r="C118" i="19"/>
  <c r="D118" i="19"/>
  <c r="E118" i="19"/>
  <c r="F118" i="19"/>
  <c r="C119" i="19"/>
  <c r="D119" i="19"/>
  <c r="E119" i="19"/>
  <c r="F119" i="19"/>
  <c r="C120" i="19"/>
  <c r="D120" i="19"/>
  <c r="E120" i="19"/>
  <c r="F120" i="19"/>
  <c r="C121" i="19"/>
  <c r="D121" i="19"/>
  <c r="E121" i="19"/>
  <c r="F121" i="19"/>
  <c r="C122" i="19"/>
  <c r="D122" i="19"/>
  <c r="E122" i="19"/>
  <c r="F122" i="19"/>
  <c r="C123" i="19"/>
  <c r="D123" i="19"/>
  <c r="E123" i="19"/>
  <c r="F123" i="19"/>
  <c r="C124" i="19"/>
  <c r="D124" i="19"/>
  <c r="E124" i="19"/>
  <c r="F124" i="19"/>
  <c r="C125" i="19"/>
  <c r="D125" i="19"/>
  <c r="E125" i="19"/>
  <c r="F125" i="19"/>
  <c r="C126" i="19"/>
  <c r="D126" i="19"/>
  <c r="E126" i="19"/>
  <c r="F126" i="19"/>
  <c r="C127" i="19"/>
  <c r="D127" i="19"/>
  <c r="E127" i="19"/>
  <c r="F127" i="19"/>
  <c r="C128" i="19"/>
  <c r="D128" i="19"/>
  <c r="E128" i="19"/>
  <c r="F128" i="19"/>
  <c r="C129" i="19"/>
  <c r="D129" i="19"/>
  <c r="E129" i="19"/>
  <c r="F129" i="19"/>
  <c r="C130" i="19"/>
  <c r="D130" i="19"/>
  <c r="F130" i="19"/>
  <c r="C131" i="19"/>
  <c r="D131" i="19"/>
  <c r="E131" i="19"/>
  <c r="F131" i="19"/>
  <c r="C132" i="19"/>
  <c r="D132" i="19"/>
  <c r="E132" i="19"/>
  <c r="F132" i="19"/>
  <c r="C133" i="19"/>
  <c r="D133" i="19"/>
  <c r="E133" i="19"/>
  <c r="F133" i="19"/>
  <c r="C134" i="19"/>
  <c r="D134" i="19"/>
  <c r="E134" i="19"/>
  <c r="F134" i="19"/>
  <c r="C135" i="19"/>
  <c r="D135" i="19"/>
  <c r="E135" i="19"/>
  <c r="F135" i="19"/>
  <c r="C136" i="19"/>
  <c r="D136" i="19"/>
  <c r="E136" i="19"/>
  <c r="F136" i="19"/>
  <c r="C137" i="19"/>
  <c r="D137" i="19"/>
  <c r="E137" i="19"/>
  <c r="F137" i="19"/>
  <c r="C138" i="19"/>
  <c r="D138" i="19"/>
  <c r="E138" i="19"/>
  <c r="F138" i="19"/>
  <c r="C139" i="19"/>
  <c r="D139" i="19"/>
  <c r="E139" i="19"/>
  <c r="F139" i="19"/>
  <c r="C140" i="19"/>
  <c r="D140" i="19"/>
  <c r="E140" i="19"/>
  <c r="F140" i="19"/>
  <c r="C141" i="19"/>
  <c r="D141" i="19"/>
  <c r="E141" i="19"/>
  <c r="F141" i="19"/>
  <c r="C142" i="19"/>
  <c r="D142" i="19"/>
  <c r="E142" i="19"/>
  <c r="F142" i="19"/>
  <c r="C143" i="19"/>
  <c r="D143" i="19"/>
  <c r="E143" i="19"/>
  <c r="F143" i="19"/>
  <c r="C144" i="19"/>
  <c r="D144" i="19"/>
  <c r="E144" i="19"/>
  <c r="F144" i="19"/>
  <c r="C145" i="19"/>
  <c r="D145" i="19"/>
  <c r="E145" i="19"/>
  <c r="F145" i="19"/>
  <c r="C146" i="19"/>
  <c r="D146" i="19"/>
  <c r="E146" i="19"/>
  <c r="F146" i="19"/>
  <c r="C147" i="19"/>
  <c r="D147" i="19"/>
  <c r="E147" i="19"/>
  <c r="F147" i="19"/>
  <c r="C148" i="19"/>
  <c r="D148" i="19"/>
  <c r="E148" i="19"/>
  <c r="F148" i="19"/>
  <c r="C149" i="19"/>
  <c r="D149" i="19"/>
  <c r="E149" i="19"/>
  <c r="F149" i="19"/>
  <c r="C150" i="19"/>
  <c r="D150" i="19"/>
  <c r="E150" i="19"/>
  <c r="F150" i="19"/>
  <c r="C151" i="19"/>
  <c r="D151" i="19"/>
  <c r="E151" i="19"/>
  <c r="F151" i="19"/>
  <c r="C152" i="19"/>
  <c r="D152" i="19"/>
  <c r="E152" i="19"/>
  <c r="F152" i="19"/>
  <c r="C153" i="19"/>
  <c r="D153" i="19"/>
  <c r="E153" i="19"/>
  <c r="F153" i="19"/>
  <c r="C154" i="19"/>
  <c r="D154" i="19"/>
  <c r="E154" i="19"/>
  <c r="F154" i="19"/>
  <c r="C155" i="19"/>
  <c r="D155" i="19"/>
  <c r="E155" i="19"/>
  <c r="F155" i="19"/>
  <c r="C156" i="19"/>
  <c r="D156" i="19"/>
  <c r="E156" i="19"/>
  <c r="F156" i="19"/>
  <c r="C157" i="19"/>
  <c r="D157" i="19"/>
  <c r="E157" i="19"/>
  <c r="F157" i="19"/>
  <c r="C158" i="19"/>
  <c r="D158" i="19"/>
  <c r="E158" i="19"/>
  <c r="F158" i="19"/>
  <c r="C159" i="19"/>
  <c r="D159" i="19"/>
  <c r="E159" i="19"/>
  <c r="F159" i="19"/>
  <c r="C160" i="19"/>
  <c r="D160" i="19"/>
  <c r="E160" i="19"/>
  <c r="F160" i="19"/>
  <c r="C161" i="19"/>
  <c r="D161" i="19"/>
  <c r="E161" i="19"/>
  <c r="F161" i="19"/>
  <c r="C162" i="19"/>
  <c r="D162" i="19"/>
  <c r="E162" i="19"/>
  <c r="F162" i="19"/>
  <c r="C163" i="19"/>
  <c r="D163" i="19"/>
  <c r="E163" i="19"/>
  <c r="F163" i="19"/>
  <c r="C164" i="19"/>
  <c r="D164" i="19"/>
  <c r="E164" i="19"/>
  <c r="F164" i="19"/>
  <c r="C165" i="19"/>
  <c r="D165" i="19"/>
  <c r="E165" i="19"/>
  <c r="F165" i="19"/>
  <c r="C166" i="19"/>
  <c r="D166" i="19"/>
  <c r="E166" i="19"/>
  <c r="F166" i="19"/>
  <c r="C167" i="19"/>
  <c r="D167" i="19"/>
  <c r="E167" i="19"/>
  <c r="F167" i="19"/>
  <c r="C168" i="19"/>
  <c r="D168" i="19"/>
  <c r="E168" i="19"/>
  <c r="F168" i="19"/>
  <c r="C169" i="19"/>
  <c r="D169" i="19"/>
  <c r="E169" i="19"/>
  <c r="F169" i="19"/>
  <c r="C170" i="19"/>
  <c r="D170" i="19"/>
  <c r="E170" i="19"/>
  <c r="F170" i="19"/>
  <c r="C171" i="19"/>
  <c r="D171" i="19"/>
  <c r="E171" i="19"/>
  <c r="F171" i="19"/>
  <c r="C172" i="19"/>
  <c r="D172" i="19"/>
  <c r="E172" i="19"/>
  <c r="F172" i="19"/>
  <c r="C173" i="19"/>
  <c r="D173" i="19"/>
  <c r="E173" i="19"/>
  <c r="F173" i="19"/>
  <c r="C174" i="19"/>
  <c r="D174" i="19"/>
  <c r="E174" i="19"/>
  <c r="F174" i="19"/>
  <c r="C175" i="19"/>
  <c r="D175" i="19"/>
  <c r="E175" i="19"/>
  <c r="F175" i="19"/>
  <c r="C176" i="19"/>
  <c r="D176" i="19"/>
  <c r="E176" i="19"/>
  <c r="F176" i="19"/>
  <c r="C177" i="19"/>
  <c r="D177" i="19"/>
  <c r="E177" i="19"/>
  <c r="F177" i="19"/>
  <c r="C178" i="19"/>
  <c r="D178" i="19"/>
  <c r="E178" i="19"/>
  <c r="F178" i="19"/>
  <c r="C179" i="19"/>
  <c r="D179" i="19"/>
  <c r="E179" i="19"/>
  <c r="F179" i="19"/>
  <c r="C180" i="19"/>
  <c r="D180" i="19"/>
  <c r="E180" i="19"/>
  <c r="F180" i="19"/>
  <c r="C181" i="19"/>
  <c r="D181" i="19"/>
  <c r="E181" i="19"/>
  <c r="F181" i="19"/>
  <c r="C182" i="19"/>
  <c r="D182" i="19"/>
  <c r="E182" i="19"/>
  <c r="F182" i="19"/>
  <c r="C183" i="19"/>
  <c r="D183" i="19"/>
  <c r="E183" i="19"/>
  <c r="F183" i="19"/>
  <c r="C184" i="19"/>
  <c r="D184" i="19"/>
  <c r="E184" i="19"/>
  <c r="F184" i="19"/>
  <c r="C185" i="19"/>
  <c r="D185" i="19"/>
  <c r="E185" i="19"/>
  <c r="F185" i="19"/>
  <c r="C186" i="19"/>
  <c r="D186" i="19"/>
  <c r="E186" i="19"/>
  <c r="F186" i="19"/>
  <c r="C187" i="19"/>
  <c r="D187" i="19"/>
  <c r="E187" i="19"/>
  <c r="F187" i="19"/>
  <c r="C188" i="19"/>
  <c r="D188" i="19"/>
  <c r="E188" i="19"/>
  <c r="F188" i="19"/>
  <c r="C189" i="19"/>
  <c r="D189" i="19"/>
  <c r="E189" i="19"/>
  <c r="F189" i="19"/>
  <c r="C190" i="19"/>
  <c r="D190" i="19"/>
  <c r="E190" i="19"/>
  <c r="F190" i="19"/>
  <c r="C191" i="19"/>
  <c r="D191" i="19"/>
  <c r="E191" i="19"/>
  <c r="F191" i="19"/>
  <c r="C192" i="19"/>
  <c r="D192" i="19"/>
  <c r="E192" i="19"/>
  <c r="F192" i="19"/>
  <c r="C193" i="19"/>
  <c r="D193" i="19"/>
  <c r="E193" i="19"/>
  <c r="F193" i="19"/>
  <c r="C194" i="19"/>
  <c r="D194" i="19"/>
  <c r="E194" i="19"/>
  <c r="F194" i="19"/>
  <c r="C195" i="19"/>
  <c r="D195" i="19"/>
  <c r="E195" i="19"/>
  <c r="F195" i="19"/>
  <c r="C196" i="19"/>
  <c r="D196" i="19"/>
  <c r="E196" i="19"/>
  <c r="F196" i="19"/>
  <c r="C197" i="19"/>
  <c r="D197" i="19"/>
  <c r="E197" i="19"/>
  <c r="F197" i="19"/>
  <c r="C198" i="19"/>
  <c r="D198" i="19"/>
  <c r="E198" i="19"/>
  <c r="F198" i="19"/>
  <c r="C199" i="19"/>
  <c r="D199" i="19"/>
  <c r="E199" i="19"/>
  <c r="F199" i="19"/>
  <c r="C200" i="19"/>
  <c r="D200" i="19"/>
  <c r="E200" i="19"/>
  <c r="F200" i="19"/>
  <c r="C201" i="19"/>
  <c r="D201" i="19"/>
  <c r="E201" i="19"/>
  <c r="F201" i="19"/>
  <c r="C202" i="19"/>
  <c r="D202" i="19"/>
  <c r="E202" i="19"/>
  <c r="F202" i="19"/>
  <c r="C203" i="19"/>
  <c r="D203" i="19"/>
  <c r="E203" i="19"/>
  <c r="F203" i="19"/>
  <c r="C204" i="19"/>
  <c r="D204" i="19"/>
  <c r="E204" i="19"/>
  <c r="F204" i="19"/>
  <c r="C205" i="19"/>
  <c r="D205" i="19"/>
  <c r="E205" i="19"/>
  <c r="F205" i="19"/>
  <c r="C206" i="19"/>
  <c r="D206" i="19"/>
  <c r="E206" i="19"/>
  <c r="F206" i="19"/>
  <c r="C207" i="19"/>
  <c r="D207" i="19"/>
  <c r="E207" i="19"/>
  <c r="F207" i="19"/>
  <c r="C208" i="19"/>
  <c r="D208" i="19"/>
  <c r="E208" i="19"/>
  <c r="F208" i="19"/>
  <c r="C209" i="19"/>
  <c r="D209" i="19"/>
  <c r="E209" i="19"/>
  <c r="F209" i="19"/>
  <c r="C210" i="19"/>
  <c r="D210" i="19"/>
  <c r="E210" i="19"/>
  <c r="F210" i="19"/>
  <c r="C211" i="19"/>
  <c r="D211" i="19"/>
  <c r="E211" i="19"/>
  <c r="F211" i="19"/>
  <c r="C212" i="19"/>
  <c r="D212" i="19"/>
  <c r="E212" i="19"/>
  <c r="F212" i="19"/>
  <c r="C213" i="19"/>
  <c r="D213" i="19"/>
  <c r="E213" i="19"/>
  <c r="F213" i="19"/>
  <c r="C214" i="19"/>
  <c r="D214" i="19"/>
  <c r="E214" i="19"/>
  <c r="F214" i="19"/>
  <c r="C215" i="19"/>
  <c r="D215" i="19"/>
  <c r="E215" i="19"/>
  <c r="F215" i="19"/>
  <c r="C216" i="19"/>
  <c r="D216" i="19"/>
  <c r="E216" i="19"/>
  <c r="F216" i="19"/>
  <c r="C217" i="19"/>
  <c r="D217" i="19"/>
  <c r="E217" i="19"/>
  <c r="F217" i="19"/>
  <c r="C218" i="19"/>
  <c r="D218" i="19"/>
  <c r="E218" i="19"/>
  <c r="F218" i="19"/>
  <c r="C219" i="19"/>
  <c r="D219" i="19"/>
  <c r="E219" i="19"/>
  <c r="F219" i="19"/>
  <c r="C220" i="19"/>
  <c r="D220" i="19"/>
  <c r="E220" i="19"/>
  <c r="F220" i="19"/>
  <c r="C221" i="19"/>
  <c r="D221" i="19"/>
  <c r="E221" i="19"/>
  <c r="F221" i="19"/>
  <c r="C222" i="19"/>
  <c r="D222" i="19"/>
  <c r="E222" i="19"/>
  <c r="F222" i="19"/>
  <c r="C223" i="19"/>
  <c r="D223" i="19"/>
  <c r="E223" i="19"/>
  <c r="F223" i="19"/>
  <c r="C224" i="19"/>
  <c r="D224" i="19"/>
  <c r="E224" i="19"/>
  <c r="F224" i="19"/>
  <c r="C225" i="19"/>
  <c r="D225" i="19"/>
  <c r="E225" i="19"/>
  <c r="F225" i="19"/>
  <c r="C226" i="19"/>
  <c r="D226" i="19"/>
  <c r="E226" i="19"/>
  <c r="F226" i="19"/>
  <c r="C227" i="19"/>
  <c r="D227" i="19"/>
  <c r="E227" i="19"/>
  <c r="F227" i="19"/>
  <c r="C228" i="19"/>
  <c r="D228" i="19"/>
  <c r="E228" i="19"/>
  <c r="F228" i="19"/>
  <c r="C229" i="19"/>
  <c r="D229" i="19"/>
  <c r="E229" i="19"/>
  <c r="F229" i="19"/>
  <c r="C230" i="19"/>
  <c r="D230" i="19"/>
  <c r="E230" i="19"/>
  <c r="F230" i="19"/>
  <c r="C231" i="19"/>
  <c r="D231" i="19"/>
  <c r="E231" i="19"/>
  <c r="F231" i="19"/>
  <c r="C232" i="19"/>
  <c r="D232" i="19"/>
  <c r="E232" i="19"/>
  <c r="F232" i="19"/>
  <c r="C233" i="19"/>
  <c r="D233" i="19"/>
  <c r="E233" i="19"/>
  <c r="F233" i="19"/>
  <c r="C234" i="19"/>
  <c r="D234" i="19"/>
  <c r="E234" i="19"/>
  <c r="F234" i="19"/>
  <c r="C235" i="19"/>
  <c r="D235" i="19"/>
  <c r="E235" i="19"/>
  <c r="F235" i="19"/>
  <c r="C236" i="19"/>
  <c r="D236" i="19"/>
  <c r="E236" i="19"/>
  <c r="F236" i="19"/>
  <c r="C237" i="19"/>
  <c r="D237" i="19"/>
  <c r="E237" i="19"/>
  <c r="F237" i="19"/>
  <c r="C238" i="19"/>
  <c r="D238" i="19"/>
  <c r="E238" i="19"/>
  <c r="F238" i="19"/>
  <c r="C239" i="19"/>
  <c r="D239" i="19"/>
  <c r="E239" i="19"/>
  <c r="F239" i="19"/>
  <c r="C240" i="19"/>
  <c r="D240" i="19"/>
  <c r="E240" i="19"/>
  <c r="F240" i="19"/>
  <c r="C241" i="19"/>
  <c r="D241" i="19"/>
  <c r="E241" i="19"/>
  <c r="F241" i="19"/>
  <c r="C242" i="19"/>
  <c r="D242" i="19"/>
  <c r="E242" i="19"/>
  <c r="F242" i="19"/>
  <c r="C243" i="19"/>
  <c r="D243" i="19"/>
  <c r="E243" i="19"/>
  <c r="F243" i="19"/>
  <c r="C244" i="19"/>
  <c r="D244" i="19"/>
  <c r="E244" i="19"/>
  <c r="F244" i="19"/>
  <c r="C245" i="19"/>
  <c r="D245" i="19"/>
  <c r="E245" i="19"/>
  <c r="F245" i="19"/>
  <c r="C246" i="19"/>
  <c r="D246" i="19"/>
  <c r="E246" i="19"/>
  <c r="F246" i="19"/>
  <c r="C247" i="19"/>
  <c r="D247" i="19"/>
  <c r="E247" i="19"/>
  <c r="F247" i="19"/>
  <c r="C248" i="19"/>
  <c r="D248" i="19"/>
  <c r="E248" i="19"/>
  <c r="F248" i="19"/>
  <c r="C249" i="19"/>
  <c r="D249" i="19"/>
  <c r="E249" i="19"/>
  <c r="F249" i="19"/>
  <c r="C250" i="19"/>
  <c r="D250" i="19"/>
  <c r="E250" i="19"/>
  <c r="F250" i="19"/>
  <c r="C251" i="19"/>
  <c r="D251" i="19"/>
  <c r="E251" i="19"/>
  <c r="F251" i="19"/>
  <c r="C252" i="19"/>
  <c r="D252" i="19"/>
  <c r="E252" i="19"/>
  <c r="F252" i="19"/>
  <c r="C253" i="19"/>
  <c r="D253" i="19"/>
  <c r="E253" i="19"/>
  <c r="F253" i="19"/>
  <c r="C254" i="19"/>
  <c r="D254" i="19"/>
  <c r="E254" i="19"/>
  <c r="F254" i="19"/>
  <c r="C255" i="19"/>
  <c r="D255" i="19"/>
  <c r="E255" i="19"/>
  <c r="F255" i="19"/>
  <c r="C256" i="19"/>
  <c r="D256" i="19"/>
  <c r="E256" i="19"/>
  <c r="F256" i="19"/>
  <c r="C257" i="19"/>
  <c r="D257" i="19"/>
  <c r="E257" i="19"/>
  <c r="F257" i="19"/>
  <c r="C258" i="19"/>
  <c r="D258" i="19"/>
  <c r="E258" i="19"/>
  <c r="F258" i="19"/>
  <c r="C259" i="19"/>
  <c r="D259" i="19"/>
  <c r="E259" i="19"/>
  <c r="F259" i="19"/>
  <c r="C260" i="19"/>
  <c r="D260" i="19"/>
  <c r="E260" i="19"/>
  <c r="F260" i="19"/>
  <c r="C261" i="19"/>
  <c r="D261" i="19"/>
  <c r="E261" i="19"/>
  <c r="F261" i="19"/>
  <c r="C262" i="19"/>
  <c r="D262" i="19"/>
  <c r="E262" i="19"/>
  <c r="F262" i="19"/>
  <c r="C263" i="19"/>
  <c r="D263" i="19"/>
  <c r="E263" i="19"/>
  <c r="F263" i="19"/>
  <c r="C264" i="19"/>
  <c r="D264" i="19"/>
  <c r="E264" i="19"/>
  <c r="F264" i="19"/>
  <c r="C265" i="19"/>
  <c r="D265" i="19"/>
  <c r="E265" i="19"/>
  <c r="F265" i="19"/>
  <c r="C266" i="19"/>
  <c r="D266" i="19"/>
  <c r="E266" i="19"/>
  <c r="F266" i="19"/>
  <c r="C267" i="19"/>
  <c r="D267" i="19"/>
  <c r="E267" i="19"/>
  <c r="F267" i="19"/>
  <c r="C268" i="19"/>
  <c r="D268" i="19"/>
  <c r="E268" i="19"/>
  <c r="F268" i="19"/>
  <c r="C269" i="19"/>
  <c r="D269" i="19"/>
  <c r="E269" i="19"/>
  <c r="F269" i="19"/>
  <c r="C270" i="19"/>
  <c r="D270" i="19"/>
  <c r="E270" i="19"/>
  <c r="F270" i="19"/>
  <c r="C271" i="19"/>
  <c r="D271" i="19"/>
  <c r="E271" i="19"/>
  <c r="F271" i="19"/>
  <c r="C272" i="19"/>
  <c r="D272" i="19"/>
  <c r="E272" i="19"/>
  <c r="F272" i="19"/>
  <c r="C273" i="19"/>
  <c r="D273" i="19"/>
  <c r="E273" i="19"/>
  <c r="F273" i="19"/>
  <c r="C274" i="19"/>
  <c r="D274" i="19"/>
  <c r="E274" i="19"/>
  <c r="F274" i="19"/>
  <c r="C275" i="19"/>
  <c r="D275" i="19"/>
  <c r="E275" i="19"/>
  <c r="F275" i="19"/>
  <c r="C276" i="19"/>
  <c r="D276" i="19"/>
  <c r="E276" i="19"/>
  <c r="F276" i="19"/>
  <c r="C277" i="19"/>
  <c r="D277" i="19"/>
  <c r="E277" i="19"/>
  <c r="F277" i="19"/>
  <c r="C278" i="19"/>
  <c r="D278" i="19"/>
  <c r="E278" i="19"/>
  <c r="F278" i="19"/>
  <c r="C279" i="19"/>
  <c r="D279" i="19"/>
  <c r="E279" i="19"/>
  <c r="F279" i="19"/>
  <c r="C280" i="19"/>
  <c r="D280" i="19"/>
  <c r="E280" i="19"/>
  <c r="F280" i="19"/>
  <c r="C281" i="19"/>
  <c r="D281" i="19"/>
  <c r="E281" i="19"/>
  <c r="F281" i="19"/>
  <c r="C282" i="19"/>
  <c r="D282" i="19"/>
  <c r="E282" i="19"/>
  <c r="F282" i="19"/>
  <c r="C283" i="19"/>
  <c r="D283" i="19"/>
  <c r="E283" i="19"/>
  <c r="F283" i="19"/>
  <c r="C284" i="19"/>
  <c r="D284" i="19"/>
  <c r="E284" i="19"/>
  <c r="F284" i="19"/>
  <c r="C285" i="19"/>
  <c r="D285" i="19"/>
  <c r="E285" i="19"/>
  <c r="F285" i="19"/>
  <c r="C286" i="19"/>
  <c r="D286" i="19"/>
  <c r="E286" i="19"/>
  <c r="F286" i="19"/>
  <c r="C287" i="19"/>
  <c r="D287" i="19"/>
  <c r="E287" i="19"/>
  <c r="F287" i="19"/>
  <c r="C288" i="19"/>
  <c r="D288" i="19"/>
  <c r="E288" i="19"/>
  <c r="F288" i="19"/>
  <c r="C289" i="19"/>
  <c r="D289" i="19"/>
  <c r="E289" i="19"/>
  <c r="F289" i="19"/>
  <c r="C290" i="19"/>
  <c r="D290" i="19"/>
  <c r="E290" i="19"/>
  <c r="F290" i="19"/>
  <c r="C291" i="19"/>
  <c r="D291" i="19"/>
  <c r="E291" i="19"/>
  <c r="F291" i="19"/>
  <c r="C292" i="19"/>
  <c r="D292" i="19"/>
  <c r="E292" i="19"/>
  <c r="F292" i="19"/>
  <c r="C293" i="19"/>
  <c r="D293" i="19"/>
  <c r="E293" i="19"/>
  <c r="F293" i="19"/>
  <c r="C294" i="19"/>
  <c r="D294" i="19"/>
  <c r="E294" i="19"/>
  <c r="F294" i="19"/>
  <c r="C295" i="19"/>
  <c r="D295" i="19"/>
  <c r="E295" i="19"/>
  <c r="F295" i="19"/>
  <c r="C296" i="19"/>
  <c r="D296" i="19"/>
  <c r="E296" i="19"/>
  <c r="F296" i="19"/>
  <c r="C297" i="19"/>
  <c r="D297" i="19"/>
  <c r="E297" i="19"/>
  <c r="F297" i="19"/>
  <c r="C298" i="19"/>
  <c r="D298" i="19"/>
  <c r="E298" i="19"/>
  <c r="F298" i="19"/>
  <c r="C299" i="19"/>
  <c r="D299" i="19"/>
  <c r="E299" i="19"/>
  <c r="F299" i="19"/>
  <c r="C300" i="19"/>
  <c r="D300" i="19"/>
  <c r="E300" i="19"/>
  <c r="F300" i="19"/>
  <c r="C301" i="19"/>
  <c r="D301" i="19"/>
  <c r="E301" i="19"/>
  <c r="F301" i="19"/>
  <c r="C302" i="19"/>
  <c r="D302" i="19"/>
  <c r="E302" i="19"/>
  <c r="F302" i="19"/>
  <c r="C303" i="19"/>
  <c r="D303" i="19"/>
  <c r="E303" i="19"/>
  <c r="F303" i="19"/>
  <c r="C304" i="19"/>
  <c r="D304" i="19"/>
  <c r="E304" i="19"/>
  <c r="F304" i="19"/>
  <c r="C305" i="19"/>
  <c r="D305" i="19"/>
  <c r="E305" i="19"/>
  <c r="F305" i="19"/>
  <c r="C306" i="19"/>
  <c r="D306" i="19"/>
  <c r="E306" i="19"/>
  <c r="F306" i="19"/>
  <c r="C307" i="19"/>
  <c r="D307" i="19"/>
  <c r="E307" i="19"/>
  <c r="F307" i="19"/>
  <c r="C308" i="19"/>
  <c r="D308" i="19"/>
  <c r="E308" i="19"/>
  <c r="F308" i="19"/>
  <c r="C309" i="19"/>
  <c r="D309" i="19"/>
  <c r="E309" i="19"/>
  <c r="F309" i="19"/>
  <c r="C310" i="19"/>
  <c r="D310" i="19"/>
  <c r="E310" i="19"/>
  <c r="F310" i="19"/>
  <c r="C311" i="19"/>
  <c r="D311" i="19"/>
  <c r="E311" i="19"/>
  <c r="F311" i="19"/>
  <c r="C312" i="19"/>
  <c r="D312" i="19"/>
  <c r="E312" i="19"/>
  <c r="F312" i="19"/>
  <c r="C313" i="19"/>
  <c r="D313" i="19"/>
  <c r="E313" i="19"/>
  <c r="F313" i="19"/>
  <c r="C314" i="19"/>
  <c r="D314" i="19"/>
  <c r="E314" i="19"/>
  <c r="F314" i="19"/>
  <c r="C315" i="19"/>
  <c r="D315" i="19"/>
  <c r="E315" i="19"/>
  <c r="F315" i="19"/>
  <c r="A8" i="19"/>
  <c r="B8" i="19"/>
  <c r="A9" i="19"/>
  <c r="B9" i="19"/>
  <c r="A10" i="19"/>
  <c r="B10" i="19"/>
  <c r="A11" i="19"/>
  <c r="B11" i="19"/>
  <c r="A12" i="19"/>
  <c r="B12" i="19"/>
  <c r="A13" i="19"/>
  <c r="B13" i="19"/>
  <c r="A14" i="19"/>
  <c r="B14" i="19"/>
  <c r="A15" i="19"/>
  <c r="B15" i="19"/>
  <c r="A16" i="19"/>
  <c r="B16" i="19"/>
  <c r="A17" i="19"/>
  <c r="B17" i="19"/>
  <c r="A18" i="19"/>
  <c r="B18" i="19"/>
  <c r="A19" i="19"/>
  <c r="B19" i="19"/>
  <c r="A20" i="19"/>
  <c r="B20" i="19"/>
  <c r="A21" i="19"/>
  <c r="B21" i="19"/>
  <c r="A22" i="19"/>
  <c r="B22" i="19"/>
  <c r="A23" i="19"/>
  <c r="B23" i="19"/>
  <c r="A24" i="19"/>
  <c r="B24" i="19"/>
  <c r="A25" i="19"/>
  <c r="B25" i="19"/>
  <c r="A26" i="19"/>
  <c r="B26" i="19"/>
  <c r="A27" i="19"/>
  <c r="B27" i="19"/>
  <c r="A28" i="19"/>
  <c r="B28" i="19"/>
  <c r="A29" i="19"/>
  <c r="B29" i="19"/>
  <c r="A30" i="19"/>
  <c r="B30" i="19"/>
  <c r="A31" i="19"/>
  <c r="B31" i="19"/>
  <c r="A32" i="19"/>
  <c r="B32" i="19"/>
  <c r="A33" i="19"/>
  <c r="B33" i="19"/>
  <c r="A34" i="19"/>
  <c r="B34" i="19"/>
  <c r="A35" i="19"/>
  <c r="B35" i="19"/>
  <c r="A36" i="19"/>
  <c r="B36" i="19"/>
  <c r="A37" i="19"/>
  <c r="B37" i="19"/>
  <c r="A38" i="19"/>
  <c r="B38" i="19"/>
  <c r="A39" i="19"/>
  <c r="B39" i="19"/>
  <c r="A40" i="19"/>
  <c r="B40" i="19"/>
  <c r="A41" i="19"/>
  <c r="B41" i="19"/>
  <c r="A42" i="19"/>
  <c r="B42" i="19"/>
  <c r="A43" i="19"/>
  <c r="B43" i="19"/>
  <c r="A44" i="19"/>
  <c r="B44" i="19"/>
  <c r="A45" i="19"/>
  <c r="B45" i="19"/>
  <c r="A46" i="19"/>
  <c r="B46" i="19"/>
  <c r="A47" i="19"/>
  <c r="B47" i="19"/>
  <c r="A48" i="19"/>
  <c r="B48" i="19"/>
  <c r="A49" i="19"/>
  <c r="B49" i="19"/>
  <c r="A50" i="19"/>
  <c r="B50" i="19"/>
  <c r="A51" i="19"/>
  <c r="B51" i="19"/>
  <c r="A52" i="19"/>
  <c r="B52" i="19"/>
  <c r="A53" i="19"/>
  <c r="B53" i="19"/>
  <c r="A54" i="19"/>
  <c r="B54" i="19"/>
  <c r="A55" i="19"/>
  <c r="B55" i="19"/>
  <c r="A56" i="19"/>
  <c r="B56" i="19"/>
  <c r="A57" i="19"/>
  <c r="B57" i="19"/>
  <c r="A58" i="19"/>
  <c r="B58" i="19"/>
  <c r="A59" i="19"/>
  <c r="B59" i="19"/>
  <c r="A60" i="19"/>
  <c r="B60" i="19"/>
  <c r="A61" i="19"/>
  <c r="B61" i="19"/>
  <c r="A62" i="19"/>
  <c r="B62" i="19"/>
  <c r="A63" i="19"/>
  <c r="B63" i="19"/>
  <c r="A64" i="19"/>
  <c r="B64" i="19"/>
  <c r="A65" i="19"/>
  <c r="B65" i="19"/>
  <c r="A66" i="19"/>
  <c r="B66" i="19"/>
  <c r="A67" i="19"/>
  <c r="B67" i="19"/>
  <c r="A68" i="19"/>
  <c r="B68" i="19"/>
  <c r="A69" i="19"/>
  <c r="B69" i="19"/>
  <c r="A70" i="19"/>
  <c r="B70" i="19"/>
  <c r="A71" i="19"/>
  <c r="B71" i="19"/>
  <c r="A72" i="19"/>
  <c r="B72" i="19"/>
  <c r="A73" i="19"/>
  <c r="B73" i="19"/>
  <c r="A74" i="19"/>
  <c r="B74" i="19"/>
  <c r="A75" i="19"/>
  <c r="B75" i="19"/>
  <c r="A76" i="19"/>
  <c r="B76" i="19"/>
  <c r="A77" i="19"/>
  <c r="B77" i="19"/>
  <c r="A78" i="19"/>
  <c r="B78" i="19"/>
  <c r="A79" i="19"/>
  <c r="B79" i="19"/>
  <c r="A80" i="19"/>
  <c r="B80" i="19"/>
  <c r="A81" i="19"/>
  <c r="B81" i="19"/>
  <c r="A82" i="19"/>
  <c r="B82" i="19"/>
  <c r="A83" i="19"/>
  <c r="B83" i="19"/>
  <c r="A84" i="19"/>
  <c r="B84" i="19"/>
  <c r="A85" i="19"/>
  <c r="B85" i="19"/>
  <c r="A86" i="19"/>
  <c r="B86" i="19"/>
  <c r="A87" i="19"/>
  <c r="B87" i="19"/>
  <c r="A88" i="19"/>
  <c r="B88" i="19"/>
  <c r="A89" i="19"/>
  <c r="B89" i="19"/>
  <c r="A90" i="19"/>
  <c r="B90" i="19"/>
  <c r="A91" i="19"/>
  <c r="B91" i="19"/>
  <c r="A92" i="19"/>
  <c r="B92" i="19"/>
  <c r="A93" i="19"/>
  <c r="B93" i="19"/>
  <c r="A94" i="19"/>
  <c r="B94" i="19"/>
  <c r="A95" i="19"/>
  <c r="B95" i="19"/>
  <c r="A96" i="19"/>
  <c r="B96" i="19"/>
  <c r="A97" i="19"/>
  <c r="B97" i="19"/>
  <c r="A98" i="19"/>
  <c r="B98" i="19"/>
  <c r="A99" i="19"/>
  <c r="B99" i="19"/>
  <c r="A100" i="19"/>
  <c r="B100" i="19"/>
  <c r="A101" i="19"/>
  <c r="B101" i="19"/>
  <c r="A102" i="19"/>
  <c r="B102" i="19"/>
  <c r="A103" i="19"/>
  <c r="B103" i="19"/>
  <c r="A104" i="19"/>
  <c r="B104" i="19"/>
  <c r="A105" i="19"/>
  <c r="B105" i="19"/>
  <c r="A106" i="19"/>
  <c r="B106" i="19"/>
  <c r="A107" i="19"/>
  <c r="B107" i="19"/>
  <c r="A108" i="19"/>
  <c r="B108" i="19"/>
  <c r="A109" i="19"/>
  <c r="B109" i="19"/>
  <c r="A110" i="19"/>
  <c r="B110" i="19"/>
  <c r="A111" i="19"/>
  <c r="B111" i="19"/>
  <c r="A112" i="19"/>
  <c r="B112" i="19"/>
  <c r="A113" i="19"/>
  <c r="B113" i="19"/>
  <c r="A114" i="19"/>
  <c r="B114" i="19"/>
  <c r="A115" i="19"/>
  <c r="B115" i="19"/>
  <c r="A116" i="19"/>
  <c r="B116" i="19"/>
  <c r="A117" i="19"/>
  <c r="B117" i="19"/>
  <c r="A118" i="19"/>
  <c r="B118" i="19"/>
  <c r="A119" i="19"/>
  <c r="B119" i="19"/>
  <c r="A120" i="19"/>
  <c r="B120" i="19"/>
  <c r="A121" i="19"/>
  <c r="B121" i="19"/>
  <c r="A122" i="19"/>
  <c r="B122" i="19"/>
  <c r="A123" i="19"/>
  <c r="B123" i="19"/>
  <c r="A124" i="19"/>
  <c r="B124" i="19"/>
  <c r="A125" i="19"/>
  <c r="B125" i="19"/>
  <c r="A126" i="19"/>
  <c r="B126" i="19"/>
  <c r="A127" i="19"/>
  <c r="B127" i="19"/>
  <c r="A128" i="19"/>
  <c r="B128" i="19"/>
  <c r="A129" i="19"/>
  <c r="B129" i="19"/>
  <c r="A130" i="19"/>
  <c r="B130" i="19"/>
  <c r="A131" i="19"/>
  <c r="B131" i="19"/>
  <c r="A132" i="19"/>
  <c r="B132" i="19"/>
  <c r="A133" i="19"/>
  <c r="B133" i="19"/>
  <c r="A134" i="19"/>
  <c r="B134" i="19"/>
  <c r="A135" i="19"/>
  <c r="B135" i="19"/>
  <c r="A136" i="19"/>
  <c r="B136" i="19"/>
  <c r="A137" i="19"/>
  <c r="B137" i="19"/>
  <c r="A138" i="19"/>
  <c r="B138" i="19"/>
  <c r="A139" i="19"/>
  <c r="B139" i="19"/>
  <c r="A140" i="19"/>
  <c r="B140" i="19"/>
  <c r="A141" i="19"/>
  <c r="B141" i="19"/>
  <c r="A142" i="19"/>
  <c r="B142" i="19"/>
  <c r="A143" i="19"/>
  <c r="B143" i="19"/>
  <c r="A144" i="19"/>
  <c r="B144" i="19"/>
  <c r="A145" i="19"/>
  <c r="B145" i="19"/>
  <c r="A146" i="19"/>
  <c r="B146" i="19"/>
  <c r="A147" i="19"/>
  <c r="B147" i="19"/>
  <c r="A148" i="19"/>
  <c r="B148" i="19"/>
  <c r="A149" i="19"/>
  <c r="B149" i="19"/>
  <c r="A150" i="19"/>
  <c r="B150" i="19"/>
  <c r="A151" i="19"/>
  <c r="B151" i="19"/>
  <c r="A152" i="19"/>
  <c r="B152" i="19"/>
  <c r="A153" i="19"/>
  <c r="B153" i="19"/>
  <c r="A154" i="19"/>
  <c r="B154" i="19"/>
  <c r="A155" i="19"/>
  <c r="B155" i="19"/>
  <c r="A156" i="19"/>
  <c r="B156" i="19"/>
  <c r="A157" i="19"/>
  <c r="B157" i="19"/>
  <c r="A158" i="19"/>
  <c r="B158" i="19"/>
  <c r="A159" i="19"/>
  <c r="B159" i="19"/>
  <c r="A160" i="19"/>
  <c r="B160" i="19"/>
  <c r="A161" i="19"/>
  <c r="B161" i="19"/>
  <c r="A162" i="19"/>
  <c r="B162" i="19"/>
  <c r="A163" i="19"/>
  <c r="B163" i="19"/>
  <c r="A164" i="19"/>
  <c r="B164" i="19"/>
  <c r="A165" i="19"/>
  <c r="B165" i="19"/>
  <c r="A166" i="19"/>
  <c r="B166" i="19"/>
  <c r="A167" i="19"/>
  <c r="B167" i="19"/>
  <c r="A168" i="19"/>
  <c r="B168" i="19"/>
  <c r="A169" i="19"/>
  <c r="B169" i="19"/>
  <c r="A170" i="19"/>
  <c r="B170" i="19"/>
  <c r="A171" i="19"/>
  <c r="B171" i="19"/>
  <c r="A172" i="19"/>
  <c r="B172" i="19"/>
  <c r="A173" i="19"/>
  <c r="B173" i="19"/>
  <c r="A174" i="19"/>
  <c r="B174" i="19"/>
  <c r="A175" i="19"/>
  <c r="B175" i="19"/>
  <c r="A176" i="19"/>
  <c r="B176" i="19"/>
  <c r="A177" i="19"/>
  <c r="B177" i="19"/>
  <c r="A178" i="19"/>
  <c r="B178" i="19"/>
  <c r="A179" i="19"/>
  <c r="B179" i="19"/>
  <c r="A180" i="19"/>
  <c r="B180" i="19"/>
  <c r="A181" i="19"/>
  <c r="B181" i="19"/>
  <c r="A182" i="19"/>
  <c r="B182" i="19"/>
  <c r="A183" i="19"/>
  <c r="B183" i="19"/>
  <c r="A184" i="19"/>
  <c r="B184" i="19"/>
  <c r="A185" i="19"/>
  <c r="B185" i="19"/>
  <c r="A186" i="19"/>
  <c r="B186" i="19"/>
  <c r="A187" i="19"/>
  <c r="B187" i="19"/>
  <c r="A188" i="19"/>
  <c r="B188" i="19"/>
  <c r="A189" i="19"/>
  <c r="B189" i="19"/>
  <c r="A190" i="19"/>
  <c r="B190" i="19"/>
  <c r="A191" i="19"/>
  <c r="B191" i="19"/>
  <c r="A192" i="19"/>
  <c r="B192" i="19"/>
  <c r="A193" i="19"/>
  <c r="B193" i="19"/>
  <c r="A194" i="19"/>
  <c r="B194" i="19"/>
  <c r="A195" i="19"/>
  <c r="B195" i="19"/>
  <c r="A196" i="19"/>
  <c r="B196" i="19"/>
  <c r="A197" i="19"/>
  <c r="B197" i="19"/>
  <c r="A198" i="19"/>
  <c r="B198" i="19"/>
  <c r="A199" i="19"/>
  <c r="B199" i="19"/>
  <c r="A200" i="19"/>
  <c r="B200" i="19"/>
  <c r="A201" i="19"/>
  <c r="B201" i="19"/>
  <c r="A202" i="19"/>
  <c r="B202" i="19"/>
  <c r="A203" i="19"/>
  <c r="B203" i="19"/>
  <c r="A204" i="19"/>
  <c r="B204" i="19"/>
  <c r="A205" i="19"/>
  <c r="B205" i="19"/>
  <c r="A206" i="19"/>
  <c r="B206" i="19"/>
  <c r="A207" i="19"/>
  <c r="B207" i="19"/>
  <c r="A208" i="19"/>
  <c r="B208" i="19"/>
  <c r="A209" i="19"/>
  <c r="B209" i="19"/>
  <c r="A210" i="19"/>
  <c r="B210" i="19"/>
  <c r="A211" i="19"/>
  <c r="B211" i="19"/>
  <c r="A212" i="19"/>
  <c r="B212" i="19"/>
  <c r="A213" i="19"/>
  <c r="B213" i="19"/>
  <c r="A214" i="19"/>
  <c r="B214" i="19"/>
  <c r="A215" i="19"/>
  <c r="B215" i="19"/>
  <c r="A216" i="19"/>
  <c r="B216" i="19"/>
  <c r="A217" i="19"/>
  <c r="B217" i="19"/>
  <c r="A218" i="19"/>
  <c r="B218" i="19"/>
  <c r="A219" i="19"/>
  <c r="B219" i="19"/>
  <c r="A220" i="19"/>
  <c r="B220" i="19"/>
  <c r="A221" i="19"/>
  <c r="B221" i="19"/>
  <c r="A222" i="19"/>
  <c r="B222" i="19"/>
  <c r="A223" i="19"/>
  <c r="B223" i="19"/>
  <c r="A224" i="19"/>
  <c r="B224" i="19"/>
  <c r="A225" i="19"/>
  <c r="B225" i="19"/>
  <c r="A226" i="19"/>
  <c r="B226" i="19"/>
  <c r="A227" i="19"/>
  <c r="B227" i="19"/>
  <c r="A228" i="19"/>
  <c r="B228" i="19"/>
  <c r="A229" i="19"/>
  <c r="B229" i="19"/>
  <c r="A230" i="19"/>
  <c r="B230" i="19"/>
  <c r="A231" i="19"/>
  <c r="B231" i="19"/>
  <c r="A232" i="19"/>
  <c r="B232" i="19"/>
  <c r="A233" i="19"/>
  <c r="B233" i="19"/>
  <c r="A234" i="19"/>
  <c r="B234" i="19"/>
  <c r="A235" i="19"/>
  <c r="B235" i="19"/>
  <c r="A236" i="19"/>
  <c r="B236" i="19"/>
  <c r="A237" i="19"/>
  <c r="B237" i="19"/>
  <c r="A238" i="19"/>
  <c r="B238" i="19"/>
  <c r="A239" i="19"/>
  <c r="B239" i="19"/>
  <c r="A240" i="19"/>
  <c r="B240" i="19"/>
  <c r="A241" i="19"/>
  <c r="B241" i="19"/>
  <c r="A242" i="19"/>
  <c r="B242" i="19"/>
  <c r="A243" i="19"/>
  <c r="B243" i="19"/>
  <c r="A244" i="19"/>
  <c r="B244" i="19"/>
  <c r="A245" i="19"/>
  <c r="B245" i="19"/>
  <c r="A246" i="19"/>
  <c r="B246" i="19"/>
  <c r="A247" i="19"/>
  <c r="B247" i="19"/>
  <c r="A248" i="19"/>
  <c r="B248" i="19"/>
  <c r="A249" i="19"/>
  <c r="B249" i="19"/>
  <c r="A250" i="19"/>
  <c r="B250" i="19"/>
  <c r="A251" i="19"/>
  <c r="B251" i="19"/>
  <c r="A252" i="19"/>
  <c r="B252" i="19"/>
  <c r="A253" i="19"/>
  <c r="B253" i="19"/>
  <c r="A254" i="19"/>
  <c r="B254" i="19"/>
  <c r="A255" i="19"/>
  <c r="B255" i="19"/>
  <c r="A256" i="19"/>
  <c r="B256" i="19"/>
  <c r="A257" i="19"/>
  <c r="B257" i="19"/>
  <c r="A258" i="19"/>
  <c r="B258" i="19"/>
  <c r="A259" i="19"/>
  <c r="B259" i="19"/>
  <c r="A260" i="19"/>
  <c r="B260" i="19"/>
  <c r="A261" i="19"/>
  <c r="B261" i="19"/>
  <c r="A262" i="19"/>
  <c r="B262" i="19"/>
  <c r="A263" i="19"/>
  <c r="B263" i="19"/>
  <c r="A264" i="19"/>
  <c r="B264" i="19"/>
  <c r="A265" i="19"/>
  <c r="B265" i="19"/>
  <c r="A266" i="19"/>
  <c r="B266" i="19"/>
  <c r="A267" i="19"/>
  <c r="B267" i="19"/>
  <c r="A268" i="19"/>
  <c r="B268" i="19"/>
  <c r="A269" i="19"/>
  <c r="B269" i="19"/>
  <c r="A270" i="19"/>
  <c r="B270" i="19"/>
  <c r="A271" i="19"/>
  <c r="B271" i="19"/>
  <c r="A272" i="19"/>
  <c r="B272" i="19"/>
  <c r="A273" i="19"/>
  <c r="B273" i="19"/>
  <c r="A274" i="19"/>
  <c r="B274" i="19"/>
  <c r="A275" i="19"/>
  <c r="B275" i="19"/>
  <c r="A276" i="19"/>
  <c r="B276" i="19"/>
  <c r="A277" i="19"/>
  <c r="B277" i="19"/>
  <c r="A278" i="19"/>
  <c r="B278" i="19"/>
  <c r="A279" i="19"/>
  <c r="B279" i="19"/>
  <c r="A280" i="19"/>
  <c r="B280" i="19"/>
  <c r="A281" i="19"/>
  <c r="B281" i="19"/>
  <c r="A282" i="19"/>
  <c r="B282" i="19"/>
  <c r="A283" i="19"/>
  <c r="B283" i="19"/>
  <c r="A284" i="19"/>
  <c r="B284" i="19"/>
  <c r="A285" i="19"/>
  <c r="B285" i="19"/>
  <c r="A286" i="19"/>
  <c r="B286" i="19"/>
  <c r="A287" i="19"/>
  <c r="B287" i="19"/>
  <c r="A288" i="19"/>
  <c r="B288" i="19"/>
  <c r="A289" i="19"/>
  <c r="B289" i="19"/>
  <c r="A290" i="19"/>
  <c r="B290" i="19"/>
  <c r="A291" i="19"/>
  <c r="B291" i="19"/>
  <c r="A292" i="19"/>
  <c r="B292" i="19"/>
  <c r="A293" i="19"/>
  <c r="B293" i="19"/>
  <c r="A294" i="19"/>
  <c r="B294" i="19"/>
  <c r="A295" i="19"/>
  <c r="B295" i="19"/>
  <c r="A296" i="19"/>
  <c r="B296" i="19"/>
  <c r="A297" i="19"/>
  <c r="B297" i="19"/>
  <c r="A298" i="19"/>
  <c r="B298" i="19"/>
  <c r="A299" i="19"/>
  <c r="B299" i="19"/>
  <c r="A300" i="19"/>
  <c r="B300" i="19"/>
  <c r="A301" i="19"/>
  <c r="B301" i="19"/>
  <c r="A302" i="19"/>
  <c r="B302" i="19"/>
  <c r="A303" i="19"/>
  <c r="B303" i="19"/>
  <c r="A304" i="19"/>
  <c r="B304" i="19"/>
  <c r="A305" i="19"/>
  <c r="B305" i="19"/>
  <c r="A306" i="19"/>
  <c r="B306" i="19"/>
  <c r="A307" i="19"/>
  <c r="B307" i="19"/>
  <c r="A308" i="19"/>
  <c r="B308" i="19"/>
  <c r="A309" i="19"/>
  <c r="B309" i="19"/>
  <c r="A310" i="19"/>
  <c r="B310" i="19"/>
  <c r="A311" i="19"/>
  <c r="B311" i="19"/>
  <c r="A312" i="19"/>
  <c r="B312" i="19"/>
  <c r="A313" i="19"/>
  <c r="B313" i="19"/>
  <c r="A314" i="19"/>
  <c r="B314" i="19"/>
  <c r="A315" i="19"/>
  <c r="B315" i="19"/>
  <c r="D310" i="49" l="1"/>
  <c r="D309" i="33"/>
  <c r="D274" i="25"/>
  <c r="D274" i="49"/>
  <c r="D273" i="33"/>
  <c r="D258" i="25"/>
  <c r="D258" i="49"/>
  <c r="D257" i="33"/>
  <c r="D238" i="25"/>
  <c r="D238" i="49"/>
  <c r="D237" i="33"/>
  <c r="D198" i="25"/>
  <c r="D198" i="49"/>
  <c r="D197" i="33"/>
  <c r="D170" i="25"/>
  <c r="D170" i="49"/>
  <c r="D169" i="33"/>
  <c r="D142" i="25"/>
  <c r="D142" i="49"/>
  <c r="D141" i="33"/>
  <c r="D114" i="49"/>
  <c r="D113" i="33"/>
  <c r="D70" i="49"/>
  <c r="D69" i="33"/>
  <c r="D26" i="25"/>
  <c r="D26" i="49"/>
  <c r="D25" i="33"/>
  <c r="D186" i="25"/>
  <c r="D186" i="49"/>
  <c r="D185" i="33"/>
  <c r="D290" i="25"/>
  <c r="D290" i="49"/>
  <c r="D289" i="33"/>
  <c r="D262" i="25"/>
  <c r="D262" i="49"/>
  <c r="D261" i="33"/>
  <c r="D234" i="25"/>
  <c r="D234" i="49"/>
  <c r="D233" i="33"/>
  <c r="D202" i="25"/>
  <c r="D202" i="49"/>
  <c r="D201" i="33"/>
  <c r="D178" i="25"/>
  <c r="D178" i="49"/>
  <c r="D177" i="33"/>
  <c r="D146" i="49"/>
  <c r="D145" i="33"/>
  <c r="D118" i="49"/>
  <c r="D117" i="33"/>
  <c r="D90" i="25"/>
  <c r="D90" i="49"/>
  <c r="D89" i="33"/>
  <c r="D58" i="49"/>
  <c r="D57" i="33"/>
  <c r="D30" i="49"/>
  <c r="D29" i="33"/>
  <c r="D298" i="25"/>
  <c r="D298" i="49"/>
  <c r="D297" i="33"/>
  <c r="D270" i="25"/>
  <c r="D270" i="49"/>
  <c r="D269" i="33"/>
  <c r="D246" i="25"/>
  <c r="D246" i="49"/>
  <c r="D245" i="33"/>
  <c r="D214" i="25"/>
  <c r="D214" i="49"/>
  <c r="D213" i="33"/>
  <c r="D174" i="25"/>
  <c r="D174" i="49"/>
  <c r="D173" i="33"/>
  <c r="D138" i="25"/>
  <c r="D138" i="49"/>
  <c r="D137" i="33"/>
  <c r="D106" i="25"/>
  <c r="D106" i="49"/>
  <c r="D105" i="33"/>
  <c r="D82" i="49"/>
  <c r="D81" i="33"/>
  <c r="D54" i="49"/>
  <c r="D53" i="33"/>
  <c r="D50" i="49"/>
  <c r="D49" i="33"/>
  <c r="D22" i="49"/>
  <c r="D21" i="33"/>
  <c r="D313" i="49"/>
  <c r="D312" i="33"/>
  <c r="D309" i="49"/>
  <c r="D308" i="33"/>
  <c r="D305" i="49"/>
  <c r="D304" i="33"/>
  <c r="D301" i="49"/>
  <c r="D300" i="33"/>
  <c r="D297" i="49"/>
  <c r="D296" i="33"/>
  <c r="D293" i="49"/>
  <c r="D292" i="33"/>
  <c r="D289" i="49"/>
  <c r="D288" i="33"/>
  <c r="D285" i="49"/>
  <c r="D284" i="33"/>
  <c r="D281" i="49"/>
  <c r="D280" i="33"/>
  <c r="D277" i="49"/>
  <c r="D276" i="33"/>
  <c r="D273" i="49"/>
  <c r="D272" i="33"/>
  <c r="D269" i="49"/>
  <c r="D268" i="33"/>
  <c r="D265" i="49"/>
  <c r="D264" i="33"/>
  <c r="D261" i="49"/>
  <c r="D260" i="33"/>
  <c r="D257" i="49"/>
  <c r="D256" i="33"/>
  <c r="D253" i="49"/>
  <c r="D252" i="33"/>
  <c r="D249" i="49"/>
  <c r="D248" i="33"/>
  <c r="D245" i="49"/>
  <c r="D244" i="33"/>
  <c r="D241" i="49"/>
  <c r="D240" i="33"/>
  <c r="D237" i="49"/>
  <c r="D236" i="33"/>
  <c r="D233" i="49"/>
  <c r="D232" i="33"/>
  <c r="D229" i="49"/>
  <c r="D228" i="33"/>
  <c r="D225" i="49"/>
  <c r="D224" i="33"/>
  <c r="D221" i="49"/>
  <c r="D220" i="33"/>
  <c r="D217" i="49"/>
  <c r="D216" i="33"/>
  <c r="D213" i="49"/>
  <c r="D212" i="33"/>
  <c r="D209" i="49"/>
  <c r="D208" i="33"/>
  <c r="D205" i="49"/>
  <c r="D204" i="33"/>
  <c r="D201" i="49"/>
  <c r="D200" i="33"/>
  <c r="D197" i="49"/>
  <c r="D196" i="33"/>
  <c r="D193" i="49"/>
  <c r="D192" i="33"/>
  <c r="D189" i="49"/>
  <c r="D188" i="33"/>
  <c r="D185" i="49"/>
  <c r="D184" i="33"/>
  <c r="D181" i="49"/>
  <c r="D180" i="33"/>
  <c r="D177" i="49"/>
  <c r="D176" i="33"/>
  <c r="D173" i="49"/>
  <c r="D172" i="33"/>
  <c r="D169" i="49"/>
  <c r="D168" i="33"/>
  <c r="D165" i="49"/>
  <c r="D164" i="33"/>
  <c r="D161" i="49"/>
  <c r="D160" i="33"/>
  <c r="D157" i="49"/>
  <c r="D156" i="33"/>
  <c r="D153" i="49"/>
  <c r="D152" i="33"/>
  <c r="D149" i="49"/>
  <c r="D148" i="33"/>
  <c r="D145" i="49"/>
  <c r="D144" i="33"/>
  <c r="D141" i="49"/>
  <c r="D140" i="33"/>
  <c r="D137" i="49"/>
  <c r="D136" i="33"/>
  <c r="D133" i="49"/>
  <c r="D132" i="33"/>
  <c r="D129" i="49"/>
  <c r="D128" i="33"/>
  <c r="D125" i="49"/>
  <c r="D124" i="33"/>
  <c r="D121" i="49"/>
  <c r="D120" i="33"/>
  <c r="D117" i="49"/>
  <c r="D116" i="33"/>
  <c r="D113" i="49"/>
  <c r="D112" i="33"/>
  <c r="D109" i="49"/>
  <c r="D108" i="33"/>
  <c r="D105" i="49"/>
  <c r="D104" i="33"/>
  <c r="D101" i="49"/>
  <c r="D100" i="33"/>
  <c r="D97" i="25"/>
  <c r="D97" i="49"/>
  <c r="D96" i="33"/>
  <c r="D93" i="49"/>
  <c r="D92" i="33"/>
  <c r="D89" i="49"/>
  <c r="D88" i="33"/>
  <c r="D85" i="49"/>
  <c r="D84" i="33"/>
  <c r="D81" i="49"/>
  <c r="D80" i="33"/>
  <c r="D77" i="49"/>
  <c r="D76" i="33"/>
  <c r="D73" i="49"/>
  <c r="D72" i="33"/>
  <c r="D69" i="49"/>
  <c r="D68" i="33"/>
  <c r="D65" i="49"/>
  <c r="D64" i="33"/>
  <c r="D61" i="49"/>
  <c r="D60" i="33"/>
  <c r="D57" i="49"/>
  <c r="D56" i="33"/>
  <c r="D53" i="49"/>
  <c r="D52" i="33"/>
  <c r="D49" i="49"/>
  <c r="D48" i="33"/>
  <c r="D45" i="49"/>
  <c r="D44" i="33"/>
  <c r="D41" i="49"/>
  <c r="D40" i="33"/>
  <c r="D37" i="49"/>
  <c r="D36" i="33"/>
  <c r="D33" i="49"/>
  <c r="D32" i="33"/>
  <c r="D29" i="49"/>
  <c r="D28" i="33"/>
  <c r="D25" i="49"/>
  <c r="D24" i="33"/>
  <c r="D21" i="49"/>
  <c r="D20" i="33"/>
  <c r="D17" i="49"/>
  <c r="D16" i="33"/>
  <c r="D13" i="49"/>
  <c r="D12" i="33"/>
  <c r="D9" i="49"/>
  <c r="D8" i="33"/>
  <c r="D286" i="25"/>
  <c r="D286" i="49"/>
  <c r="D285" i="33"/>
  <c r="D230" i="25"/>
  <c r="D230" i="49"/>
  <c r="D229" i="33"/>
  <c r="D182" i="25"/>
  <c r="D182" i="49"/>
  <c r="D181" i="33"/>
  <c r="D154" i="25"/>
  <c r="D154" i="49"/>
  <c r="D153" i="33"/>
  <c r="D122" i="49"/>
  <c r="D121" i="33"/>
  <c r="D94" i="49"/>
  <c r="D93" i="33"/>
  <c r="D74" i="25"/>
  <c r="D74" i="49"/>
  <c r="D73" i="33"/>
  <c r="D46" i="49"/>
  <c r="D45" i="33"/>
  <c r="D10" i="25"/>
  <c r="D10" i="49"/>
  <c r="D9" i="33"/>
  <c r="D302" i="25"/>
  <c r="D302" i="49"/>
  <c r="D301" i="33"/>
  <c r="D282" i="25"/>
  <c r="D282" i="49"/>
  <c r="D281" i="33"/>
  <c r="D250" i="25"/>
  <c r="D250" i="49"/>
  <c r="D249" i="33"/>
  <c r="D222" i="25"/>
  <c r="D222" i="49"/>
  <c r="D221" i="33"/>
  <c r="D210" i="25"/>
  <c r="D210" i="49"/>
  <c r="D209" i="33"/>
  <c r="D194" i="25"/>
  <c r="D194" i="49"/>
  <c r="D193" i="33"/>
  <c r="D158" i="25"/>
  <c r="D158" i="49"/>
  <c r="D157" i="33"/>
  <c r="D126" i="25"/>
  <c r="D126" i="49"/>
  <c r="D125" i="33"/>
  <c r="D98" i="25"/>
  <c r="D98" i="49"/>
  <c r="D97" i="33"/>
  <c r="D86" i="49"/>
  <c r="D85" i="33"/>
  <c r="D62" i="49"/>
  <c r="D61" i="33"/>
  <c r="D38" i="49"/>
  <c r="D37" i="33"/>
  <c r="D14" i="49"/>
  <c r="D13" i="33"/>
  <c r="D312" i="49"/>
  <c r="D311" i="33"/>
  <c r="D308" i="25"/>
  <c r="D308" i="49"/>
  <c r="D307" i="33"/>
  <c r="D304" i="49"/>
  <c r="D303" i="33"/>
  <c r="D300" i="25"/>
  <c r="D300" i="49"/>
  <c r="D299" i="33"/>
  <c r="D296" i="49"/>
  <c r="D295" i="33"/>
  <c r="D292" i="25"/>
  <c r="D292" i="49"/>
  <c r="D291" i="33"/>
  <c r="D288" i="49"/>
  <c r="D287" i="33"/>
  <c r="D284" i="25"/>
  <c r="D284" i="49"/>
  <c r="D283" i="33"/>
  <c r="D280" i="49"/>
  <c r="D279" i="33"/>
  <c r="D276" i="25"/>
  <c r="D276" i="49"/>
  <c r="D275" i="33"/>
  <c r="D272" i="49"/>
  <c r="D271" i="33"/>
  <c r="D268" i="25"/>
  <c r="D268" i="49"/>
  <c r="D267" i="33"/>
  <c r="D264" i="49"/>
  <c r="D263" i="33"/>
  <c r="D260" i="25"/>
  <c r="D260" i="49"/>
  <c r="D259" i="33"/>
  <c r="D256" i="49"/>
  <c r="D255" i="33"/>
  <c r="D252" i="25"/>
  <c r="D252" i="49"/>
  <c r="D251" i="33"/>
  <c r="D248" i="49"/>
  <c r="D247" i="33"/>
  <c r="D244" i="25"/>
  <c r="D244" i="49"/>
  <c r="D243" i="33"/>
  <c r="D240" i="49"/>
  <c r="D239" i="33"/>
  <c r="D236" i="25"/>
  <c r="D236" i="49"/>
  <c r="D235" i="33"/>
  <c r="D232" i="49"/>
  <c r="D231" i="33"/>
  <c r="D228" i="25"/>
  <c r="D228" i="49"/>
  <c r="D227" i="33"/>
  <c r="D224" i="49"/>
  <c r="D223" i="33"/>
  <c r="D220" i="25"/>
  <c r="D220" i="49"/>
  <c r="D219" i="33"/>
  <c r="D216" i="49"/>
  <c r="D215" i="33"/>
  <c r="D212" i="25"/>
  <c r="D212" i="49"/>
  <c r="D211" i="33"/>
  <c r="D208" i="49"/>
  <c r="D207" i="33"/>
  <c r="D204" i="25"/>
  <c r="D204" i="49"/>
  <c r="D203" i="33"/>
  <c r="D200" i="49"/>
  <c r="D199" i="33"/>
  <c r="D196" i="25"/>
  <c r="D196" i="49"/>
  <c r="D195" i="33"/>
  <c r="D192" i="49"/>
  <c r="D191" i="33"/>
  <c r="D188" i="25"/>
  <c r="D188" i="49"/>
  <c r="D187" i="33"/>
  <c r="D184" i="49"/>
  <c r="D183" i="33"/>
  <c r="D180" i="25"/>
  <c r="D180" i="49"/>
  <c r="D179" i="33"/>
  <c r="D176" i="49"/>
  <c r="D175" i="33"/>
  <c r="D172" i="25"/>
  <c r="D172" i="49"/>
  <c r="D171" i="33"/>
  <c r="D168" i="49"/>
  <c r="D167" i="33"/>
  <c r="D164" i="25"/>
  <c r="D164" i="49"/>
  <c r="D163" i="33"/>
  <c r="D160" i="49"/>
  <c r="D159" i="33"/>
  <c r="D156" i="25"/>
  <c r="D156" i="49"/>
  <c r="D155" i="33"/>
  <c r="D152" i="49"/>
  <c r="D151" i="33"/>
  <c r="D148" i="49"/>
  <c r="D147" i="33"/>
  <c r="D144" i="49"/>
  <c r="D143" i="33"/>
  <c r="D140" i="25"/>
  <c r="D140" i="49"/>
  <c r="D139" i="33"/>
  <c r="D136" i="49"/>
  <c r="D135" i="33"/>
  <c r="D132" i="25"/>
  <c r="D132" i="49"/>
  <c r="D131" i="33"/>
  <c r="D128" i="49"/>
  <c r="D127" i="33"/>
  <c r="D124" i="25"/>
  <c r="D124" i="49"/>
  <c r="D123" i="33"/>
  <c r="D120" i="49"/>
  <c r="D119" i="33"/>
  <c r="D116" i="25"/>
  <c r="D116" i="49"/>
  <c r="D115" i="33"/>
  <c r="D112" i="25"/>
  <c r="D112" i="49"/>
  <c r="D111" i="33"/>
  <c r="D108" i="49"/>
  <c r="D107" i="33"/>
  <c r="D104" i="25"/>
  <c r="D104" i="49"/>
  <c r="D103" i="33"/>
  <c r="D100" i="25"/>
  <c r="D100" i="49"/>
  <c r="D99" i="33"/>
  <c r="D96" i="25"/>
  <c r="D96" i="49"/>
  <c r="D95" i="33"/>
  <c r="D92" i="49"/>
  <c r="D91" i="33"/>
  <c r="D88" i="49"/>
  <c r="D87" i="33"/>
  <c r="D84" i="25"/>
  <c r="D84" i="49"/>
  <c r="D83" i="33"/>
  <c r="D80" i="25"/>
  <c r="D80" i="49"/>
  <c r="D79" i="33"/>
  <c r="D76" i="49"/>
  <c r="D75" i="33"/>
  <c r="D72" i="25"/>
  <c r="D72" i="49"/>
  <c r="D71" i="33"/>
  <c r="D68" i="25"/>
  <c r="D68" i="49"/>
  <c r="D67" i="33"/>
  <c r="D64" i="25"/>
  <c r="D64" i="49"/>
  <c r="D63" i="33"/>
  <c r="D60" i="25"/>
  <c r="D60" i="49"/>
  <c r="D59" i="33"/>
  <c r="D56" i="49"/>
  <c r="D55" i="33"/>
  <c r="D52" i="25"/>
  <c r="D52" i="49"/>
  <c r="D51" i="33"/>
  <c r="D48" i="25"/>
  <c r="D48" i="49"/>
  <c r="D47" i="33"/>
  <c r="D44" i="49"/>
  <c r="D43" i="33"/>
  <c r="D40" i="49"/>
  <c r="D39" i="33"/>
  <c r="D36" i="25"/>
  <c r="D36" i="49"/>
  <c r="D35" i="33"/>
  <c r="D32" i="25"/>
  <c r="D32" i="49"/>
  <c r="D31" i="33"/>
  <c r="D28" i="25"/>
  <c r="D28" i="49"/>
  <c r="D27" i="33"/>
  <c r="D24" i="49"/>
  <c r="D23" i="33"/>
  <c r="D20" i="25"/>
  <c r="D20" i="49"/>
  <c r="D19" i="33"/>
  <c r="D16" i="25"/>
  <c r="D16" i="49"/>
  <c r="D15" i="33"/>
  <c r="D12" i="49"/>
  <c r="D11" i="33"/>
  <c r="D8" i="25"/>
  <c r="D8" i="49"/>
  <c r="D7" i="33"/>
  <c r="D306" i="25"/>
  <c r="D306" i="49"/>
  <c r="D305" i="33"/>
  <c r="D278" i="25"/>
  <c r="D278" i="49"/>
  <c r="D277" i="33"/>
  <c r="D254" i="25"/>
  <c r="D254" i="49"/>
  <c r="D253" i="33"/>
  <c r="D226" i="25"/>
  <c r="D226" i="49"/>
  <c r="D225" i="33"/>
  <c r="D206" i="25"/>
  <c r="D206" i="49"/>
  <c r="D205" i="33"/>
  <c r="D166" i="25"/>
  <c r="D166" i="49"/>
  <c r="D165" i="33"/>
  <c r="D134" i="49"/>
  <c r="D133" i="33"/>
  <c r="D110" i="49"/>
  <c r="D109" i="33"/>
  <c r="D66" i="25"/>
  <c r="D66" i="49"/>
  <c r="D65" i="33"/>
  <c r="D34" i="25"/>
  <c r="D34" i="49"/>
  <c r="D33" i="33"/>
  <c r="D314" i="25"/>
  <c r="D314" i="49"/>
  <c r="D313" i="33"/>
  <c r="D294" i="25"/>
  <c r="D294" i="49"/>
  <c r="D293" i="33"/>
  <c r="D266" i="25"/>
  <c r="D266" i="49"/>
  <c r="D265" i="33"/>
  <c r="D242" i="25"/>
  <c r="D242" i="49"/>
  <c r="D241" i="33"/>
  <c r="D218" i="25"/>
  <c r="D218" i="49"/>
  <c r="D217" i="33"/>
  <c r="D190" i="25"/>
  <c r="D190" i="49"/>
  <c r="D189" i="33"/>
  <c r="D162" i="25"/>
  <c r="D162" i="49"/>
  <c r="D161" i="33"/>
  <c r="D150" i="25"/>
  <c r="D150" i="49"/>
  <c r="D149" i="33"/>
  <c r="D130" i="25"/>
  <c r="D130" i="49"/>
  <c r="D129" i="33"/>
  <c r="D102" i="49"/>
  <c r="D101" i="33"/>
  <c r="D78" i="49"/>
  <c r="D77" i="33"/>
  <c r="D42" i="25"/>
  <c r="D42" i="49"/>
  <c r="D41" i="33"/>
  <c r="D18" i="49"/>
  <c r="D17" i="33"/>
  <c r="D311" i="49"/>
  <c r="D310" i="33"/>
  <c r="D307" i="49"/>
  <c r="D306" i="33"/>
  <c r="D303" i="49"/>
  <c r="D302" i="33"/>
  <c r="D299" i="25"/>
  <c r="D299" i="49"/>
  <c r="D298" i="33"/>
  <c r="D295" i="49"/>
  <c r="D294" i="33"/>
  <c r="D291" i="49"/>
  <c r="D290" i="33"/>
  <c r="D287" i="49"/>
  <c r="D286" i="33"/>
  <c r="D283" i="25"/>
  <c r="D283" i="49"/>
  <c r="D282" i="33"/>
  <c r="D279" i="49"/>
  <c r="D278" i="33"/>
  <c r="D275" i="49"/>
  <c r="D274" i="33"/>
  <c r="D271" i="49"/>
  <c r="D270" i="33"/>
  <c r="D267" i="25"/>
  <c r="D267" i="49"/>
  <c r="D266" i="33"/>
  <c r="D263" i="49"/>
  <c r="D262" i="33"/>
  <c r="D259" i="49"/>
  <c r="D258" i="33"/>
  <c r="D255" i="49"/>
  <c r="D254" i="33"/>
  <c r="D251" i="25"/>
  <c r="D251" i="49"/>
  <c r="D250" i="33"/>
  <c r="D247" i="49"/>
  <c r="D246" i="33"/>
  <c r="D243" i="25"/>
  <c r="D243" i="49"/>
  <c r="D242" i="33"/>
  <c r="D239" i="49"/>
  <c r="D238" i="33"/>
  <c r="D235" i="25"/>
  <c r="D235" i="49"/>
  <c r="D234" i="33"/>
  <c r="D231" i="49"/>
  <c r="D230" i="33"/>
  <c r="D227" i="49"/>
  <c r="D226" i="33"/>
  <c r="D223" i="49"/>
  <c r="D222" i="33"/>
  <c r="D219" i="25"/>
  <c r="D219" i="49"/>
  <c r="D218" i="33"/>
  <c r="D215" i="49"/>
  <c r="D214" i="33"/>
  <c r="D211" i="49"/>
  <c r="D210" i="33"/>
  <c r="D207" i="49"/>
  <c r="D206" i="33"/>
  <c r="D203" i="25"/>
  <c r="D203" i="49"/>
  <c r="D202" i="33"/>
  <c r="D199" i="49"/>
  <c r="D198" i="33"/>
  <c r="D195" i="25"/>
  <c r="D195" i="49"/>
  <c r="D194" i="33"/>
  <c r="D191" i="49"/>
  <c r="D190" i="33"/>
  <c r="D187" i="25"/>
  <c r="D187" i="49"/>
  <c r="D186" i="33"/>
  <c r="D183" i="49"/>
  <c r="D182" i="33"/>
  <c r="D179" i="49"/>
  <c r="D178" i="33"/>
  <c r="D175" i="49"/>
  <c r="D174" i="33"/>
  <c r="D171" i="25"/>
  <c r="D171" i="49"/>
  <c r="D170" i="33"/>
  <c r="D167" i="49"/>
  <c r="D166" i="33"/>
  <c r="D163" i="49"/>
  <c r="D162" i="33"/>
  <c r="D159" i="49"/>
  <c r="D158" i="33"/>
  <c r="D155" i="25"/>
  <c r="D155" i="49"/>
  <c r="D154" i="33"/>
  <c r="D151" i="49"/>
  <c r="D150" i="33"/>
  <c r="D147" i="49"/>
  <c r="D146" i="33"/>
  <c r="D143" i="49"/>
  <c r="D142" i="33"/>
  <c r="D139" i="25"/>
  <c r="D139" i="49"/>
  <c r="D138" i="33"/>
  <c r="D135" i="49"/>
  <c r="D134" i="33"/>
  <c r="D131" i="49"/>
  <c r="D130" i="33"/>
  <c r="D127" i="49"/>
  <c r="D126" i="33"/>
  <c r="D123" i="25"/>
  <c r="D123" i="49"/>
  <c r="D122" i="33"/>
  <c r="D119" i="49"/>
  <c r="D118" i="33"/>
  <c r="D115" i="49"/>
  <c r="D114" i="33"/>
  <c r="D111" i="49"/>
  <c r="D110" i="33"/>
  <c r="D107" i="49"/>
  <c r="D106" i="33"/>
  <c r="D103" i="25"/>
  <c r="D103" i="49"/>
  <c r="D102" i="33"/>
  <c r="D99" i="49"/>
  <c r="D98" i="33"/>
  <c r="D95" i="49"/>
  <c r="D94" i="33"/>
  <c r="D91" i="49"/>
  <c r="D90" i="33"/>
  <c r="D87" i="49"/>
  <c r="D86" i="33"/>
  <c r="D83" i="49"/>
  <c r="D82" i="33"/>
  <c r="D79" i="49"/>
  <c r="D78" i="33"/>
  <c r="D75" i="49"/>
  <c r="D74" i="33"/>
  <c r="D71" i="25"/>
  <c r="D71" i="49"/>
  <c r="D70" i="33"/>
  <c r="D67" i="49"/>
  <c r="D66" i="33"/>
  <c r="D63" i="25"/>
  <c r="D63" i="49"/>
  <c r="D62" i="33"/>
  <c r="D59" i="25"/>
  <c r="D59" i="49"/>
  <c r="D58" i="33"/>
  <c r="D55" i="25"/>
  <c r="D55" i="49"/>
  <c r="D54" i="33"/>
  <c r="D51" i="25"/>
  <c r="D51" i="49"/>
  <c r="D50" i="33"/>
  <c r="D47" i="25"/>
  <c r="D47" i="49"/>
  <c r="D46" i="33"/>
  <c r="D43" i="25"/>
  <c r="D43" i="49"/>
  <c r="D42" i="33"/>
  <c r="D39" i="49"/>
  <c r="D38" i="33"/>
  <c r="D35" i="25"/>
  <c r="D35" i="49"/>
  <c r="D34" i="33"/>
  <c r="D31" i="25"/>
  <c r="D31" i="49"/>
  <c r="D30" i="33"/>
  <c r="D27" i="49"/>
  <c r="D26" i="33"/>
  <c r="D23" i="25"/>
  <c r="D23" i="49"/>
  <c r="D22" i="33"/>
  <c r="D19" i="25"/>
  <c r="D19" i="49"/>
  <c r="D18" i="33"/>
  <c r="D15" i="25"/>
  <c r="D15" i="49"/>
  <c r="D14" i="33"/>
  <c r="D11" i="25"/>
  <c r="D11" i="49"/>
  <c r="D10" i="33"/>
  <c r="D7" i="49"/>
  <c r="D6" i="33"/>
  <c r="A313" i="25"/>
  <c r="A313" i="54"/>
  <c r="A307" i="25"/>
  <c r="A307" i="54"/>
  <c r="A301" i="25"/>
  <c r="A301" i="54"/>
  <c r="A297" i="25"/>
  <c r="A297" i="54"/>
  <c r="A293" i="25"/>
  <c r="A293" i="54"/>
  <c r="A289" i="25"/>
  <c r="A289" i="54"/>
  <c r="A287" i="25"/>
  <c r="A287" i="54"/>
  <c r="A283" i="25"/>
  <c r="A283" i="54"/>
  <c r="A277" i="25"/>
  <c r="A277" i="54"/>
  <c r="A273" i="25"/>
  <c r="A273" i="54"/>
  <c r="A265" i="25"/>
  <c r="A265" i="54"/>
  <c r="A261" i="25"/>
  <c r="A261" i="54"/>
  <c r="A257" i="25"/>
  <c r="A257" i="54"/>
  <c r="A253" i="25"/>
  <c r="A253" i="54"/>
  <c r="A251" i="25"/>
  <c r="A251" i="54"/>
  <c r="A245" i="25"/>
  <c r="A245" i="54"/>
  <c r="A241" i="25"/>
  <c r="A241" i="54"/>
  <c r="A237" i="25"/>
  <c r="A237" i="54"/>
  <c r="A233" i="25"/>
  <c r="A233" i="54"/>
  <c r="A229" i="25"/>
  <c r="A229" i="54"/>
  <c r="A225" i="25"/>
  <c r="A225" i="54"/>
  <c r="A221" i="25"/>
  <c r="A221" i="54"/>
  <c r="A215" i="25"/>
  <c r="A215" i="54"/>
  <c r="A211" i="25"/>
  <c r="A211" i="54"/>
  <c r="A207" i="25"/>
  <c r="A207" i="54"/>
  <c r="A203" i="25"/>
  <c r="A203" i="54"/>
  <c r="A201" i="25"/>
  <c r="A201" i="54"/>
  <c r="A197" i="25"/>
  <c r="A197" i="54"/>
  <c r="A193" i="25"/>
  <c r="A193" i="54"/>
  <c r="A191" i="25"/>
  <c r="A191" i="54"/>
  <c r="A187" i="25"/>
  <c r="A187" i="54"/>
  <c r="A183" i="25"/>
  <c r="A183" i="54"/>
  <c r="A179" i="25"/>
  <c r="A179" i="54"/>
  <c r="A175" i="25"/>
  <c r="A175" i="54"/>
  <c r="A171" i="25"/>
  <c r="A171" i="54"/>
  <c r="A167" i="25"/>
  <c r="A167" i="54"/>
  <c r="A163" i="25"/>
  <c r="A163" i="54"/>
  <c r="A157" i="25"/>
  <c r="A157" i="54"/>
  <c r="A153" i="25"/>
  <c r="A153" i="54"/>
  <c r="A149" i="25"/>
  <c r="A149" i="54"/>
  <c r="A145" i="25"/>
  <c r="A145" i="54"/>
  <c r="A141" i="25"/>
  <c r="A141" i="54"/>
  <c r="A137" i="25"/>
  <c r="A137" i="54"/>
  <c r="A133" i="25"/>
  <c r="A133" i="54"/>
  <c r="A129" i="25"/>
  <c r="A129" i="54"/>
  <c r="A125" i="25"/>
  <c r="A125" i="54"/>
  <c r="A123" i="25"/>
  <c r="A123" i="54"/>
  <c r="A119" i="25"/>
  <c r="A119" i="54"/>
  <c r="A115" i="25"/>
  <c r="A115" i="54"/>
  <c r="A111" i="25"/>
  <c r="A111" i="54"/>
  <c r="A105" i="25"/>
  <c r="A105" i="54"/>
  <c r="A101" i="25"/>
  <c r="A101" i="54"/>
  <c r="A97" i="25"/>
  <c r="A97" i="54"/>
  <c r="A93" i="25"/>
  <c r="A93" i="54"/>
  <c r="A87" i="25"/>
  <c r="A87" i="54"/>
  <c r="A83" i="25"/>
  <c r="A83" i="54"/>
  <c r="A79" i="25"/>
  <c r="A79" i="54"/>
  <c r="A75" i="25"/>
  <c r="A75" i="54"/>
  <c r="A71" i="25"/>
  <c r="A71" i="54"/>
  <c r="A69" i="25"/>
  <c r="A69" i="54"/>
  <c r="A65" i="25"/>
  <c r="A65" i="54"/>
  <c r="A61" i="25"/>
  <c r="A61" i="54"/>
  <c r="A57" i="25"/>
  <c r="A57" i="54"/>
  <c r="A53" i="25"/>
  <c r="A53" i="54"/>
  <c r="A49" i="25"/>
  <c r="A49" i="54"/>
  <c r="A43" i="25"/>
  <c r="A43" i="54"/>
  <c r="A39" i="25"/>
  <c r="A39" i="54"/>
  <c r="A35" i="25"/>
  <c r="A35" i="54"/>
  <c r="A31" i="25"/>
  <c r="A31" i="54"/>
  <c r="A27" i="25"/>
  <c r="A27" i="54"/>
  <c r="A23" i="25"/>
  <c r="A23" i="54"/>
  <c r="A19" i="25"/>
  <c r="A19" i="54"/>
  <c r="A15" i="25"/>
  <c r="A15" i="54"/>
  <c r="A11" i="25"/>
  <c r="A11" i="54"/>
  <c r="B312" i="25"/>
  <c r="B312" i="54"/>
  <c r="B308" i="25"/>
  <c r="B308" i="54"/>
  <c r="B302" i="25"/>
  <c r="B302" i="54"/>
  <c r="B298" i="25"/>
  <c r="B298" i="54"/>
  <c r="B294" i="25"/>
  <c r="B294" i="54"/>
  <c r="B292" i="25"/>
  <c r="B292" i="54"/>
  <c r="B288" i="25"/>
  <c r="B288" i="54"/>
  <c r="B282" i="25"/>
  <c r="B282" i="54"/>
  <c r="B280" i="25"/>
  <c r="B280" i="54"/>
  <c r="B276" i="25"/>
  <c r="B276" i="54"/>
  <c r="B272" i="25"/>
  <c r="B272" i="54"/>
  <c r="B268" i="25"/>
  <c r="B268" i="54"/>
  <c r="B264" i="25"/>
  <c r="B264" i="54"/>
  <c r="B260" i="25"/>
  <c r="B260" i="54"/>
  <c r="B256" i="25"/>
  <c r="B256" i="54"/>
  <c r="B252" i="25"/>
  <c r="B252" i="54"/>
  <c r="B246" i="25"/>
  <c r="B246" i="54"/>
  <c r="B242" i="25"/>
  <c r="B242" i="54"/>
  <c r="B238" i="25"/>
  <c r="B238" i="54"/>
  <c r="B234" i="25"/>
  <c r="B234" i="54"/>
  <c r="B230" i="25"/>
  <c r="B230" i="54"/>
  <c r="B226" i="25"/>
  <c r="B226" i="54"/>
  <c r="B222" i="25"/>
  <c r="B222" i="54"/>
  <c r="B218" i="25"/>
  <c r="B218" i="54"/>
  <c r="B214" i="25"/>
  <c r="B214" i="54"/>
  <c r="B212" i="25"/>
  <c r="B212" i="54"/>
  <c r="B208" i="25"/>
  <c r="B208" i="54"/>
  <c r="A312" i="25"/>
  <c r="A312" i="54"/>
  <c r="A310" i="25"/>
  <c r="A310" i="54"/>
  <c r="A306" i="25"/>
  <c r="A306" i="54"/>
  <c r="A302" i="25"/>
  <c r="A302" i="54"/>
  <c r="A300" i="25"/>
  <c r="A300" i="54"/>
  <c r="A296" i="25"/>
  <c r="A296" i="54"/>
  <c r="A294" i="25"/>
  <c r="A294" i="54"/>
  <c r="A290" i="25"/>
  <c r="A290" i="54"/>
  <c r="A288" i="25"/>
  <c r="A288" i="54"/>
  <c r="A284" i="25"/>
  <c r="A284" i="54"/>
  <c r="A282" i="25"/>
  <c r="A282" i="54"/>
  <c r="A278" i="25"/>
  <c r="A278" i="54"/>
  <c r="A276" i="25"/>
  <c r="A276" i="54"/>
  <c r="A274" i="25"/>
  <c r="A274" i="54"/>
  <c r="A270" i="25"/>
  <c r="A270" i="54"/>
  <c r="A268" i="25"/>
  <c r="A268" i="54"/>
  <c r="A264" i="25"/>
  <c r="A264" i="54"/>
  <c r="A262" i="25"/>
  <c r="A262" i="54"/>
  <c r="A258" i="25"/>
  <c r="A258" i="54"/>
  <c r="A252" i="25"/>
  <c r="A252" i="54"/>
  <c r="A248" i="25"/>
  <c r="A248" i="54"/>
  <c r="A244" i="25"/>
  <c r="A244" i="54"/>
  <c r="A242" i="25"/>
  <c r="A242" i="54"/>
  <c r="A238" i="25"/>
  <c r="A238" i="54"/>
  <c r="A232" i="25"/>
  <c r="A232" i="54"/>
  <c r="A226" i="25"/>
  <c r="A226" i="54"/>
  <c r="A222" i="25"/>
  <c r="A222" i="54"/>
  <c r="A218" i="25"/>
  <c r="A218" i="54"/>
  <c r="A214" i="25"/>
  <c r="A214" i="54"/>
  <c r="A210" i="25"/>
  <c r="A210" i="54"/>
  <c r="A206" i="25"/>
  <c r="A206" i="54"/>
  <c r="A202" i="25"/>
  <c r="A202" i="54"/>
  <c r="A200" i="25"/>
  <c r="A200" i="54"/>
  <c r="A196" i="25"/>
  <c r="A196" i="54"/>
  <c r="A190" i="25"/>
  <c r="A190" i="54"/>
  <c r="A186" i="25"/>
  <c r="A186" i="54"/>
  <c r="A182" i="25"/>
  <c r="A182" i="54"/>
  <c r="A178" i="25"/>
  <c r="A178" i="54"/>
  <c r="A174" i="25"/>
  <c r="A174" i="54"/>
  <c r="A170" i="25"/>
  <c r="A170" i="54"/>
  <c r="A166" i="25"/>
  <c r="A166" i="54"/>
  <c r="A162" i="25"/>
  <c r="A162" i="54"/>
  <c r="A158" i="25"/>
  <c r="A158" i="54"/>
  <c r="A154" i="25"/>
  <c r="A154" i="54"/>
  <c r="A150" i="25"/>
  <c r="A150" i="54"/>
  <c r="A146" i="25"/>
  <c r="A146" i="54"/>
  <c r="A144" i="25"/>
  <c r="A144" i="54"/>
  <c r="A140" i="25"/>
  <c r="A140" i="54"/>
  <c r="A136" i="25"/>
  <c r="A136" i="54"/>
  <c r="A132" i="25"/>
  <c r="A132" i="54"/>
  <c r="A128" i="25"/>
  <c r="A128" i="54"/>
  <c r="A124" i="25"/>
  <c r="A124" i="54"/>
  <c r="A120" i="25"/>
  <c r="A120" i="54"/>
  <c r="A116" i="25"/>
  <c r="A116" i="54"/>
  <c r="A112" i="25"/>
  <c r="A112" i="54"/>
  <c r="A108" i="25"/>
  <c r="A108" i="54"/>
  <c r="A104" i="25"/>
  <c r="A104" i="54"/>
  <c r="A100" i="25"/>
  <c r="A100" i="54"/>
  <c r="A96" i="25"/>
  <c r="A96" i="54"/>
  <c r="A92" i="25"/>
  <c r="A92" i="54"/>
  <c r="A88" i="25"/>
  <c r="A88" i="54"/>
  <c r="A84" i="25"/>
  <c r="A84" i="54"/>
  <c r="A80" i="25"/>
  <c r="A80" i="54"/>
  <c r="A76" i="25"/>
  <c r="A76" i="54"/>
  <c r="A72" i="25"/>
  <c r="A72" i="54"/>
  <c r="A68" i="25"/>
  <c r="A68" i="54"/>
  <c r="A64" i="25"/>
  <c r="A64" i="54"/>
  <c r="A60" i="25"/>
  <c r="A60" i="54"/>
  <c r="A56" i="25"/>
  <c r="A56" i="54"/>
  <c r="A52" i="25"/>
  <c r="A52" i="54"/>
  <c r="A50" i="25"/>
  <c r="A50" i="54"/>
  <c r="A46" i="25"/>
  <c r="A46" i="54"/>
  <c r="A44" i="25"/>
  <c r="A44" i="54"/>
  <c r="A40" i="25"/>
  <c r="A40" i="54"/>
  <c r="A36" i="25"/>
  <c r="A36" i="54"/>
  <c r="A32" i="25"/>
  <c r="A32" i="54"/>
  <c r="A30" i="25"/>
  <c r="A30" i="54"/>
  <c r="A26" i="25"/>
  <c r="A26" i="54"/>
  <c r="A24" i="25"/>
  <c r="A24" i="54"/>
  <c r="A20" i="25"/>
  <c r="A20" i="54"/>
  <c r="A18" i="25"/>
  <c r="A18" i="54"/>
  <c r="A14" i="25"/>
  <c r="A14" i="54"/>
  <c r="A12" i="25"/>
  <c r="A12" i="54"/>
  <c r="A8" i="25"/>
  <c r="A8" i="54"/>
  <c r="B313" i="25"/>
  <c r="B313" i="54"/>
  <c r="B311" i="25"/>
  <c r="B311" i="54"/>
  <c r="B309" i="25"/>
  <c r="B309" i="54"/>
  <c r="B307" i="25"/>
  <c r="B307" i="54"/>
  <c r="B305" i="25"/>
  <c r="B305" i="54"/>
  <c r="B303" i="25"/>
  <c r="B303" i="54"/>
  <c r="B301" i="25"/>
  <c r="B301" i="54"/>
  <c r="B299" i="25"/>
  <c r="B299" i="54"/>
  <c r="B297" i="25"/>
  <c r="B297" i="54"/>
  <c r="B295" i="25"/>
  <c r="B295" i="54"/>
  <c r="B293" i="25"/>
  <c r="B293" i="54"/>
  <c r="B291" i="25"/>
  <c r="B291" i="54"/>
  <c r="B289" i="25"/>
  <c r="B289" i="54"/>
  <c r="B287" i="25"/>
  <c r="B287" i="54"/>
  <c r="B285" i="25"/>
  <c r="B285" i="54"/>
  <c r="B283" i="25"/>
  <c r="B283" i="54"/>
  <c r="B281" i="25"/>
  <c r="B281" i="54"/>
  <c r="B279" i="25"/>
  <c r="B279" i="54"/>
  <c r="B277" i="25"/>
  <c r="B277" i="54"/>
  <c r="B275" i="25"/>
  <c r="B275" i="54"/>
  <c r="B273" i="25"/>
  <c r="B273" i="54"/>
  <c r="B271" i="25"/>
  <c r="B271" i="54"/>
  <c r="B269" i="25"/>
  <c r="B269" i="54"/>
  <c r="B267" i="25"/>
  <c r="B267" i="54"/>
  <c r="B265" i="25"/>
  <c r="B265" i="54"/>
  <c r="B263" i="25"/>
  <c r="B263" i="54"/>
  <c r="B261" i="25"/>
  <c r="B261" i="54"/>
  <c r="B259" i="25"/>
  <c r="B259" i="54"/>
  <c r="B257" i="25"/>
  <c r="B257" i="54"/>
  <c r="B255" i="25"/>
  <c r="B255" i="54"/>
  <c r="B253" i="25"/>
  <c r="B253" i="54"/>
  <c r="B251" i="25"/>
  <c r="B251" i="54"/>
  <c r="B249" i="25"/>
  <c r="B249" i="54"/>
  <c r="B247" i="25"/>
  <c r="B247" i="54"/>
  <c r="B245" i="25"/>
  <c r="B245" i="54"/>
  <c r="B243" i="25"/>
  <c r="B243" i="54"/>
  <c r="B241" i="25"/>
  <c r="B241" i="54"/>
  <c r="B239" i="25"/>
  <c r="B239" i="54"/>
  <c r="B237" i="25"/>
  <c r="B237" i="54"/>
  <c r="B235" i="25"/>
  <c r="B235" i="54"/>
  <c r="B233" i="25"/>
  <c r="B233" i="54"/>
  <c r="B231" i="25"/>
  <c r="B231" i="54"/>
  <c r="B229" i="25"/>
  <c r="B229" i="54"/>
  <c r="B227" i="25"/>
  <c r="B227" i="54"/>
  <c r="B225" i="25"/>
  <c r="B225" i="54"/>
  <c r="B223" i="25"/>
  <c r="B223" i="54"/>
  <c r="B221" i="25"/>
  <c r="B221" i="54"/>
  <c r="B219" i="25"/>
  <c r="B219" i="54"/>
  <c r="B217" i="25"/>
  <c r="B217" i="54"/>
  <c r="B215" i="25"/>
  <c r="B215" i="54"/>
  <c r="B213" i="25"/>
  <c r="B213" i="54"/>
  <c r="B211" i="25"/>
  <c r="B211" i="54"/>
  <c r="B209" i="25"/>
  <c r="B209" i="54"/>
  <c r="B207" i="25"/>
  <c r="B207" i="54"/>
  <c r="B205" i="25"/>
  <c r="B205" i="54"/>
  <c r="B203" i="25"/>
  <c r="B203" i="54"/>
  <c r="B201" i="25"/>
  <c r="B201" i="54"/>
  <c r="B199" i="25"/>
  <c r="B199" i="54"/>
  <c r="B197" i="25"/>
  <c r="B197" i="54"/>
  <c r="B195" i="25"/>
  <c r="B195" i="54"/>
  <c r="B193" i="25"/>
  <c r="B193" i="54"/>
  <c r="B191" i="25"/>
  <c r="B191" i="54"/>
  <c r="B189" i="25"/>
  <c r="B189" i="54"/>
  <c r="B187" i="25"/>
  <c r="B187" i="54"/>
  <c r="B185" i="25"/>
  <c r="B185" i="54"/>
  <c r="B183" i="25"/>
  <c r="B183" i="54"/>
  <c r="B181" i="25"/>
  <c r="B181" i="54"/>
  <c r="B179" i="25"/>
  <c r="B179" i="54"/>
  <c r="B177" i="25"/>
  <c r="B177" i="54"/>
  <c r="B175" i="25"/>
  <c r="B175" i="54"/>
  <c r="B173" i="25"/>
  <c r="B173" i="54"/>
  <c r="B171" i="25"/>
  <c r="B171" i="54"/>
  <c r="B169" i="25"/>
  <c r="B169" i="54"/>
  <c r="B167" i="25"/>
  <c r="B167" i="54"/>
  <c r="B165" i="25"/>
  <c r="B165" i="54"/>
  <c r="B163" i="25"/>
  <c r="B163" i="54"/>
  <c r="B161" i="25"/>
  <c r="B161" i="54"/>
  <c r="B159" i="25"/>
  <c r="B159" i="54"/>
  <c r="B157" i="25"/>
  <c r="B157" i="54"/>
  <c r="B155" i="25"/>
  <c r="B155" i="54"/>
  <c r="B153" i="25"/>
  <c r="B153" i="54"/>
  <c r="B151" i="25"/>
  <c r="B151" i="54"/>
  <c r="B149" i="25"/>
  <c r="B149" i="54"/>
  <c r="B147" i="25"/>
  <c r="B147" i="54"/>
  <c r="B145" i="25"/>
  <c r="B145" i="54"/>
  <c r="B143" i="25"/>
  <c r="B143" i="54"/>
  <c r="B141" i="25"/>
  <c r="B141" i="54"/>
  <c r="B139" i="25"/>
  <c r="B139" i="54"/>
  <c r="B137" i="25"/>
  <c r="B137" i="54"/>
  <c r="B135" i="25"/>
  <c r="B135" i="54"/>
  <c r="B133" i="25"/>
  <c r="B133" i="54"/>
  <c r="B131" i="25"/>
  <c r="B131" i="54"/>
  <c r="B129" i="25"/>
  <c r="B129" i="54"/>
  <c r="B127" i="25"/>
  <c r="B127" i="54"/>
  <c r="B125" i="25"/>
  <c r="B125" i="54"/>
  <c r="B123" i="25"/>
  <c r="B123" i="54"/>
  <c r="B121" i="25"/>
  <c r="B121" i="54"/>
  <c r="B119" i="25"/>
  <c r="B119" i="54"/>
  <c r="B117" i="25"/>
  <c r="B117" i="54"/>
  <c r="B115" i="25"/>
  <c r="B115" i="54"/>
  <c r="B113" i="25"/>
  <c r="B113" i="54"/>
  <c r="B111" i="25"/>
  <c r="B111" i="54"/>
  <c r="B109" i="25"/>
  <c r="B109" i="54"/>
  <c r="B107" i="25"/>
  <c r="B107" i="54"/>
  <c r="B105" i="25"/>
  <c r="B105" i="54"/>
  <c r="B103" i="25"/>
  <c r="B103" i="54"/>
  <c r="B101" i="25"/>
  <c r="B101" i="54"/>
  <c r="B99" i="25"/>
  <c r="B99" i="54"/>
  <c r="B97" i="25"/>
  <c r="B97" i="54"/>
  <c r="B95" i="25"/>
  <c r="B95" i="54"/>
  <c r="B93" i="25"/>
  <c r="B93" i="54"/>
  <c r="B91" i="25"/>
  <c r="B91" i="54"/>
  <c r="B89" i="25"/>
  <c r="B89" i="54"/>
  <c r="B87" i="25"/>
  <c r="B87" i="54"/>
  <c r="B85" i="25"/>
  <c r="B85" i="54"/>
  <c r="B83" i="25"/>
  <c r="B83" i="54"/>
  <c r="B81" i="25"/>
  <c r="B81" i="54"/>
  <c r="B79" i="25"/>
  <c r="B79" i="54"/>
  <c r="B77" i="25"/>
  <c r="B77" i="54"/>
  <c r="B75" i="25"/>
  <c r="B75" i="54"/>
  <c r="B73" i="25"/>
  <c r="B73" i="54"/>
  <c r="B71" i="25"/>
  <c r="B71" i="54"/>
  <c r="B69" i="25"/>
  <c r="B69" i="54"/>
  <c r="B67" i="25"/>
  <c r="B67" i="54"/>
  <c r="B65" i="25"/>
  <c r="B65" i="54"/>
  <c r="B63" i="25"/>
  <c r="B63" i="54"/>
  <c r="B61" i="25"/>
  <c r="B61" i="54"/>
  <c r="B59" i="25"/>
  <c r="B59" i="54"/>
  <c r="B57" i="25"/>
  <c r="B57" i="54"/>
  <c r="B55" i="25"/>
  <c r="B55" i="54"/>
  <c r="B53" i="25"/>
  <c r="B53" i="54"/>
  <c r="B51" i="25"/>
  <c r="B51" i="54"/>
  <c r="B49" i="25"/>
  <c r="B49" i="54"/>
  <c r="B47" i="25"/>
  <c r="B47" i="54"/>
  <c r="B45" i="25"/>
  <c r="B45" i="54"/>
  <c r="B43" i="25"/>
  <c r="B43" i="54"/>
  <c r="B41" i="25"/>
  <c r="B41" i="54"/>
  <c r="B39" i="25"/>
  <c r="B39" i="54"/>
  <c r="B37" i="25"/>
  <c r="B37" i="54"/>
  <c r="B35" i="25"/>
  <c r="B35" i="54"/>
  <c r="B33" i="25"/>
  <c r="B33" i="54"/>
  <c r="B31" i="25"/>
  <c r="B31" i="54"/>
  <c r="B29" i="25"/>
  <c r="B29" i="54"/>
  <c r="B27" i="25"/>
  <c r="B27" i="54"/>
  <c r="B25" i="25"/>
  <c r="B25" i="54"/>
  <c r="B23" i="25"/>
  <c r="B23" i="54"/>
  <c r="B21" i="25"/>
  <c r="B21" i="54"/>
  <c r="B19" i="25"/>
  <c r="B19" i="54"/>
  <c r="B17" i="25"/>
  <c r="B17" i="54"/>
  <c r="B15" i="25"/>
  <c r="B15" i="54"/>
  <c r="B13" i="25"/>
  <c r="B13" i="54"/>
  <c r="B11" i="25"/>
  <c r="B11" i="54"/>
  <c r="B9" i="25"/>
  <c r="B9" i="54"/>
  <c r="B7" i="25"/>
  <c r="B7" i="54"/>
  <c r="A269" i="25"/>
  <c r="A269" i="54"/>
  <c r="A89" i="25"/>
  <c r="A89" i="54"/>
  <c r="B206" i="25"/>
  <c r="B206" i="54"/>
  <c r="B204" i="25"/>
  <c r="B204" i="54"/>
  <c r="B202" i="25"/>
  <c r="B202" i="54"/>
  <c r="B200" i="25"/>
  <c r="B200" i="54"/>
  <c r="B198" i="25"/>
  <c r="B198" i="54"/>
  <c r="B196" i="25"/>
  <c r="B196" i="54"/>
  <c r="B194" i="25"/>
  <c r="B194" i="54"/>
  <c r="B192" i="25"/>
  <c r="B192" i="54"/>
  <c r="B190" i="25"/>
  <c r="B190" i="54"/>
  <c r="B188" i="25"/>
  <c r="B188" i="54"/>
  <c r="B186" i="25"/>
  <c r="B186" i="54"/>
  <c r="B184" i="25"/>
  <c r="B184" i="54"/>
  <c r="B182" i="25"/>
  <c r="B182" i="54"/>
  <c r="B180" i="25"/>
  <c r="B180" i="54"/>
  <c r="B178" i="25"/>
  <c r="B178" i="54"/>
  <c r="B176" i="25"/>
  <c r="B176" i="54"/>
  <c r="B174" i="25"/>
  <c r="B174" i="54"/>
  <c r="B172" i="25"/>
  <c r="B172" i="54"/>
  <c r="B170" i="25"/>
  <c r="B170" i="54"/>
  <c r="B168" i="25"/>
  <c r="B168" i="54"/>
  <c r="B166" i="25"/>
  <c r="B166" i="54"/>
  <c r="B164" i="25"/>
  <c r="B164" i="54"/>
  <c r="B162" i="25"/>
  <c r="B162" i="54"/>
  <c r="B160" i="25"/>
  <c r="B160" i="54"/>
  <c r="B158" i="25"/>
  <c r="B158" i="54"/>
  <c r="B156" i="25"/>
  <c r="B156" i="54"/>
  <c r="B154" i="25"/>
  <c r="B154" i="54"/>
  <c r="B152" i="25"/>
  <c r="B152" i="54"/>
  <c r="B150" i="25"/>
  <c r="B150" i="54"/>
  <c r="B148" i="25"/>
  <c r="B148" i="54"/>
  <c r="B146" i="25"/>
  <c r="B146" i="54"/>
  <c r="B144" i="25"/>
  <c r="B144" i="54"/>
  <c r="B142" i="25"/>
  <c r="B142" i="54"/>
  <c r="B140" i="25"/>
  <c r="B140" i="54"/>
  <c r="B138" i="25"/>
  <c r="B138" i="54"/>
  <c r="B136" i="25"/>
  <c r="B136" i="54"/>
  <c r="B134" i="25"/>
  <c r="B134" i="54"/>
  <c r="B132" i="25"/>
  <c r="B132" i="54"/>
  <c r="B130" i="25"/>
  <c r="B130" i="54"/>
  <c r="B128" i="25"/>
  <c r="B128" i="54"/>
  <c r="B126" i="25"/>
  <c r="B126" i="54"/>
  <c r="B124" i="25"/>
  <c r="B124" i="54"/>
  <c r="B122" i="25"/>
  <c r="B122" i="54"/>
  <c r="B120" i="25"/>
  <c r="B120" i="54"/>
  <c r="B118" i="25"/>
  <c r="B118" i="54"/>
  <c r="B116" i="25"/>
  <c r="B116" i="54"/>
  <c r="B114" i="25"/>
  <c r="B114" i="54"/>
  <c r="B112" i="25"/>
  <c r="B112" i="54"/>
  <c r="B110" i="25"/>
  <c r="B110" i="54"/>
  <c r="B108" i="25"/>
  <c r="B108" i="54"/>
  <c r="B106" i="25"/>
  <c r="B106" i="54"/>
  <c r="B104" i="25"/>
  <c r="B104" i="54"/>
  <c r="B102" i="25"/>
  <c r="B102" i="54"/>
  <c r="B100" i="25"/>
  <c r="B100" i="54"/>
  <c r="B98" i="25"/>
  <c r="B98" i="54"/>
  <c r="B96" i="25"/>
  <c r="B96" i="54"/>
  <c r="B94" i="25"/>
  <c r="B94" i="54"/>
  <c r="B92" i="25"/>
  <c r="B92" i="54"/>
  <c r="B90" i="25"/>
  <c r="B90" i="54"/>
  <c r="B88" i="25"/>
  <c r="B88" i="54"/>
  <c r="B86" i="25"/>
  <c r="B86" i="54"/>
  <c r="B84" i="25"/>
  <c r="B84" i="54"/>
  <c r="B82" i="25"/>
  <c r="B82" i="54"/>
  <c r="B80" i="25"/>
  <c r="B80" i="54"/>
  <c r="B78" i="25"/>
  <c r="B78" i="54"/>
  <c r="B76" i="25"/>
  <c r="B76" i="54"/>
  <c r="B74" i="25"/>
  <c r="B74" i="54"/>
  <c r="B72" i="25"/>
  <c r="B72" i="54"/>
  <c r="B70" i="25"/>
  <c r="B70" i="54"/>
  <c r="B68" i="25"/>
  <c r="B68" i="54"/>
  <c r="B66" i="25"/>
  <c r="B66" i="54"/>
  <c r="B64" i="25"/>
  <c r="B64" i="54"/>
  <c r="B62" i="25"/>
  <c r="B62" i="54"/>
  <c r="B60" i="25"/>
  <c r="B60" i="54"/>
  <c r="B58" i="25"/>
  <c r="B58" i="54"/>
  <c r="B56" i="25"/>
  <c r="B56" i="54"/>
  <c r="B54" i="25"/>
  <c r="B54" i="54"/>
  <c r="B52" i="25"/>
  <c r="B52" i="54"/>
  <c r="B50" i="25"/>
  <c r="B50" i="54"/>
  <c r="B48" i="25"/>
  <c r="B48" i="54"/>
  <c r="B46" i="25"/>
  <c r="B46" i="54"/>
  <c r="B44" i="25"/>
  <c r="B44" i="54"/>
  <c r="B42" i="25"/>
  <c r="B42" i="54"/>
  <c r="B40" i="25"/>
  <c r="B40" i="54"/>
  <c r="B38" i="25"/>
  <c r="B38" i="54"/>
  <c r="B36" i="25"/>
  <c r="B36" i="54"/>
  <c r="B34" i="25"/>
  <c r="B34" i="54"/>
  <c r="B32" i="25"/>
  <c r="B32" i="54"/>
  <c r="B30" i="25"/>
  <c r="B30" i="54"/>
  <c r="B28" i="25"/>
  <c r="B28" i="54"/>
  <c r="B26" i="25"/>
  <c r="B26" i="54"/>
  <c r="B24" i="25"/>
  <c r="B24" i="54"/>
  <c r="B22" i="25"/>
  <c r="B22" i="54"/>
  <c r="B20" i="25"/>
  <c r="B20" i="54"/>
  <c r="B18" i="25"/>
  <c r="B18" i="54"/>
  <c r="B16" i="25"/>
  <c r="B16" i="54"/>
  <c r="B14" i="25"/>
  <c r="B14" i="54"/>
  <c r="B12" i="25"/>
  <c r="B12" i="54"/>
  <c r="B10" i="25"/>
  <c r="B10" i="54"/>
  <c r="B8" i="25"/>
  <c r="B8" i="54"/>
  <c r="A311" i="25"/>
  <c r="A311" i="54"/>
  <c r="A309" i="25"/>
  <c r="A309" i="54"/>
  <c r="A305" i="25"/>
  <c r="A305" i="54"/>
  <c r="A303" i="25"/>
  <c r="A303" i="54"/>
  <c r="A299" i="25"/>
  <c r="A299" i="54"/>
  <c r="A295" i="25"/>
  <c r="A295" i="54"/>
  <c r="A291" i="25"/>
  <c r="A291" i="54"/>
  <c r="A285" i="25"/>
  <c r="A285" i="54"/>
  <c r="A281" i="25"/>
  <c r="A281" i="54"/>
  <c r="A279" i="25"/>
  <c r="A279" i="54"/>
  <c r="A275" i="25"/>
  <c r="A275" i="54"/>
  <c r="A271" i="25"/>
  <c r="A271" i="54"/>
  <c r="A267" i="25"/>
  <c r="A267" i="54"/>
  <c r="A263" i="25"/>
  <c r="A263" i="54"/>
  <c r="A259" i="25"/>
  <c r="A259" i="54"/>
  <c r="A255" i="25"/>
  <c r="A255" i="54"/>
  <c r="A249" i="25"/>
  <c r="A249" i="54"/>
  <c r="A247" i="25"/>
  <c r="A247" i="54"/>
  <c r="A243" i="25"/>
  <c r="A243" i="54"/>
  <c r="A239" i="25"/>
  <c r="A239" i="54"/>
  <c r="A235" i="25"/>
  <c r="A235" i="54"/>
  <c r="A231" i="25"/>
  <c r="A231" i="54"/>
  <c r="A227" i="25"/>
  <c r="A227" i="54"/>
  <c r="A223" i="25"/>
  <c r="A223" i="54"/>
  <c r="A219" i="25"/>
  <c r="A219" i="54"/>
  <c r="A217" i="25"/>
  <c r="A217" i="54"/>
  <c r="A213" i="25"/>
  <c r="A213" i="54"/>
  <c r="A209" i="25"/>
  <c r="A209" i="54"/>
  <c r="A205" i="25"/>
  <c r="A205" i="54"/>
  <c r="A199" i="25"/>
  <c r="A199" i="54"/>
  <c r="A195" i="25"/>
  <c r="A195" i="54"/>
  <c r="A189" i="25"/>
  <c r="A189" i="54"/>
  <c r="A185" i="25"/>
  <c r="A185" i="54"/>
  <c r="A181" i="25"/>
  <c r="A181" i="54"/>
  <c r="A177" i="25"/>
  <c r="A177" i="54"/>
  <c r="A173" i="25"/>
  <c r="A173" i="54"/>
  <c r="A169" i="25"/>
  <c r="A169" i="54"/>
  <c r="A165" i="25"/>
  <c r="A165" i="54"/>
  <c r="A161" i="25"/>
  <c r="A161" i="54"/>
  <c r="A159" i="25"/>
  <c r="A159" i="54"/>
  <c r="A155" i="25"/>
  <c r="A155" i="54"/>
  <c r="A151" i="25"/>
  <c r="A151" i="54"/>
  <c r="A147" i="25"/>
  <c r="A147" i="54"/>
  <c r="A143" i="25"/>
  <c r="A143" i="54"/>
  <c r="A139" i="25"/>
  <c r="A139" i="54"/>
  <c r="A135" i="25"/>
  <c r="A135" i="54"/>
  <c r="A131" i="25"/>
  <c r="A131" i="54"/>
  <c r="A127" i="25"/>
  <c r="A127" i="54"/>
  <c r="A121" i="25"/>
  <c r="A121" i="54"/>
  <c r="A117" i="25"/>
  <c r="A117" i="54"/>
  <c r="A113" i="25"/>
  <c r="A113" i="54"/>
  <c r="A109" i="25"/>
  <c r="A109" i="54"/>
  <c r="A107" i="25"/>
  <c r="A107" i="54"/>
  <c r="A103" i="25"/>
  <c r="A103" i="54"/>
  <c r="A99" i="25"/>
  <c r="A99" i="54"/>
  <c r="A95" i="25"/>
  <c r="A95" i="54"/>
  <c r="A91" i="25"/>
  <c r="A91" i="54"/>
  <c r="A85" i="25"/>
  <c r="A85" i="54"/>
  <c r="A81" i="25"/>
  <c r="A81" i="54"/>
  <c r="A77" i="25"/>
  <c r="A77" i="54"/>
  <c r="A73" i="25"/>
  <c r="A73" i="54"/>
  <c r="A67" i="25"/>
  <c r="A67" i="54"/>
  <c r="A63" i="25"/>
  <c r="A63" i="54"/>
  <c r="A59" i="25"/>
  <c r="A59" i="54"/>
  <c r="A55" i="25"/>
  <c r="A55" i="54"/>
  <c r="A51" i="25"/>
  <c r="A51" i="54"/>
  <c r="A47" i="25"/>
  <c r="A47" i="54"/>
  <c r="A45" i="25"/>
  <c r="A45" i="54"/>
  <c r="A41" i="25"/>
  <c r="A41" i="54"/>
  <c r="A37" i="25"/>
  <c r="A37" i="54"/>
  <c r="A33" i="25"/>
  <c r="A33" i="54"/>
  <c r="A29" i="25"/>
  <c r="A29" i="54"/>
  <c r="A25" i="25"/>
  <c r="A25" i="54"/>
  <c r="A21" i="25"/>
  <c r="A21" i="54"/>
  <c r="A17" i="25"/>
  <c r="A17" i="54"/>
  <c r="A13" i="25"/>
  <c r="A13" i="54"/>
  <c r="A9" i="25"/>
  <c r="A9" i="54"/>
  <c r="A7" i="25"/>
  <c r="A7" i="54"/>
  <c r="B314" i="25"/>
  <c r="B314" i="54"/>
  <c r="B310" i="25"/>
  <c r="B310" i="54"/>
  <c r="B306" i="25"/>
  <c r="B306" i="54"/>
  <c r="B304" i="25"/>
  <c r="B304" i="54"/>
  <c r="B300" i="25"/>
  <c r="B300" i="54"/>
  <c r="B296" i="25"/>
  <c r="B296" i="54"/>
  <c r="B290" i="25"/>
  <c r="B290" i="54"/>
  <c r="B286" i="25"/>
  <c r="B286" i="54"/>
  <c r="B284" i="25"/>
  <c r="B284" i="54"/>
  <c r="B278" i="25"/>
  <c r="B278" i="54"/>
  <c r="B274" i="25"/>
  <c r="B274" i="54"/>
  <c r="B270" i="25"/>
  <c r="B270" i="54"/>
  <c r="B266" i="25"/>
  <c r="B266" i="54"/>
  <c r="B262" i="25"/>
  <c r="B262" i="54"/>
  <c r="B258" i="25"/>
  <c r="B258" i="54"/>
  <c r="B254" i="25"/>
  <c r="B254" i="54"/>
  <c r="B250" i="25"/>
  <c r="B250" i="54"/>
  <c r="B248" i="25"/>
  <c r="B248" i="54"/>
  <c r="B244" i="25"/>
  <c r="B244" i="54"/>
  <c r="B240" i="25"/>
  <c r="B240" i="54"/>
  <c r="B236" i="25"/>
  <c r="B236" i="54"/>
  <c r="B232" i="25"/>
  <c r="B232" i="54"/>
  <c r="B228" i="25"/>
  <c r="B228" i="54"/>
  <c r="B224" i="25"/>
  <c r="B224" i="54"/>
  <c r="B220" i="25"/>
  <c r="B220" i="54"/>
  <c r="B216" i="25"/>
  <c r="B216" i="54"/>
  <c r="B210" i="25"/>
  <c r="B210" i="54"/>
  <c r="A314" i="25"/>
  <c r="A314" i="54"/>
  <c r="A308" i="25"/>
  <c r="A308" i="54"/>
  <c r="A304" i="25"/>
  <c r="A304" i="54"/>
  <c r="A298" i="25"/>
  <c r="A298" i="54"/>
  <c r="A292" i="25"/>
  <c r="A292" i="54"/>
  <c r="A286" i="25"/>
  <c r="A286" i="54"/>
  <c r="A280" i="25"/>
  <c r="A280" i="54"/>
  <c r="A272" i="25"/>
  <c r="A272" i="54"/>
  <c r="A266" i="25"/>
  <c r="A266" i="54"/>
  <c r="A260" i="25"/>
  <c r="A260" i="54"/>
  <c r="A256" i="25"/>
  <c r="A256" i="54"/>
  <c r="A254" i="25"/>
  <c r="A254" i="54"/>
  <c r="A250" i="25"/>
  <c r="A250" i="54"/>
  <c r="A246" i="25"/>
  <c r="A246" i="54"/>
  <c r="A240" i="25"/>
  <c r="A240" i="54"/>
  <c r="A236" i="25"/>
  <c r="A236" i="54"/>
  <c r="A234" i="25"/>
  <c r="A234" i="54"/>
  <c r="A230" i="25"/>
  <c r="A230" i="54"/>
  <c r="A228" i="25"/>
  <c r="A228" i="54"/>
  <c r="A224" i="25"/>
  <c r="A224" i="54"/>
  <c r="A220" i="25"/>
  <c r="A220" i="54"/>
  <c r="A216" i="25"/>
  <c r="A216" i="54"/>
  <c r="A212" i="25"/>
  <c r="A212" i="54"/>
  <c r="A208" i="25"/>
  <c r="A208" i="54"/>
  <c r="A204" i="25"/>
  <c r="A204" i="54"/>
  <c r="A198" i="25"/>
  <c r="A198" i="54"/>
  <c r="A194" i="25"/>
  <c r="A194" i="54"/>
  <c r="A192" i="25"/>
  <c r="A192" i="54"/>
  <c r="A188" i="25"/>
  <c r="A188" i="54"/>
  <c r="A184" i="25"/>
  <c r="A184" i="54"/>
  <c r="A180" i="25"/>
  <c r="A180" i="54"/>
  <c r="A176" i="25"/>
  <c r="A176" i="54"/>
  <c r="A172" i="25"/>
  <c r="A172" i="54"/>
  <c r="A168" i="25"/>
  <c r="A168" i="54"/>
  <c r="A164" i="25"/>
  <c r="A164" i="54"/>
  <c r="A160" i="25"/>
  <c r="A160" i="54"/>
  <c r="A156" i="25"/>
  <c r="A156" i="54"/>
  <c r="A152" i="25"/>
  <c r="A152" i="54"/>
  <c r="A148" i="25"/>
  <c r="A148" i="54"/>
  <c r="A142" i="25"/>
  <c r="A142" i="54"/>
  <c r="A138" i="25"/>
  <c r="A138" i="54"/>
  <c r="A134" i="25"/>
  <c r="A134" i="54"/>
  <c r="A130" i="25"/>
  <c r="A130" i="54"/>
  <c r="A126" i="25"/>
  <c r="A126" i="54"/>
  <c r="A122" i="25"/>
  <c r="A122" i="54"/>
  <c r="A118" i="25"/>
  <c r="A118" i="54"/>
  <c r="A114" i="25"/>
  <c r="A114" i="54"/>
  <c r="A110" i="25"/>
  <c r="A110" i="54"/>
  <c r="A106" i="25"/>
  <c r="A106" i="54"/>
  <c r="A102" i="25"/>
  <c r="A102" i="54"/>
  <c r="A98" i="25"/>
  <c r="A98" i="54"/>
  <c r="A94" i="25"/>
  <c r="A94" i="54"/>
  <c r="A90" i="25"/>
  <c r="A90" i="54"/>
  <c r="A86" i="25"/>
  <c r="A86" i="54"/>
  <c r="A82" i="25"/>
  <c r="A82" i="54"/>
  <c r="A78" i="25"/>
  <c r="A78" i="54"/>
  <c r="A74" i="25"/>
  <c r="A74" i="54"/>
  <c r="A70" i="25"/>
  <c r="A70" i="54"/>
  <c r="A66" i="25"/>
  <c r="A66" i="54"/>
  <c r="A62" i="25"/>
  <c r="A62" i="54"/>
  <c r="A58" i="25"/>
  <c r="A58" i="54"/>
  <c r="A54" i="25"/>
  <c r="A54" i="54"/>
  <c r="A48" i="25"/>
  <c r="A48" i="54"/>
  <c r="A42" i="25"/>
  <c r="A42" i="54"/>
  <c r="A38" i="25"/>
  <c r="A38" i="54"/>
  <c r="A34" i="25"/>
  <c r="A34" i="54"/>
  <c r="A28" i="25"/>
  <c r="A28" i="54"/>
  <c r="A22" i="25"/>
  <c r="A22" i="54"/>
  <c r="A16" i="25"/>
  <c r="A16" i="54"/>
  <c r="A10" i="25"/>
  <c r="A10" i="54"/>
  <c r="O288" i="19"/>
  <c r="O208" i="19"/>
  <c r="O192" i="19"/>
  <c r="O160" i="19"/>
  <c r="O240" i="19"/>
  <c r="O174" i="19"/>
  <c r="O173" i="19"/>
  <c r="O168" i="19"/>
  <c r="O144" i="19"/>
  <c r="O143" i="19"/>
  <c r="O142" i="19"/>
  <c r="O141" i="19"/>
  <c r="O140" i="19"/>
  <c r="O136" i="19"/>
  <c r="O112" i="19"/>
  <c r="O16" i="19"/>
  <c r="O15" i="19"/>
  <c r="O14" i="19"/>
  <c r="O8" i="19"/>
  <c r="O304" i="19"/>
  <c r="O271" i="19"/>
  <c r="O270" i="19"/>
  <c r="O269" i="19"/>
  <c r="O268" i="19"/>
  <c r="O264" i="19"/>
  <c r="O96" i="19"/>
  <c r="O80" i="19"/>
  <c r="O64" i="19"/>
  <c r="O32" i="19"/>
  <c r="O272" i="19"/>
  <c r="O224" i="19"/>
  <c r="O176" i="19"/>
  <c r="O111" i="19"/>
  <c r="O110" i="19"/>
  <c r="O109" i="19"/>
  <c r="O108" i="19"/>
  <c r="O104" i="19"/>
  <c r="O79" i="19"/>
  <c r="O78" i="19"/>
  <c r="O77" i="19"/>
  <c r="O76" i="19"/>
  <c r="O72" i="19"/>
  <c r="O48" i="19"/>
  <c r="O239" i="19"/>
  <c r="O238" i="19"/>
  <c r="O237" i="19"/>
  <c r="O236" i="19"/>
  <c r="O232" i="19"/>
  <c r="O207" i="19"/>
  <c r="O206" i="19"/>
  <c r="O205" i="19"/>
  <c r="O204" i="19"/>
  <c r="O200" i="19"/>
  <c r="O175" i="19"/>
  <c r="O172" i="19"/>
  <c r="O128" i="19"/>
  <c r="O47" i="19"/>
  <c r="O46" i="19"/>
  <c r="O45" i="19"/>
  <c r="O44" i="19"/>
  <c r="O40" i="19"/>
  <c r="O303" i="19"/>
  <c r="O302" i="19"/>
  <c r="O301" i="19"/>
  <c r="O300" i="19"/>
  <c r="O296" i="19"/>
  <c r="O256" i="19"/>
  <c r="O167" i="19"/>
  <c r="O166" i="19"/>
  <c r="O165" i="19"/>
  <c r="O164" i="19"/>
  <c r="O159" i="19"/>
  <c r="O158" i="19"/>
  <c r="O157" i="19"/>
  <c r="O156" i="19"/>
  <c r="O152" i="19"/>
  <c r="O148" i="19"/>
  <c r="D39" i="25"/>
  <c r="D27" i="25"/>
  <c r="D7" i="25"/>
  <c r="D307" i="25"/>
  <c r="D291" i="25"/>
  <c r="D275" i="25"/>
  <c r="D259" i="25"/>
  <c r="D227" i="25"/>
  <c r="D211" i="25"/>
  <c r="D179" i="25"/>
  <c r="D163" i="25"/>
  <c r="D147" i="25"/>
  <c r="D131" i="25"/>
  <c r="D91" i="25"/>
  <c r="O295" i="19"/>
  <c r="O294" i="19"/>
  <c r="O293" i="19"/>
  <c r="O292" i="19"/>
  <c r="O287" i="19"/>
  <c r="O286" i="19"/>
  <c r="O285" i="19"/>
  <c r="O284" i="19"/>
  <c r="O280" i="19"/>
  <c r="O276" i="19"/>
  <c r="O39" i="19"/>
  <c r="O38" i="19"/>
  <c r="O37" i="19"/>
  <c r="O36" i="19"/>
  <c r="O31" i="19"/>
  <c r="O30" i="19"/>
  <c r="O29" i="19"/>
  <c r="O28" i="19"/>
  <c r="O24" i="19"/>
  <c r="O20" i="19"/>
  <c r="D65" i="25"/>
  <c r="D33" i="25"/>
  <c r="D310" i="25"/>
  <c r="O231" i="19"/>
  <c r="O230" i="19"/>
  <c r="O229" i="19"/>
  <c r="O228" i="19"/>
  <c r="O223" i="19"/>
  <c r="O222" i="19"/>
  <c r="O221" i="19"/>
  <c r="O220" i="19"/>
  <c r="O216" i="19"/>
  <c r="O212" i="19"/>
  <c r="O103" i="19"/>
  <c r="O102" i="19"/>
  <c r="O101" i="19"/>
  <c r="O100" i="19"/>
  <c r="O95" i="19"/>
  <c r="O94" i="19"/>
  <c r="O93" i="19"/>
  <c r="O92" i="19"/>
  <c r="O88" i="19"/>
  <c r="O84" i="19"/>
  <c r="D148" i="25"/>
  <c r="D40" i="25"/>
  <c r="D92" i="25"/>
  <c r="O312" i="19"/>
  <c r="O308" i="19"/>
  <c r="O199" i="19"/>
  <c r="O198" i="19"/>
  <c r="O197" i="19"/>
  <c r="O196" i="19"/>
  <c r="O191" i="19"/>
  <c r="O190" i="19"/>
  <c r="O189" i="19"/>
  <c r="O188" i="19"/>
  <c r="O184" i="19"/>
  <c r="O180" i="19"/>
  <c r="O71" i="19"/>
  <c r="O70" i="19"/>
  <c r="O69" i="19"/>
  <c r="O68" i="19"/>
  <c r="O63" i="19"/>
  <c r="O62" i="19"/>
  <c r="O61" i="19"/>
  <c r="O60" i="19"/>
  <c r="O56" i="19"/>
  <c r="O52" i="19"/>
  <c r="O13" i="19"/>
  <c r="O12" i="19"/>
  <c r="D146" i="25"/>
  <c r="D134" i="25"/>
  <c r="D122" i="25"/>
  <c r="D58" i="25"/>
  <c r="O263" i="19"/>
  <c r="O262" i="19"/>
  <c r="O261" i="19"/>
  <c r="O260" i="19"/>
  <c r="O255" i="19"/>
  <c r="O254" i="19"/>
  <c r="O253" i="19"/>
  <c r="O252" i="19"/>
  <c r="O248" i="19"/>
  <c r="O244" i="19"/>
  <c r="O135" i="19"/>
  <c r="O134" i="19"/>
  <c r="O133" i="19"/>
  <c r="O132" i="19"/>
  <c r="O127" i="19"/>
  <c r="O126" i="19"/>
  <c r="O125" i="19"/>
  <c r="O124" i="19"/>
  <c r="O120" i="19"/>
  <c r="O116" i="19"/>
  <c r="O299" i="19"/>
  <c r="O298" i="19"/>
  <c r="O297" i="19"/>
  <c r="O267" i="19"/>
  <c r="O266" i="19"/>
  <c r="O265" i="19"/>
  <c r="O235" i="19"/>
  <c r="O234" i="19"/>
  <c r="O233" i="19"/>
  <c r="O203" i="19"/>
  <c r="O202" i="19"/>
  <c r="O201" i="19"/>
  <c r="O171" i="19"/>
  <c r="O170" i="19"/>
  <c r="O169" i="19"/>
  <c r="O139" i="19"/>
  <c r="O138" i="19"/>
  <c r="O137" i="19"/>
  <c r="O107" i="19"/>
  <c r="O106" i="19"/>
  <c r="O105" i="19"/>
  <c r="O75" i="19"/>
  <c r="O74" i="19"/>
  <c r="O73" i="19"/>
  <c r="O43" i="19"/>
  <c r="O42" i="19"/>
  <c r="O41" i="19"/>
  <c r="O11" i="19"/>
  <c r="O10" i="19"/>
  <c r="O9" i="19"/>
  <c r="D118" i="25"/>
  <c r="D114" i="25"/>
  <c r="D110" i="25"/>
  <c r="D102" i="25"/>
  <c r="D94" i="25"/>
  <c r="D86" i="25"/>
  <c r="D82" i="25"/>
  <c r="D78" i="25"/>
  <c r="D70" i="25"/>
  <c r="D62" i="25"/>
  <c r="D54" i="25"/>
  <c r="D50" i="25"/>
  <c r="D46" i="25"/>
  <c r="D38" i="25"/>
  <c r="D30" i="25"/>
  <c r="D22" i="25"/>
  <c r="D18" i="25"/>
  <c r="D14" i="25"/>
  <c r="O291" i="19"/>
  <c r="O290" i="19"/>
  <c r="O289" i="19"/>
  <c r="O259" i="19"/>
  <c r="O258" i="19"/>
  <c r="O257" i="19"/>
  <c r="O227" i="19"/>
  <c r="O226" i="19"/>
  <c r="O225" i="19"/>
  <c r="O195" i="19"/>
  <c r="O194" i="19"/>
  <c r="O193" i="19"/>
  <c r="O163" i="19"/>
  <c r="O162" i="19"/>
  <c r="O161" i="19"/>
  <c r="O131" i="19"/>
  <c r="O130" i="19"/>
  <c r="O129" i="19"/>
  <c r="O99" i="19"/>
  <c r="O98" i="19"/>
  <c r="O97" i="19"/>
  <c r="O67" i="19"/>
  <c r="O66" i="19"/>
  <c r="O65" i="19"/>
  <c r="O35" i="19"/>
  <c r="O34" i="19"/>
  <c r="O33" i="19"/>
  <c r="D313" i="25"/>
  <c r="D309" i="25"/>
  <c r="D305" i="25"/>
  <c r="D301" i="25"/>
  <c r="D297" i="25"/>
  <c r="D293" i="25"/>
  <c r="D289" i="25"/>
  <c r="D285" i="25"/>
  <c r="D281" i="25"/>
  <c r="D277" i="25"/>
  <c r="D273" i="25"/>
  <c r="D269" i="25"/>
  <c r="D265" i="25"/>
  <c r="D261" i="25"/>
  <c r="D257" i="25"/>
  <c r="D253" i="25"/>
  <c r="D249" i="25"/>
  <c r="D245" i="25"/>
  <c r="D241" i="25"/>
  <c r="D237" i="25"/>
  <c r="D233" i="25"/>
  <c r="D229" i="25"/>
  <c r="D225" i="25"/>
  <c r="D221" i="25"/>
  <c r="D217" i="25"/>
  <c r="D213" i="25"/>
  <c r="D209" i="25"/>
  <c r="D205" i="25"/>
  <c r="D201" i="25"/>
  <c r="D197" i="25"/>
  <c r="D193" i="25"/>
  <c r="D189" i="25"/>
  <c r="D185" i="25"/>
  <c r="D181" i="25"/>
  <c r="D173" i="25"/>
  <c r="D169" i="25"/>
  <c r="D165" i="25"/>
  <c r="D161" i="25"/>
  <c r="D157" i="25"/>
  <c r="D153" i="25"/>
  <c r="D149" i="25"/>
  <c r="D145" i="25"/>
  <c r="D141" i="25"/>
  <c r="D137" i="25"/>
  <c r="D133" i="25"/>
  <c r="D129" i="25"/>
  <c r="D125" i="25"/>
  <c r="D121" i="25"/>
  <c r="D117" i="25"/>
  <c r="D113" i="25"/>
  <c r="D109" i="25"/>
  <c r="D105" i="25"/>
  <c r="D101" i="25"/>
  <c r="D93" i="25"/>
  <c r="D89" i="25"/>
  <c r="D85" i="25"/>
  <c r="D81" i="25"/>
  <c r="D77" i="25"/>
  <c r="D73" i="25"/>
  <c r="D69" i="25"/>
  <c r="D61" i="25"/>
  <c r="D57" i="25"/>
  <c r="D53" i="25"/>
  <c r="D49" i="25"/>
  <c r="D45" i="25"/>
  <c r="D41" i="25"/>
  <c r="D37" i="25"/>
  <c r="D29" i="25"/>
  <c r="D25" i="25"/>
  <c r="D21" i="25"/>
  <c r="D17" i="25"/>
  <c r="D13" i="25"/>
  <c r="D9" i="25"/>
  <c r="O314" i="19"/>
  <c r="O283" i="19"/>
  <c r="O281" i="19"/>
  <c r="O250" i="19"/>
  <c r="O219" i="19"/>
  <c r="O217" i="19"/>
  <c r="O187" i="19"/>
  <c r="O185" i="19"/>
  <c r="O155" i="19"/>
  <c r="O153" i="19"/>
  <c r="O123" i="19"/>
  <c r="O121" i="19"/>
  <c r="O91" i="19"/>
  <c r="O89" i="19"/>
  <c r="O58" i="19"/>
  <c r="O27" i="19"/>
  <c r="O25" i="19"/>
  <c r="D312" i="25"/>
  <c r="D304" i="25"/>
  <c r="D296" i="25"/>
  <c r="D288" i="25"/>
  <c r="D280" i="25"/>
  <c r="D272" i="25"/>
  <c r="D264" i="25"/>
  <c r="D256" i="25"/>
  <c r="D248" i="25"/>
  <c r="D240" i="25"/>
  <c r="D232" i="25"/>
  <c r="D224" i="25"/>
  <c r="D216" i="25"/>
  <c r="D208" i="25"/>
  <c r="D200" i="25"/>
  <c r="D192" i="25"/>
  <c r="D184" i="25"/>
  <c r="D176" i="25"/>
  <c r="D168" i="25"/>
  <c r="D160" i="25"/>
  <c r="D152" i="25"/>
  <c r="D144" i="25"/>
  <c r="D136" i="25"/>
  <c r="D128" i="25"/>
  <c r="D120" i="25"/>
  <c r="D108" i="25"/>
  <c r="D88" i="25"/>
  <c r="D76" i="25"/>
  <c r="D56" i="25"/>
  <c r="D44" i="25"/>
  <c r="D24" i="25"/>
  <c r="D12" i="25"/>
  <c r="O311" i="19"/>
  <c r="O310" i="19"/>
  <c r="O309" i="19"/>
  <c r="O279" i="19"/>
  <c r="O278" i="19"/>
  <c r="O277" i="19"/>
  <c r="O247" i="19"/>
  <c r="O246" i="19"/>
  <c r="O245" i="19"/>
  <c r="O215" i="19"/>
  <c r="O214" i="19"/>
  <c r="O213" i="19"/>
  <c r="O183" i="19"/>
  <c r="O182" i="19"/>
  <c r="O181" i="19"/>
  <c r="O151" i="19"/>
  <c r="O150" i="19"/>
  <c r="O149" i="19"/>
  <c r="O119" i="19"/>
  <c r="O118" i="19"/>
  <c r="O117" i="19"/>
  <c r="O87" i="19"/>
  <c r="O86" i="19"/>
  <c r="O85" i="19"/>
  <c r="O55" i="19"/>
  <c r="O54" i="19"/>
  <c r="O53" i="19"/>
  <c r="O23" i="19"/>
  <c r="O22" i="19"/>
  <c r="O21" i="19"/>
  <c r="O315" i="19"/>
  <c r="O313" i="19"/>
  <c r="O282" i="19"/>
  <c r="O251" i="19"/>
  <c r="O249" i="19"/>
  <c r="O218" i="19"/>
  <c r="O186" i="19"/>
  <c r="O154" i="19"/>
  <c r="O122" i="19"/>
  <c r="O90" i="19"/>
  <c r="O59" i="19"/>
  <c r="O57" i="19"/>
  <c r="O26" i="19"/>
  <c r="O307" i="19"/>
  <c r="O306" i="19"/>
  <c r="O305" i="19"/>
  <c r="O275" i="19"/>
  <c r="O274" i="19"/>
  <c r="O273" i="19"/>
  <c r="O243" i="19"/>
  <c r="O242" i="19"/>
  <c r="O241" i="19"/>
  <c r="O211" i="19"/>
  <c r="O210" i="19"/>
  <c r="O209" i="19"/>
  <c r="O179" i="19"/>
  <c r="O178" i="19"/>
  <c r="O177" i="19"/>
  <c r="O147" i="19"/>
  <c r="O146" i="19"/>
  <c r="O145" i="19"/>
  <c r="O115" i="19"/>
  <c r="O114" i="19"/>
  <c r="O113" i="19"/>
  <c r="O83" i="19"/>
  <c r="O82" i="19"/>
  <c r="O81" i="19"/>
  <c r="O51" i="19"/>
  <c r="O50" i="19"/>
  <c r="O49" i="19"/>
  <c r="O19" i="19"/>
  <c r="O18" i="19"/>
  <c r="O17" i="19"/>
  <c r="D311" i="25"/>
  <c r="D303" i="25"/>
  <c r="D295" i="25"/>
  <c r="D287" i="25"/>
  <c r="D279" i="25"/>
  <c r="D271" i="25"/>
  <c r="D263" i="25"/>
  <c r="D255" i="25"/>
  <c r="D247" i="25"/>
  <c r="D239" i="25"/>
  <c r="D231" i="25"/>
  <c r="D223" i="25"/>
  <c r="D215" i="25"/>
  <c r="D207" i="25"/>
  <c r="D199" i="25"/>
  <c r="D191" i="25"/>
  <c r="D183" i="25"/>
  <c r="D175" i="25"/>
  <c r="D167" i="25"/>
  <c r="D159" i="25"/>
  <c r="D151" i="25"/>
  <c r="D143" i="25"/>
  <c r="D135" i="25"/>
  <c r="D127" i="25"/>
  <c r="D119" i="25"/>
  <c r="D115" i="25"/>
  <c r="D111" i="25"/>
  <c r="D107" i="25"/>
  <c r="D99" i="25"/>
  <c r="D95" i="25"/>
  <c r="D87" i="25"/>
  <c r="D83" i="25"/>
  <c r="D79" i="25"/>
  <c r="D75" i="25"/>
  <c r="D67" i="25"/>
  <c r="D177" i="25"/>
  <c r="Y240" i="19"/>
  <c r="C238" i="32" s="1"/>
  <c r="E238" i="32" s="1"/>
  <c r="Y239" i="19"/>
  <c r="C237" i="32" s="1"/>
  <c r="E237" i="32" s="1"/>
  <c r="Y241" i="19"/>
  <c r="C239" i="32" s="1"/>
  <c r="E239" i="32" s="1"/>
  <c r="M245" i="42"/>
  <c r="X245" i="42" s="1"/>
  <c r="Z7" i="19" l="1"/>
  <c r="X7" i="19"/>
  <c r="W7" i="19"/>
  <c r="V7" i="19"/>
  <c r="P7" i="19"/>
  <c r="N7" i="19"/>
  <c r="M7" i="19"/>
  <c r="L7" i="19"/>
  <c r="K7" i="19"/>
  <c r="I7" i="19"/>
  <c r="H7" i="19"/>
  <c r="M239" i="42"/>
  <c r="X239" i="42" s="1"/>
  <c r="C316" i="42" l="1"/>
  <c r="M4" i="33" l="1"/>
  <c r="K244" i="13" l="1"/>
  <c r="K170" i="13"/>
  <c r="K219" i="13"/>
  <c r="M246" i="42" l="1"/>
  <c r="X246" i="42" s="1"/>
  <c r="M220" i="42"/>
  <c r="X220" i="42" s="1"/>
  <c r="M171" i="42"/>
  <c r="X171" i="42" s="1"/>
  <c r="Y301" i="19" l="1"/>
  <c r="C299" i="32" s="1"/>
  <c r="E299" i="32" s="1"/>
  <c r="Y285" i="19"/>
  <c r="C283" i="32" s="1"/>
  <c r="E283" i="32" s="1"/>
  <c r="Y269" i="19"/>
  <c r="C267" i="32" s="1"/>
  <c r="E267" i="32" s="1"/>
  <c r="Y253" i="19"/>
  <c r="C251" i="32" s="1"/>
  <c r="E251" i="32" s="1"/>
  <c r="Y284" i="19"/>
  <c r="C282" i="32" s="1"/>
  <c r="E282" i="32" s="1"/>
  <c r="Y167" i="19"/>
  <c r="C165" i="32" s="1"/>
  <c r="E165" i="32" s="1"/>
  <c r="Y111" i="19"/>
  <c r="C109" i="32" s="1"/>
  <c r="E109" i="32" s="1"/>
  <c r="Y103" i="19"/>
  <c r="C101" i="32" s="1"/>
  <c r="E101" i="32" s="1"/>
  <c r="Y79" i="19"/>
  <c r="C77" i="32" s="1"/>
  <c r="E77" i="32" s="1"/>
  <c r="Y292" i="19"/>
  <c r="C290" i="32" s="1"/>
  <c r="E290" i="32" s="1"/>
  <c r="Y252" i="19"/>
  <c r="C250" i="32" s="1"/>
  <c r="E250" i="32" s="1"/>
  <c r="Y180" i="19"/>
  <c r="C178" i="32" s="1"/>
  <c r="E178" i="32" s="1"/>
  <c r="Y148" i="19"/>
  <c r="C146" i="32" s="1"/>
  <c r="E146" i="32" s="1"/>
  <c r="Y116" i="19"/>
  <c r="C114" i="32" s="1"/>
  <c r="E114" i="32" s="1"/>
  <c r="Y84" i="19"/>
  <c r="C82" i="32" s="1"/>
  <c r="E82" i="32" s="1"/>
  <c r="Y52" i="19"/>
  <c r="C50" i="32" s="1"/>
  <c r="E50" i="32" s="1"/>
  <c r="Y36" i="19"/>
  <c r="C34" i="32" s="1"/>
  <c r="E34" i="32" s="1"/>
  <c r="Y20" i="19"/>
  <c r="C18" i="32" s="1"/>
  <c r="E18" i="32" s="1"/>
  <c r="Y313" i="19"/>
  <c r="C311" i="32" s="1"/>
  <c r="E311" i="32" s="1"/>
  <c r="Y305" i="19"/>
  <c r="C303" i="32" s="1"/>
  <c r="E303" i="32" s="1"/>
  <c r="Y297" i="19"/>
  <c r="C295" i="32" s="1"/>
  <c r="E295" i="32" s="1"/>
  <c r="Y289" i="19"/>
  <c r="C287" i="32" s="1"/>
  <c r="E287" i="32" s="1"/>
  <c r="Y281" i="19"/>
  <c r="C279" i="32" s="1"/>
  <c r="E279" i="32" s="1"/>
  <c r="Y273" i="19"/>
  <c r="C271" i="32" s="1"/>
  <c r="E271" i="32" s="1"/>
  <c r="Y265" i="19"/>
  <c r="C263" i="32" s="1"/>
  <c r="E263" i="32" s="1"/>
  <c r="Y257" i="19"/>
  <c r="C255" i="32" s="1"/>
  <c r="E255" i="32" s="1"/>
  <c r="Y249" i="19"/>
  <c r="C247" i="32" s="1"/>
  <c r="E247" i="32" s="1"/>
  <c r="Y233" i="19"/>
  <c r="C231" i="32" s="1"/>
  <c r="E231" i="32" s="1"/>
  <c r="Y225" i="19"/>
  <c r="C223" i="32" s="1"/>
  <c r="E223" i="32" s="1"/>
  <c r="Y217" i="19"/>
  <c r="C215" i="32" s="1"/>
  <c r="E215" i="32" s="1"/>
  <c r="Y209" i="19"/>
  <c r="C207" i="32" s="1"/>
  <c r="E207" i="32" s="1"/>
  <c r="Y201" i="19"/>
  <c r="C199" i="32" s="1"/>
  <c r="E199" i="32" s="1"/>
  <c r="Y185" i="19"/>
  <c r="C183" i="32" s="1"/>
  <c r="E183" i="32" s="1"/>
  <c r="Y169" i="19"/>
  <c r="C167" i="32" s="1"/>
  <c r="E167" i="32" s="1"/>
  <c r="Y161" i="19"/>
  <c r="C159" i="32" s="1"/>
  <c r="E159" i="32" s="1"/>
  <c r="Y153" i="19"/>
  <c r="C151" i="32" s="1"/>
  <c r="E151" i="32" s="1"/>
  <c r="Y145" i="19"/>
  <c r="C143" i="32" s="1"/>
  <c r="E143" i="32" s="1"/>
  <c r="Y129" i="19"/>
  <c r="C127" i="32" s="1"/>
  <c r="E127" i="32" s="1"/>
  <c r="Y121" i="19"/>
  <c r="C119" i="32" s="1"/>
  <c r="E119" i="32" s="1"/>
  <c r="Y105" i="19"/>
  <c r="C103" i="32" s="1"/>
  <c r="E103" i="32" s="1"/>
  <c r="Y97" i="19"/>
  <c r="C95" i="32" s="1"/>
  <c r="E95" i="32" s="1"/>
  <c r="Y89" i="19"/>
  <c r="C87" i="32" s="1"/>
  <c r="E87" i="32" s="1"/>
  <c r="Y73" i="19"/>
  <c r="C71" i="32" s="1"/>
  <c r="E71" i="32" s="1"/>
  <c r="Y65" i="19"/>
  <c r="C63" i="32" s="1"/>
  <c r="E63" i="32" s="1"/>
  <c r="Y54" i="19"/>
  <c r="C52" i="32" s="1"/>
  <c r="E52" i="32" s="1"/>
  <c r="Y30" i="19"/>
  <c r="C28" i="32" s="1"/>
  <c r="E28" i="32" s="1"/>
  <c r="Y308" i="19"/>
  <c r="C306" i="32" s="1"/>
  <c r="E306" i="32" s="1"/>
  <c r="Y268" i="19"/>
  <c r="C266" i="32" s="1"/>
  <c r="E266" i="32" s="1"/>
  <c r="Y244" i="19"/>
  <c r="C242" i="32" s="1"/>
  <c r="E242" i="32" s="1"/>
  <c r="Y204" i="19"/>
  <c r="C202" i="32" s="1"/>
  <c r="E202" i="32" s="1"/>
  <c r="Y188" i="19"/>
  <c r="C186" i="32" s="1"/>
  <c r="E186" i="32" s="1"/>
  <c r="Y140" i="19"/>
  <c r="C138" i="32" s="1"/>
  <c r="E138" i="32" s="1"/>
  <c r="Y124" i="19"/>
  <c r="C122" i="32" s="1"/>
  <c r="E122" i="32" s="1"/>
  <c r="Y108" i="19"/>
  <c r="C106" i="32" s="1"/>
  <c r="E106" i="32" s="1"/>
  <c r="Y92" i="19"/>
  <c r="C90" i="32" s="1"/>
  <c r="E90" i="32" s="1"/>
  <c r="Y68" i="19"/>
  <c r="C66" i="32" s="1"/>
  <c r="E66" i="32" s="1"/>
  <c r="G279" i="19"/>
  <c r="T279" i="19" s="1"/>
  <c r="H278" i="49" s="1"/>
  <c r="G247" i="19"/>
  <c r="T247" i="19" s="1"/>
  <c r="H246" i="49" s="1"/>
  <c r="G87" i="19"/>
  <c r="Y300" i="19"/>
  <c r="C298" i="32" s="1"/>
  <c r="E298" i="32" s="1"/>
  <c r="Y276" i="19"/>
  <c r="C274" i="32" s="1"/>
  <c r="E274" i="32" s="1"/>
  <c r="Y228" i="19"/>
  <c r="C226" i="32" s="1"/>
  <c r="E226" i="32" s="1"/>
  <c r="Y196" i="19"/>
  <c r="C194" i="32" s="1"/>
  <c r="E194" i="32" s="1"/>
  <c r="Y164" i="19"/>
  <c r="C162" i="32" s="1"/>
  <c r="E162" i="32" s="1"/>
  <c r="Y100" i="19"/>
  <c r="C98" i="32" s="1"/>
  <c r="E98" i="32" s="1"/>
  <c r="Y60" i="19"/>
  <c r="C58" i="32" s="1"/>
  <c r="E58" i="32" s="1"/>
  <c r="Y44" i="19"/>
  <c r="C42" i="32" s="1"/>
  <c r="E42" i="32" s="1"/>
  <c r="Y28" i="19"/>
  <c r="C26" i="32" s="1"/>
  <c r="E26" i="32" s="1"/>
  <c r="Y12" i="19"/>
  <c r="C10" i="32" s="1"/>
  <c r="E10" i="32" s="1"/>
  <c r="G313" i="19"/>
  <c r="T313" i="19" s="1"/>
  <c r="H312" i="49" s="1"/>
  <c r="G271" i="19"/>
  <c r="T271" i="19" s="1"/>
  <c r="H270" i="49" s="1"/>
  <c r="G263" i="19"/>
  <c r="T263" i="19" s="1"/>
  <c r="H262" i="49" s="1"/>
  <c r="G213" i="19"/>
  <c r="T213" i="19" s="1"/>
  <c r="H212" i="49" s="1"/>
  <c r="G203" i="19"/>
  <c r="T203" i="19" s="1"/>
  <c r="H202" i="49" s="1"/>
  <c r="G179" i="19"/>
  <c r="T179" i="19" s="1"/>
  <c r="H178" i="49" s="1"/>
  <c r="G145" i="19"/>
  <c r="T145" i="19" s="1"/>
  <c r="H144" i="49" s="1"/>
  <c r="G93" i="19"/>
  <c r="T93" i="19" s="1"/>
  <c r="H92" i="49" s="1"/>
  <c r="G65" i="19"/>
  <c r="T65" i="19" s="1"/>
  <c r="H64" i="49" s="1"/>
  <c r="G29" i="19"/>
  <c r="T29" i="19" s="1"/>
  <c r="H28" i="49" s="1"/>
  <c r="Y260" i="19"/>
  <c r="C258" i="32" s="1"/>
  <c r="E258" i="32" s="1"/>
  <c r="Y236" i="19"/>
  <c r="C234" i="32" s="1"/>
  <c r="E234" i="32" s="1"/>
  <c r="Y212" i="19"/>
  <c r="C210" i="32" s="1"/>
  <c r="E210" i="32" s="1"/>
  <c r="Y172" i="19"/>
  <c r="C170" i="32" s="1"/>
  <c r="E170" i="32" s="1"/>
  <c r="Y156" i="19"/>
  <c r="C154" i="32" s="1"/>
  <c r="E154" i="32" s="1"/>
  <c r="Y76" i="19"/>
  <c r="C74" i="32" s="1"/>
  <c r="E74" i="32" s="1"/>
  <c r="G281" i="19"/>
  <c r="T281" i="19" s="1"/>
  <c r="H280" i="49" s="1"/>
  <c r="G255" i="19"/>
  <c r="T255" i="19" s="1"/>
  <c r="H254" i="49" s="1"/>
  <c r="G15" i="19"/>
  <c r="T15" i="19" s="1"/>
  <c r="H14" i="49" s="1"/>
  <c r="Y186" i="19"/>
  <c r="C184" i="32" s="1"/>
  <c r="E184" i="32" s="1"/>
  <c r="G197" i="19"/>
  <c r="T197" i="19" s="1"/>
  <c r="H196" i="49" s="1"/>
  <c r="G47" i="19"/>
  <c r="Y150" i="19"/>
  <c r="C148" i="32" s="1"/>
  <c r="E148" i="32" s="1"/>
  <c r="Y159" i="19"/>
  <c r="C157" i="32" s="1"/>
  <c r="E157" i="32" s="1"/>
  <c r="Y119" i="19"/>
  <c r="C117" i="32" s="1"/>
  <c r="E117" i="32" s="1"/>
  <c r="Y63" i="19"/>
  <c r="C61" i="32" s="1"/>
  <c r="E61" i="32" s="1"/>
  <c r="G129" i="19"/>
  <c r="G265" i="19"/>
  <c r="T265" i="19" s="1"/>
  <c r="H264" i="49" s="1"/>
  <c r="G195" i="19"/>
  <c r="T195" i="19" s="1"/>
  <c r="H194" i="49" s="1"/>
  <c r="G221" i="19"/>
  <c r="T221" i="19" s="1"/>
  <c r="H220" i="49" s="1"/>
  <c r="G77" i="19"/>
  <c r="G41" i="19"/>
  <c r="T41" i="19" s="1"/>
  <c r="H40" i="49" s="1"/>
  <c r="Y310" i="19"/>
  <c r="C308" i="32" s="1"/>
  <c r="E308" i="32" s="1"/>
  <c r="Y302" i="19"/>
  <c r="C300" i="32" s="1"/>
  <c r="E300" i="32" s="1"/>
  <c r="Y294" i="19"/>
  <c r="C292" i="32" s="1"/>
  <c r="E292" i="32" s="1"/>
  <c r="Y286" i="19"/>
  <c r="C284" i="32" s="1"/>
  <c r="E284" i="32" s="1"/>
  <c r="Y278" i="19"/>
  <c r="C276" i="32" s="1"/>
  <c r="E276" i="32" s="1"/>
  <c r="Y270" i="19"/>
  <c r="C268" i="32" s="1"/>
  <c r="E268" i="32" s="1"/>
  <c r="Y262" i="19"/>
  <c r="C260" i="32" s="1"/>
  <c r="E260" i="32" s="1"/>
  <c r="Y254" i="19"/>
  <c r="C252" i="32" s="1"/>
  <c r="E252" i="32" s="1"/>
  <c r="Y246" i="19"/>
  <c r="C244" i="32" s="1"/>
  <c r="E244" i="32" s="1"/>
  <c r="Y238" i="19"/>
  <c r="C236" i="32" s="1"/>
  <c r="E236" i="32" s="1"/>
  <c r="Y230" i="19"/>
  <c r="C228" i="32" s="1"/>
  <c r="E228" i="32" s="1"/>
  <c r="Y222" i="19"/>
  <c r="C220" i="32" s="1"/>
  <c r="E220" i="32" s="1"/>
  <c r="Y214" i="19"/>
  <c r="C212" i="32" s="1"/>
  <c r="E212" i="32" s="1"/>
  <c r="Y206" i="19"/>
  <c r="C204" i="32" s="1"/>
  <c r="E204" i="32" s="1"/>
  <c r="Y198" i="19"/>
  <c r="C196" i="32" s="1"/>
  <c r="E196" i="32" s="1"/>
  <c r="Y190" i="19"/>
  <c r="C188" i="32" s="1"/>
  <c r="E188" i="32" s="1"/>
  <c r="Y182" i="19"/>
  <c r="C180" i="32" s="1"/>
  <c r="E180" i="32" s="1"/>
  <c r="Y174" i="19"/>
  <c r="C172" i="32" s="1"/>
  <c r="E172" i="32" s="1"/>
  <c r="Y166" i="19"/>
  <c r="C164" i="32" s="1"/>
  <c r="E164" i="32" s="1"/>
  <c r="Y158" i="19"/>
  <c r="C156" i="32" s="1"/>
  <c r="E156" i="32" s="1"/>
  <c r="Y142" i="19"/>
  <c r="C140" i="32" s="1"/>
  <c r="E140" i="32" s="1"/>
  <c r="Y134" i="19"/>
  <c r="C132" i="32" s="1"/>
  <c r="E132" i="32" s="1"/>
  <c r="Y126" i="19"/>
  <c r="C124" i="32" s="1"/>
  <c r="E124" i="32" s="1"/>
  <c r="Y118" i="19"/>
  <c r="C116" i="32" s="1"/>
  <c r="E116" i="32" s="1"/>
  <c r="Y110" i="19"/>
  <c r="C108" i="32" s="1"/>
  <c r="E108" i="32" s="1"/>
  <c r="Y102" i="19"/>
  <c r="C100" i="32" s="1"/>
  <c r="E100" i="32" s="1"/>
  <c r="Y94" i="19"/>
  <c r="C92" i="32" s="1"/>
  <c r="E92" i="32" s="1"/>
  <c r="Y86" i="19"/>
  <c r="C84" i="32" s="1"/>
  <c r="E84" i="32" s="1"/>
  <c r="Y78" i="19"/>
  <c r="C76" i="32" s="1"/>
  <c r="E76" i="32" s="1"/>
  <c r="Y70" i="19"/>
  <c r="C68" i="32" s="1"/>
  <c r="E68" i="32" s="1"/>
  <c r="Y62" i="19"/>
  <c r="C60" i="32" s="1"/>
  <c r="E60" i="32" s="1"/>
  <c r="Y46" i="19"/>
  <c r="C44" i="32" s="1"/>
  <c r="E44" i="32" s="1"/>
  <c r="Y38" i="19"/>
  <c r="C36" i="32" s="1"/>
  <c r="E36" i="32" s="1"/>
  <c r="Y22" i="19"/>
  <c r="C20" i="32" s="1"/>
  <c r="E20" i="32" s="1"/>
  <c r="Y14" i="19"/>
  <c r="C12" i="32" s="1"/>
  <c r="E12" i="32" s="1"/>
  <c r="G314" i="19"/>
  <c r="T314" i="19" s="1"/>
  <c r="H313" i="49" s="1"/>
  <c r="G306" i="19"/>
  <c r="T306" i="19" s="1"/>
  <c r="H305" i="49" s="1"/>
  <c r="G294" i="19"/>
  <c r="G286" i="19"/>
  <c r="T286" i="19" s="1"/>
  <c r="H285" i="49" s="1"/>
  <c r="G248" i="19"/>
  <c r="T248" i="19" s="1"/>
  <c r="H247" i="49" s="1"/>
  <c r="G240" i="19"/>
  <c r="G224" i="19"/>
  <c r="G214" i="19"/>
  <c r="T214" i="19" s="1"/>
  <c r="H213" i="49" s="1"/>
  <c r="G196" i="19"/>
  <c r="T196" i="19" s="1"/>
  <c r="H195" i="49" s="1"/>
  <c r="G180" i="19"/>
  <c r="T180" i="19" s="1"/>
  <c r="H179" i="49" s="1"/>
  <c r="G170" i="19"/>
  <c r="T170" i="19" s="1"/>
  <c r="H169" i="49" s="1"/>
  <c r="G160" i="19"/>
  <c r="T160" i="19" s="1"/>
  <c r="H159" i="49" s="1"/>
  <c r="G150" i="19"/>
  <c r="T150" i="19" s="1"/>
  <c r="H149" i="49" s="1"/>
  <c r="G142" i="19"/>
  <c r="T142" i="19" s="1"/>
  <c r="H141" i="49" s="1"/>
  <c r="G136" i="19"/>
  <c r="T136" i="19" s="1"/>
  <c r="H135" i="49" s="1"/>
  <c r="G126" i="19"/>
  <c r="T126" i="19" s="1"/>
  <c r="H125" i="49" s="1"/>
  <c r="G118" i="19"/>
  <c r="T118" i="19" s="1"/>
  <c r="H117" i="49" s="1"/>
  <c r="G110" i="19"/>
  <c r="T110" i="19" s="1"/>
  <c r="H109" i="49" s="1"/>
  <c r="G104" i="19"/>
  <c r="T104" i="19" s="1"/>
  <c r="H103" i="49" s="1"/>
  <c r="G64" i="19"/>
  <c r="T64" i="19" s="1"/>
  <c r="H63" i="49" s="1"/>
  <c r="G56" i="19"/>
  <c r="T56" i="19" s="1"/>
  <c r="H55" i="49" s="1"/>
  <c r="G16" i="19"/>
  <c r="T16" i="19" s="1"/>
  <c r="H15" i="49" s="1"/>
  <c r="G8" i="19"/>
  <c r="T8" i="19" s="1"/>
  <c r="H7" i="49" s="1"/>
  <c r="G302" i="19"/>
  <c r="T302" i="19" s="1"/>
  <c r="H301" i="49" s="1"/>
  <c r="G296" i="19"/>
  <c r="T296" i="19" s="1"/>
  <c r="H295" i="49" s="1"/>
  <c r="G290" i="19"/>
  <c r="T290" i="19" s="1"/>
  <c r="H289" i="49" s="1"/>
  <c r="G282" i="19"/>
  <c r="T282" i="19" s="1"/>
  <c r="H281" i="49" s="1"/>
  <c r="G264" i="19"/>
  <c r="T264" i="19" s="1"/>
  <c r="H263" i="49" s="1"/>
  <c r="G244" i="19"/>
  <c r="T244" i="19" s="1"/>
  <c r="H243" i="49" s="1"/>
  <c r="G238" i="19"/>
  <c r="T238" i="19" s="1"/>
  <c r="H237" i="49" s="1"/>
  <c r="G232" i="19"/>
  <c r="T232" i="19" s="1"/>
  <c r="H231" i="49" s="1"/>
  <c r="G228" i="19"/>
  <c r="T228" i="19" s="1"/>
  <c r="H227" i="49" s="1"/>
  <c r="G210" i="19"/>
  <c r="T210" i="19" s="1"/>
  <c r="H209" i="49" s="1"/>
  <c r="G186" i="19"/>
  <c r="T186" i="19" s="1"/>
  <c r="H185" i="49" s="1"/>
  <c r="G166" i="19"/>
  <c r="T166" i="19" s="1"/>
  <c r="H165" i="49" s="1"/>
  <c r="G162" i="19"/>
  <c r="T162" i="19" s="1"/>
  <c r="H161" i="49" s="1"/>
  <c r="G152" i="19"/>
  <c r="T152" i="19" s="1"/>
  <c r="H151" i="49" s="1"/>
  <c r="G146" i="19"/>
  <c r="T146" i="19" s="1"/>
  <c r="H145" i="49" s="1"/>
  <c r="G134" i="19"/>
  <c r="T134" i="19" s="1"/>
  <c r="H133" i="49" s="1"/>
  <c r="G130" i="19"/>
  <c r="T130" i="19" s="1"/>
  <c r="H129" i="49" s="1"/>
  <c r="G120" i="19"/>
  <c r="T120" i="19" s="1"/>
  <c r="H119" i="49" s="1"/>
  <c r="G112" i="19"/>
  <c r="T112" i="19" s="1"/>
  <c r="H111" i="49" s="1"/>
  <c r="G106" i="19"/>
  <c r="T106" i="19" s="1"/>
  <c r="H105" i="49" s="1"/>
  <c r="G88" i="19"/>
  <c r="T88" i="19" s="1"/>
  <c r="H87" i="49" s="1"/>
  <c r="G72" i="19"/>
  <c r="T72" i="19" s="1"/>
  <c r="H71" i="49" s="1"/>
  <c r="G48" i="19"/>
  <c r="T48" i="19" s="1"/>
  <c r="H47" i="49" s="1"/>
  <c r="G22" i="19"/>
  <c r="T22" i="19" s="1"/>
  <c r="H21" i="49" s="1"/>
  <c r="G12" i="19"/>
  <c r="G315" i="19"/>
  <c r="T315" i="19" s="1"/>
  <c r="H314" i="49" s="1"/>
  <c r="G297" i="19"/>
  <c r="T297" i="19" s="1"/>
  <c r="H296" i="49" s="1"/>
  <c r="G249" i="19"/>
  <c r="G231" i="19"/>
  <c r="T231" i="19" s="1"/>
  <c r="H230" i="49" s="1"/>
  <c r="G161" i="19"/>
  <c r="T161" i="19" s="1"/>
  <c r="H160" i="49" s="1"/>
  <c r="G89" i="19"/>
  <c r="T89" i="19" s="1"/>
  <c r="H88" i="49" s="1"/>
  <c r="G71" i="19"/>
  <c r="T71" i="19" s="1"/>
  <c r="H70" i="49" s="1"/>
  <c r="G49" i="19"/>
  <c r="G45" i="19"/>
  <c r="T45" i="19" s="1"/>
  <c r="H44" i="49" s="1"/>
  <c r="Y231" i="19"/>
  <c r="C229" i="32" s="1"/>
  <c r="E229" i="32" s="1"/>
  <c r="Y223" i="19"/>
  <c r="C221" i="32" s="1"/>
  <c r="E221" i="32" s="1"/>
  <c r="Y143" i="19"/>
  <c r="C141" i="32" s="1"/>
  <c r="E141" i="32" s="1"/>
  <c r="Y135" i="19"/>
  <c r="C133" i="32" s="1"/>
  <c r="E133" i="32" s="1"/>
  <c r="Y127" i="19"/>
  <c r="C125" i="32" s="1"/>
  <c r="E125" i="32" s="1"/>
  <c r="Y95" i="19"/>
  <c r="C93" i="32" s="1"/>
  <c r="E93" i="32" s="1"/>
  <c r="Y87" i="19"/>
  <c r="C85" i="32" s="1"/>
  <c r="E85" i="32" s="1"/>
  <c r="Y71" i="19"/>
  <c r="C69" i="32" s="1"/>
  <c r="E69" i="32" s="1"/>
  <c r="G310" i="19"/>
  <c r="T310" i="19" s="1"/>
  <c r="H309" i="49" s="1"/>
  <c r="G304" i="19"/>
  <c r="T304" i="19" s="1"/>
  <c r="H303" i="49" s="1"/>
  <c r="G298" i="19"/>
  <c r="T298" i="19" s="1"/>
  <c r="H297" i="49" s="1"/>
  <c r="G288" i="19"/>
  <c r="T288" i="19" s="1"/>
  <c r="H287" i="49" s="1"/>
  <c r="G272" i="19"/>
  <c r="G256" i="19"/>
  <c r="T256" i="19" s="1"/>
  <c r="H255" i="49" s="1"/>
  <c r="G236" i="19"/>
  <c r="T236" i="19" s="1"/>
  <c r="H235" i="49" s="1"/>
  <c r="G230" i="19"/>
  <c r="T230" i="19" s="1"/>
  <c r="H229" i="49" s="1"/>
  <c r="G218" i="19"/>
  <c r="T218" i="19" s="1"/>
  <c r="H217" i="49" s="1"/>
  <c r="G212" i="19"/>
  <c r="T212" i="19" s="1"/>
  <c r="H211" i="49" s="1"/>
  <c r="G204" i="19"/>
  <c r="T204" i="19" s="1"/>
  <c r="H203" i="49" s="1"/>
  <c r="G184" i="19"/>
  <c r="T184" i="19" s="1"/>
  <c r="H183" i="49" s="1"/>
  <c r="G178" i="19"/>
  <c r="T178" i="19" s="1"/>
  <c r="H177" i="49" s="1"/>
  <c r="G168" i="19"/>
  <c r="T168" i="19" s="1"/>
  <c r="H167" i="49" s="1"/>
  <c r="G158" i="19"/>
  <c r="G154" i="19"/>
  <c r="T154" i="19" s="1"/>
  <c r="H153" i="49" s="1"/>
  <c r="G144" i="19"/>
  <c r="T144" i="19" s="1"/>
  <c r="H143" i="49" s="1"/>
  <c r="G138" i="19"/>
  <c r="T138" i="19" s="1"/>
  <c r="H137" i="49" s="1"/>
  <c r="G128" i="19"/>
  <c r="T128" i="19" s="1"/>
  <c r="H127" i="49" s="1"/>
  <c r="G122" i="19"/>
  <c r="T122" i="19" s="1"/>
  <c r="H121" i="49" s="1"/>
  <c r="G114" i="19"/>
  <c r="G102" i="19"/>
  <c r="T102" i="19" s="1"/>
  <c r="H101" i="49" s="1"/>
  <c r="G96" i="19"/>
  <c r="T96" i="19" s="1"/>
  <c r="H95" i="49" s="1"/>
  <c r="G80" i="19"/>
  <c r="T80" i="19" s="1"/>
  <c r="H79" i="49" s="1"/>
  <c r="G40" i="19"/>
  <c r="G32" i="19"/>
  <c r="T32" i="19" s="1"/>
  <c r="H31" i="49" s="1"/>
  <c r="G20" i="19"/>
  <c r="T20" i="19" s="1"/>
  <c r="H19" i="49" s="1"/>
  <c r="G14" i="19"/>
  <c r="T14" i="19" s="1"/>
  <c r="H13" i="49" s="1"/>
  <c r="Y193" i="19"/>
  <c r="C191" i="32" s="1"/>
  <c r="E191" i="32" s="1"/>
  <c r="Y177" i="19"/>
  <c r="C175" i="32" s="1"/>
  <c r="E175" i="32" s="1"/>
  <c r="Y113" i="19"/>
  <c r="C111" i="32" s="1"/>
  <c r="E111" i="32" s="1"/>
  <c r="Y81" i="19"/>
  <c r="C79" i="32" s="1"/>
  <c r="E79" i="32" s="1"/>
  <c r="Y311" i="19"/>
  <c r="C309" i="32" s="1"/>
  <c r="E309" i="32" s="1"/>
  <c r="Y303" i="19"/>
  <c r="C301" i="32" s="1"/>
  <c r="E301" i="32" s="1"/>
  <c r="Y295" i="19"/>
  <c r="C293" i="32" s="1"/>
  <c r="E293" i="32" s="1"/>
  <c r="Y287" i="19"/>
  <c r="C285" i="32" s="1"/>
  <c r="E285" i="32" s="1"/>
  <c r="Y279" i="19"/>
  <c r="C277" i="32" s="1"/>
  <c r="E277" i="32" s="1"/>
  <c r="Y271" i="19"/>
  <c r="C269" i="32" s="1"/>
  <c r="E269" i="32" s="1"/>
  <c r="Y263" i="19"/>
  <c r="C261" i="32" s="1"/>
  <c r="E261" i="32" s="1"/>
  <c r="Y255" i="19"/>
  <c r="C253" i="32" s="1"/>
  <c r="E253" i="32" s="1"/>
  <c r="Y247" i="19"/>
  <c r="C245" i="32" s="1"/>
  <c r="E245" i="32" s="1"/>
  <c r="Y215" i="19"/>
  <c r="C213" i="32" s="1"/>
  <c r="E213" i="32" s="1"/>
  <c r="Y207" i="19"/>
  <c r="C205" i="32" s="1"/>
  <c r="E205" i="32" s="1"/>
  <c r="Y199" i="19"/>
  <c r="C197" i="32" s="1"/>
  <c r="E197" i="32" s="1"/>
  <c r="Y191" i="19"/>
  <c r="C189" i="32" s="1"/>
  <c r="E189" i="32" s="1"/>
  <c r="Y175" i="19"/>
  <c r="C173" i="32" s="1"/>
  <c r="E173" i="32" s="1"/>
  <c r="Y23" i="19"/>
  <c r="C21" i="32" s="1"/>
  <c r="E21" i="32" s="1"/>
  <c r="Y315" i="19"/>
  <c r="C313" i="32" s="1"/>
  <c r="E313" i="32" s="1"/>
  <c r="Y307" i="19"/>
  <c r="C305" i="32" s="1"/>
  <c r="E305" i="32" s="1"/>
  <c r="Y299" i="19"/>
  <c r="C297" i="32" s="1"/>
  <c r="E297" i="32" s="1"/>
  <c r="Y291" i="19"/>
  <c r="C289" i="32" s="1"/>
  <c r="E289" i="32" s="1"/>
  <c r="Y283" i="19"/>
  <c r="C281" i="32" s="1"/>
  <c r="E281" i="32" s="1"/>
  <c r="Y275" i="19"/>
  <c r="C273" i="32" s="1"/>
  <c r="E273" i="32" s="1"/>
  <c r="Y267" i="19"/>
  <c r="C265" i="32" s="1"/>
  <c r="E265" i="32" s="1"/>
  <c r="Y259" i="19"/>
  <c r="C257" i="32" s="1"/>
  <c r="E257" i="32" s="1"/>
  <c r="Y251" i="19"/>
  <c r="C249" i="32" s="1"/>
  <c r="E249" i="32" s="1"/>
  <c r="Y243" i="19"/>
  <c r="C241" i="32" s="1"/>
  <c r="E241" i="32" s="1"/>
  <c r="Y235" i="19"/>
  <c r="C233" i="32" s="1"/>
  <c r="E233" i="32" s="1"/>
  <c r="Y227" i="19"/>
  <c r="C225" i="32" s="1"/>
  <c r="E225" i="32" s="1"/>
  <c r="Y219" i="19"/>
  <c r="C217" i="32" s="1"/>
  <c r="E217" i="32" s="1"/>
  <c r="Y211" i="19"/>
  <c r="C209" i="32" s="1"/>
  <c r="E209" i="32" s="1"/>
  <c r="Y203" i="19"/>
  <c r="C201" i="32" s="1"/>
  <c r="E201" i="32" s="1"/>
  <c r="Y195" i="19"/>
  <c r="C193" i="32" s="1"/>
  <c r="E193" i="32" s="1"/>
  <c r="Y187" i="19"/>
  <c r="C185" i="32" s="1"/>
  <c r="E185" i="32" s="1"/>
  <c r="Y179" i="19"/>
  <c r="C177" i="32" s="1"/>
  <c r="E177" i="32" s="1"/>
  <c r="Y168" i="19"/>
  <c r="C166" i="32" s="1"/>
  <c r="E166" i="32" s="1"/>
  <c r="Y163" i="19"/>
  <c r="C161" i="32" s="1"/>
  <c r="E161" i="32" s="1"/>
  <c r="Y155" i="19"/>
  <c r="C153" i="32" s="1"/>
  <c r="E153" i="32" s="1"/>
  <c r="Y152" i="19"/>
  <c r="C150" i="32" s="1"/>
  <c r="E150" i="32" s="1"/>
  <c r="Y147" i="19"/>
  <c r="C145" i="32" s="1"/>
  <c r="E145" i="32" s="1"/>
  <c r="Y139" i="19"/>
  <c r="C137" i="32" s="1"/>
  <c r="E137" i="32" s="1"/>
  <c r="Y131" i="19"/>
  <c r="C129" i="32" s="1"/>
  <c r="E129" i="32" s="1"/>
  <c r="Y123" i="19"/>
  <c r="C121" i="32" s="1"/>
  <c r="E121" i="32" s="1"/>
  <c r="Y115" i="19"/>
  <c r="C113" i="32" s="1"/>
  <c r="E113" i="32" s="1"/>
  <c r="Y107" i="19"/>
  <c r="C105" i="32" s="1"/>
  <c r="E105" i="32" s="1"/>
  <c r="Y99" i="19"/>
  <c r="C97" i="32" s="1"/>
  <c r="E97" i="32" s="1"/>
  <c r="Y91" i="19"/>
  <c r="C89" i="32" s="1"/>
  <c r="E89" i="32" s="1"/>
  <c r="Y83" i="19"/>
  <c r="C81" i="32" s="1"/>
  <c r="E81" i="32" s="1"/>
  <c r="Y75" i="19"/>
  <c r="C73" i="32" s="1"/>
  <c r="E73" i="32" s="1"/>
  <c r="Y67" i="19"/>
  <c r="C65" i="32" s="1"/>
  <c r="E65" i="32" s="1"/>
  <c r="Y59" i="19"/>
  <c r="C57" i="32" s="1"/>
  <c r="E57" i="32" s="1"/>
  <c r="Y51" i="19"/>
  <c r="C49" i="32" s="1"/>
  <c r="E49" i="32" s="1"/>
  <c r="Y43" i="19"/>
  <c r="C41" i="32" s="1"/>
  <c r="E41" i="32" s="1"/>
  <c r="Y35" i="19"/>
  <c r="C33" i="32" s="1"/>
  <c r="E33" i="32" s="1"/>
  <c r="Y32" i="19"/>
  <c r="C30" i="32" s="1"/>
  <c r="E30" i="32" s="1"/>
  <c r="Y27" i="19"/>
  <c r="C25" i="32" s="1"/>
  <c r="E25" i="32" s="1"/>
  <c r="Y19" i="19"/>
  <c r="C17" i="32" s="1"/>
  <c r="E17" i="32" s="1"/>
  <c r="Y11" i="19"/>
  <c r="C9" i="32" s="1"/>
  <c r="E9" i="32" s="1"/>
  <c r="Y312" i="19"/>
  <c r="C310" i="32" s="1"/>
  <c r="E310" i="32" s="1"/>
  <c r="Y309" i="19"/>
  <c r="C307" i="32" s="1"/>
  <c r="E307" i="32" s="1"/>
  <c r="Y304" i="19"/>
  <c r="C302" i="32" s="1"/>
  <c r="E302" i="32" s="1"/>
  <c r="Y296" i="19"/>
  <c r="C294" i="32" s="1"/>
  <c r="E294" i="32" s="1"/>
  <c r="Y293" i="19"/>
  <c r="C291" i="32" s="1"/>
  <c r="E291" i="32" s="1"/>
  <c r="Y288" i="19"/>
  <c r="C286" i="32" s="1"/>
  <c r="E286" i="32" s="1"/>
  <c r="Y280" i="19"/>
  <c r="C278" i="32" s="1"/>
  <c r="E278" i="32" s="1"/>
  <c r="Y277" i="19"/>
  <c r="C275" i="32" s="1"/>
  <c r="E275" i="32" s="1"/>
  <c r="Y272" i="19"/>
  <c r="C270" i="32" s="1"/>
  <c r="E270" i="32" s="1"/>
  <c r="Y264" i="19"/>
  <c r="C262" i="32" s="1"/>
  <c r="E262" i="32" s="1"/>
  <c r="Y261" i="19"/>
  <c r="C259" i="32" s="1"/>
  <c r="E259" i="32" s="1"/>
  <c r="Y256" i="19"/>
  <c r="C254" i="32" s="1"/>
  <c r="E254" i="32" s="1"/>
  <c r="Y248" i="19"/>
  <c r="C246" i="32" s="1"/>
  <c r="E246" i="32" s="1"/>
  <c r="Y237" i="19"/>
  <c r="C235" i="32" s="1"/>
  <c r="E235" i="32" s="1"/>
  <c r="Y229" i="19"/>
  <c r="C227" i="32" s="1"/>
  <c r="E227" i="32" s="1"/>
  <c r="Y221" i="19"/>
  <c r="C219" i="32" s="1"/>
  <c r="E219" i="32" s="1"/>
  <c r="Y218" i="19"/>
  <c r="C216" i="32" s="1"/>
  <c r="E216" i="32" s="1"/>
  <c r="Y210" i="19"/>
  <c r="C208" i="32" s="1"/>
  <c r="E208" i="32" s="1"/>
  <c r="Y202" i="19"/>
  <c r="C200" i="32" s="1"/>
  <c r="E200" i="32" s="1"/>
  <c r="Y197" i="19"/>
  <c r="C195" i="32" s="1"/>
  <c r="E195" i="32" s="1"/>
  <c r="Y194" i="19"/>
  <c r="C192" i="32" s="1"/>
  <c r="E192" i="32" s="1"/>
  <c r="Y189" i="19"/>
  <c r="C187" i="32" s="1"/>
  <c r="E187" i="32" s="1"/>
  <c r="Y178" i="19"/>
  <c r="C176" i="32" s="1"/>
  <c r="E176" i="32" s="1"/>
  <c r="Y176" i="19"/>
  <c r="C174" i="32" s="1"/>
  <c r="E174" i="32" s="1"/>
  <c r="Y160" i="19"/>
  <c r="C158" i="32" s="1"/>
  <c r="E158" i="32" s="1"/>
  <c r="Y141" i="19"/>
  <c r="C139" i="32" s="1"/>
  <c r="E139" i="32" s="1"/>
  <c r="Y133" i="19"/>
  <c r="C131" i="32" s="1"/>
  <c r="E131" i="32" s="1"/>
  <c r="Y117" i="19"/>
  <c r="C115" i="32" s="1"/>
  <c r="E115" i="32" s="1"/>
  <c r="Y101" i="19"/>
  <c r="C99" i="32" s="1"/>
  <c r="E99" i="32" s="1"/>
  <c r="Y85" i="19"/>
  <c r="C83" i="32" s="1"/>
  <c r="E83" i="32" s="1"/>
  <c r="Y69" i="19"/>
  <c r="C67" i="32" s="1"/>
  <c r="E67" i="32" s="1"/>
  <c r="Y48" i="19"/>
  <c r="C46" i="32" s="1"/>
  <c r="E46" i="32" s="1"/>
  <c r="Y21" i="19"/>
  <c r="C19" i="32" s="1"/>
  <c r="E19" i="32" s="1"/>
  <c r="G312" i="19"/>
  <c r="T312" i="19" s="1"/>
  <c r="H311" i="49" s="1"/>
  <c r="G284" i="19"/>
  <c r="T284" i="19" s="1"/>
  <c r="H283" i="49" s="1"/>
  <c r="G276" i="19"/>
  <c r="T276" i="19" s="1"/>
  <c r="H275" i="49" s="1"/>
  <c r="G270" i="19"/>
  <c r="T270" i="19" s="1"/>
  <c r="H269" i="49" s="1"/>
  <c r="G262" i="19"/>
  <c r="T262" i="19" s="1"/>
  <c r="H261" i="49" s="1"/>
  <c r="G254" i="19"/>
  <c r="T254" i="19" s="1"/>
  <c r="H253" i="49" s="1"/>
  <c r="G246" i="19"/>
  <c r="T246" i="19" s="1"/>
  <c r="H245" i="49" s="1"/>
  <c r="G234" i="19"/>
  <c r="T234" i="19" s="1"/>
  <c r="H233" i="49" s="1"/>
  <c r="G206" i="19"/>
  <c r="T206" i="19" s="1"/>
  <c r="H205" i="49" s="1"/>
  <c r="G300" i="19"/>
  <c r="T300" i="19" s="1"/>
  <c r="H299" i="49" s="1"/>
  <c r="G280" i="19"/>
  <c r="T280" i="19" s="1"/>
  <c r="H279" i="49" s="1"/>
  <c r="G274" i="19"/>
  <c r="G268" i="19"/>
  <c r="T268" i="19" s="1"/>
  <c r="H267" i="49" s="1"/>
  <c r="G258" i="19"/>
  <c r="T258" i="19" s="1"/>
  <c r="H257" i="49" s="1"/>
  <c r="G252" i="19"/>
  <c r="T252" i="19" s="1"/>
  <c r="H251" i="49" s="1"/>
  <c r="G222" i="19"/>
  <c r="T222" i="19" s="1"/>
  <c r="H221" i="49" s="1"/>
  <c r="G216" i="19"/>
  <c r="T216" i="19" s="1"/>
  <c r="H215" i="49" s="1"/>
  <c r="G289" i="19"/>
  <c r="G277" i="19"/>
  <c r="T277" i="19" s="1"/>
  <c r="H276" i="49" s="1"/>
  <c r="G273" i="19"/>
  <c r="T273" i="19" s="1"/>
  <c r="H272" i="49" s="1"/>
  <c r="G261" i="19"/>
  <c r="T261" i="19" s="1"/>
  <c r="H260" i="49" s="1"/>
  <c r="G257" i="19"/>
  <c r="G253" i="19"/>
  <c r="T253" i="19" s="1"/>
  <c r="H252" i="49" s="1"/>
  <c r="G239" i="19"/>
  <c r="G223" i="19"/>
  <c r="T223" i="19" s="1"/>
  <c r="H222" i="49" s="1"/>
  <c r="G205" i="19"/>
  <c r="T205" i="19" s="1"/>
  <c r="H204" i="49" s="1"/>
  <c r="G201" i="19"/>
  <c r="G193" i="19"/>
  <c r="T193" i="19" s="1"/>
  <c r="H192" i="49" s="1"/>
  <c r="G189" i="19"/>
  <c r="G187" i="19"/>
  <c r="G175" i="19"/>
  <c r="T175" i="19" s="1"/>
  <c r="H174" i="49" s="1"/>
  <c r="G169" i="19"/>
  <c r="T169" i="19" s="1"/>
  <c r="H168" i="49" s="1"/>
  <c r="G153" i="19"/>
  <c r="G137" i="19"/>
  <c r="T137" i="19" s="1"/>
  <c r="H136" i="49" s="1"/>
  <c r="G121" i="19"/>
  <c r="G113" i="19"/>
  <c r="T113" i="19" s="1"/>
  <c r="H112" i="49" s="1"/>
  <c r="G105" i="19"/>
  <c r="T105" i="19" s="1"/>
  <c r="H104" i="49" s="1"/>
  <c r="G97" i="19"/>
  <c r="T97" i="19" s="1"/>
  <c r="H96" i="49" s="1"/>
  <c r="G95" i="19"/>
  <c r="T95" i="19" s="1"/>
  <c r="H94" i="49" s="1"/>
  <c r="G85" i="19"/>
  <c r="T85" i="19" s="1"/>
  <c r="H84" i="49" s="1"/>
  <c r="G81" i="19"/>
  <c r="T81" i="19" s="1"/>
  <c r="H80" i="49" s="1"/>
  <c r="G79" i="19"/>
  <c r="G73" i="19"/>
  <c r="T73" i="19" s="1"/>
  <c r="H72" i="49" s="1"/>
  <c r="G69" i="19"/>
  <c r="T69" i="19" s="1"/>
  <c r="H68" i="49" s="1"/>
  <c r="G63" i="19"/>
  <c r="T63" i="19" s="1"/>
  <c r="H62" i="49" s="1"/>
  <c r="G61" i="19"/>
  <c r="G57" i="19"/>
  <c r="G55" i="19"/>
  <c r="T55" i="19" s="1"/>
  <c r="H54" i="49" s="1"/>
  <c r="G53" i="19"/>
  <c r="T53" i="19" s="1"/>
  <c r="H52" i="49" s="1"/>
  <c r="G39" i="19"/>
  <c r="T39" i="19" s="1"/>
  <c r="H38" i="49" s="1"/>
  <c r="G37" i="19"/>
  <c r="T37" i="19" s="1"/>
  <c r="H36" i="49" s="1"/>
  <c r="G33" i="19"/>
  <c r="T33" i="19" s="1"/>
  <c r="H32" i="49" s="1"/>
  <c r="G31" i="19"/>
  <c r="G25" i="19"/>
  <c r="T25" i="19" s="1"/>
  <c r="H24" i="49" s="1"/>
  <c r="G23" i="19"/>
  <c r="T23" i="19" s="1"/>
  <c r="H22" i="49" s="1"/>
  <c r="G308" i="19"/>
  <c r="T308" i="19" s="1"/>
  <c r="H307" i="49" s="1"/>
  <c r="G292" i="19"/>
  <c r="T292" i="19" s="1"/>
  <c r="H291" i="49" s="1"/>
  <c r="G278" i="19"/>
  <c r="T278" i="19" s="1"/>
  <c r="H277" i="49" s="1"/>
  <c r="G266" i="19"/>
  <c r="T266" i="19" s="1"/>
  <c r="H265" i="49" s="1"/>
  <c r="G260" i="19"/>
  <c r="T260" i="19" s="1"/>
  <c r="H259" i="49" s="1"/>
  <c r="G250" i="19"/>
  <c r="T250" i="19" s="1"/>
  <c r="H249" i="49" s="1"/>
  <c r="G242" i="19"/>
  <c r="T242" i="19" s="1"/>
  <c r="H241" i="49" s="1"/>
  <c r="G226" i="19"/>
  <c r="T226" i="19" s="1"/>
  <c r="H225" i="49" s="1"/>
  <c r="G208" i="19"/>
  <c r="T208" i="19" s="1"/>
  <c r="H207" i="49" s="1"/>
  <c r="G305" i="19"/>
  <c r="G269" i="19"/>
  <c r="T269" i="19" s="1"/>
  <c r="H268" i="49" s="1"/>
  <c r="G311" i="19"/>
  <c r="T311" i="19" s="1"/>
  <c r="H310" i="49" s="1"/>
  <c r="G309" i="19"/>
  <c r="T309" i="19" s="1"/>
  <c r="H308" i="49" s="1"/>
  <c r="G307" i="19"/>
  <c r="G303" i="19"/>
  <c r="T303" i="19" s="1"/>
  <c r="H302" i="49" s="1"/>
  <c r="G301" i="19"/>
  <c r="T301" i="19" s="1"/>
  <c r="H300" i="49" s="1"/>
  <c r="G299" i="19"/>
  <c r="T299" i="19" s="1"/>
  <c r="H298" i="49" s="1"/>
  <c r="G295" i="19"/>
  <c r="G293" i="19"/>
  <c r="T293" i="19" s="1"/>
  <c r="H292" i="49" s="1"/>
  <c r="G291" i="19"/>
  <c r="G287" i="19"/>
  <c r="G285" i="19"/>
  <c r="T285" i="19" s="1"/>
  <c r="H284" i="49" s="1"/>
  <c r="G283" i="19"/>
  <c r="G275" i="19"/>
  <c r="T275" i="19" s="1"/>
  <c r="H274" i="49" s="1"/>
  <c r="G267" i="19"/>
  <c r="T267" i="19" s="1"/>
  <c r="H266" i="49" s="1"/>
  <c r="G259" i="19"/>
  <c r="T259" i="19" s="1"/>
  <c r="H258" i="49" s="1"/>
  <c r="G251" i="19"/>
  <c r="T251" i="19" s="1"/>
  <c r="H250" i="49" s="1"/>
  <c r="G243" i="19"/>
  <c r="G241" i="19"/>
  <c r="G237" i="19"/>
  <c r="T237" i="19" s="1"/>
  <c r="H236" i="49" s="1"/>
  <c r="G235" i="19"/>
  <c r="T235" i="19" s="1"/>
  <c r="H234" i="49" s="1"/>
  <c r="G233" i="19"/>
  <c r="T233" i="19" s="1"/>
  <c r="H232" i="49" s="1"/>
  <c r="G229" i="19"/>
  <c r="T229" i="19" s="1"/>
  <c r="H228" i="49" s="1"/>
  <c r="G227" i="19"/>
  <c r="G225" i="19"/>
  <c r="G219" i="19"/>
  <c r="T219" i="19" s="1"/>
  <c r="H218" i="49" s="1"/>
  <c r="G202" i="19"/>
  <c r="T202" i="19" s="1"/>
  <c r="H201" i="49" s="1"/>
  <c r="G200" i="19"/>
  <c r="T200" i="19" s="1"/>
  <c r="H199" i="49" s="1"/>
  <c r="G198" i="19"/>
  <c r="T198" i="19" s="1"/>
  <c r="H197" i="49" s="1"/>
  <c r="G194" i="19"/>
  <c r="T194" i="19" s="1"/>
  <c r="H193" i="49" s="1"/>
  <c r="G192" i="19"/>
  <c r="T192" i="19" s="1"/>
  <c r="H191" i="49" s="1"/>
  <c r="G190" i="19"/>
  <c r="T190" i="19" s="1"/>
  <c r="H189" i="49" s="1"/>
  <c r="G188" i="19"/>
  <c r="T188" i="19" s="1"/>
  <c r="H187" i="49" s="1"/>
  <c r="G182" i="19"/>
  <c r="T182" i="19" s="1"/>
  <c r="H181" i="49" s="1"/>
  <c r="G176" i="19"/>
  <c r="T176" i="19" s="1"/>
  <c r="H175" i="49" s="1"/>
  <c r="G174" i="19"/>
  <c r="T174" i="19" s="1"/>
  <c r="H173" i="49" s="1"/>
  <c r="G172" i="19"/>
  <c r="T172" i="19" s="1"/>
  <c r="H171" i="49" s="1"/>
  <c r="G164" i="19"/>
  <c r="T164" i="19" s="1"/>
  <c r="H163" i="49" s="1"/>
  <c r="G156" i="19"/>
  <c r="T156" i="19" s="1"/>
  <c r="H155" i="49" s="1"/>
  <c r="G148" i="19"/>
  <c r="T148" i="19" s="1"/>
  <c r="H147" i="49" s="1"/>
  <c r="G140" i="19"/>
  <c r="T140" i="19" s="1"/>
  <c r="H139" i="49" s="1"/>
  <c r="G132" i="19"/>
  <c r="T132" i="19" s="1"/>
  <c r="H131" i="49" s="1"/>
  <c r="G124" i="19"/>
  <c r="T124" i="19" s="1"/>
  <c r="H123" i="49" s="1"/>
  <c r="G116" i="19"/>
  <c r="T116" i="19" s="1"/>
  <c r="H115" i="49" s="1"/>
  <c r="G108" i="19"/>
  <c r="T108" i="19" s="1"/>
  <c r="H107" i="49" s="1"/>
  <c r="G100" i="19"/>
  <c r="T100" i="19" s="1"/>
  <c r="H99" i="49" s="1"/>
  <c r="G98" i="19"/>
  <c r="T98" i="19" s="1"/>
  <c r="H97" i="49" s="1"/>
  <c r="G94" i="19"/>
  <c r="G92" i="19"/>
  <c r="G90" i="19"/>
  <c r="T90" i="19" s="1"/>
  <c r="H89" i="49" s="1"/>
  <c r="G86" i="19"/>
  <c r="T86" i="19" s="1"/>
  <c r="H85" i="49" s="1"/>
  <c r="G84" i="19"/>
  <c r="T84" i="19" s="1"/>
  <c r="H83" i="49" s="1"/>
  <c r="G82" i="19"/>
  <c r="G78" i="19"/>
  <c r="T78" i="19" s="1"/>
  <c r="H77" i="49" s="1"/>
  <c r="G76" i="19"/>
  <c r="T76" i="19" s="1"/>
  <c r="H75" i="49" s="1"/>
  <c r="G74" i="19"/>
  <c r="G70" i="19"/>
  <c r="G68" i="19"/>
  <c r="T68" i="19" s="1"/>
  <c r="H67" i="49" s="1"/>
  <c r="G66" i="19"/>
  <c r="T66" i="19" s="1"/>
  <c r="H65" i="49" s="1"/>
  <c r="G62" i="19"/>
  <c r="T62" i="19" s="1"/>
  <c r="H61" i="49" s="1"/>
  <c r="G60" i="19"/>
  <c r="T60" i="19" s="1"/>
  <c r="H59" i="49" s="1"/>
  <c r="G58" i="19"/>
  <c r="T58" i="19" s="1"/>
  <c r="H57" i="49" s="1"/>
  <c r="G54" i="19"/>
  <c r="G52" i="19"/>
  <c r="T52" i="19" s="1"/>
  <c r="H51" i="49" s="1"/>
  <c r="G50" i="19"/>
  <c r="G46" i="19"/>
  <c r="T46" i="19" s="1"/>
  <c r="H45" i="49" s="1"/>
  <c r="G44" i="19"/>
  <c r="T44" i="19" s="1"/>
  <c r="H43" i="49" s="1"/>
  <c r="G42" i="19"/>
  <c r="T42" i="19" s="1"/>
  <c r="H41" i="49" s="1"/>
  <c r="G38" i="19"/>
  <c r="T38" i="19" s="1"/>
  <c r="H37" i="49" s="1"/>
  <c r="G36" i="19"/>
  <c r="T36" i="19" s="1"/>
  <c r="H35" i="49" s="1"/>
  <c r="G34" i="19"/>
  <c r="T34" i="19" s="1"/>
  <c r="H33" i="49" s="1"/>
  <c r="G30" i="19"/>
  <c r="T30" i="19" s="1"/>
  <c r="H29" i="49" s="1"/>
  <c r="G28" i="19"/>
  <c r="T28" i="19" s="1"/>
  <c r="H27" i="49" s="1"/>
  <c r="G26" i="19"/>
  <c r="G24" i="19"/>
  <c r="T24" i="19" s="1"/>
  <c r="H23" i="49" s="1"/>
  <c r="G18" i="19"/>
  <c r="T18" i="19" s="1"/>
  <c r="H17" i="49" s="1"/>
  <c r="G10" i="19"/>
  <c r="G217" i="19"/>
  <c r="T217" i="19" s="1"/>
  <c r="H216" i="49" s="1"/>
  <c r="G215" i="19"/>
  <c r="T215" i="19" s="1"/>
  <c r="H214" i="49" s="1"/>
  <c r="G211" i="19"/>
  <c r="G209" i="19"/>
  <c r="G207" i="19"/>
  <c r="T207" i="19" s="1"/>
  <c r="H206" i="49" s="1"/>
  <c r="G199" i="19"/>
  <c r="T199" i="19" s="1"/>
  <c r="H198" i="49" s="1"/>
  <c r="G191" i="19"/>
  <c r="T191" i="19" s="1"/>
  <c r="H190" i="49" s="1"/>
  <c r="G185" i="19"/>
  <c r="T185" i="19" s="1"/>
  <c r="H184" i="49" s="1"/>
  <c r="G183" i="19"/>
  <c r="G181" i="19"/>
  <c r="T181" i="19" s="1"/>
  <c r="H180" i="49" s="1"/>
  <c r="G177" i="19"/>
  <c r="T177" i="19" s="1"/>
  <c r="H176" i="49" s="1"/>
  <c r="G173" i="19"/>
  <c r="G167" i="19"/>
  <c r="T167" i="19" s="1"/>
  <c r="H166" i="49" s="1"/>
  <c r="G165" i="19"/>
  <c r="T165" i="19" s="1"/>
  <c r="H164" i="49" s="1"/>
  <c r="G163" i="19"/>
  <c r="T163" i="19" s="1"/>
  <c r="H162" i="49" s="1"/>
  <c r="G159" i="19"/>
  <c r="G157" i="19"/>
  <c r="G155" i="19"/>
  <c r="T155" i="19" s="1"/>
  <c r="H154" i="49" s="1"/>
  <c r="G151" i="19"/>
  <c r="G149" i="19"/>
  <c r="T149" i="19" s="1"/>
  <c r="H148" i="49" s="1"/>
  <c r="G147" i="19"/>
  <c r="T147" i="19" s="1"/>
  <c r="H146" i="49" s="1"/>
  <c r="G143" i="19"/>
  <c r="T143" i="19" s="1"/>
  <c r="H142" i="49" s="1"/>
  <c r="G141" i="19"/>
  <c r="T141" i="19" s="1"/>
  <c r="H140" i="49" s="1"/>
  <c r="G139" i="19"/>
  <c r="T139" i="19" s="1"/>
  <c r="H138" i="49" s="1"/>
  <c r="G135" i="19"/>
  <c r="G133" i="19"/>
  <c r="G131" i="19"/>
  <c r="T131" i="19" s="1"/>
  <c r="H130" i="49" s="1"/>
  <c r="G127" i="19"/>
  <c r="T127" i="19" s="1"/>
  <c r="H126" i="49" s="1"/>
  <c r="G125" i="19"/>
  <c r="G123" i="19"/>
  <c r="G119" i="19"/>
  <c r="T119" i="19" s="1"/>
  <c r="H118" i="49" s="1"/>
  <c r="G117" i="19"/>
  <c r="T117" i="19" s="1"/>
  <c r="H116" i="49" s="1"/>
  <c r="G115" i="19"/>
  <c r="G111" i="19"/>
  <c r="T111" i="19" s="1"/>
  <c r="H110" i="49" s="1"/>
  <c r="G109" i="19"/>
  <c r="G107" i="19"/>
  <c r="G103" i="19"/>
  <c r="T103" i="19" s="1"/>
  <c r="H102" i="49" s="1"/>
  <c r="G101" i="19"/>
  <c r="T101" i="19" s="1"/>
  <c r="H100" i="49" s="1"/>
  <c r="G99" i="19"/>
  <c r="T99" i="19" s="1"/>
  <c r="H98" i="49" s="1"/>
  <c r="G91" i="19"/>
  <c r="T91" i="19" s="1"/>
  <c r="H90" i="49" s="1"/>
  <c r="G83" i="19"/>
  <c r="G75" i="19"/>
  <c r="T75" i="19" s="1"/>
  <c r="H74" i="49" s="1"/>
  <c r="G67" i="19"/>
  <c r="T67" i="19" s="1"/>
  <c r="H66" i="49" s="1"/>
  <c r="G59" i="19"/>
  <c r="T59" i="19" s="1"/>
  <c r="H58" i="49" s="1"/>
  <c r="G51" i="19"/>
  <c r="T51" i="19" s="1"/>
  <c r="H50" i="49" s="1"/>
  <c r="G43" i="19"/>
  <c r="T43" i="19" s="1"/>
  <c r="H42" i="49" s="1"/>
  <c r="G35" i="19"/>
  <c r="G27" i="19"/>
  <c r="T27" i="19" s="1"/>
  <c r="H26" i="49" s="1"/>
  <c r="G21" i="19"/>
  <c r="G19" i="19"/>
  <c r="G17" i="19"/>
  <c r="T17" i="19" s="1"/>
  <c r="H16" i="49" s="1"/>
  <c r="G13" i="19"/>
  <c r="G11" i="19"/>
  <c r="T11" i="19" s="1"/>
  <c r="H10" i="49" s="1"/>
  <c r="G9" i="19"/>
  <c r="T9" i="19" s="1"/>
  <c r="H8" i="49" s="1"/>
  <c r="Y200" i="19"/>
  <c r="C198" i="32" s="1"/>
  <c r="E198" i="32" s="1"/>
  <c r="Y216" i="19"/>
  <c r="C214" i="32" s="1"/>
  <c r="E214" i="32" s="1"/>
  <c r="Y208" i="19"/>
  <c r="C206" i="32" s="1"/>
  <c r="E206" i="32" s="1"/>
  <c r="Y88" i="19"/>
  <c r="C86" i="32" s="1"/>
  <c r="E86" i="32" s="1"/>
  <c r="Y80" i="19"/>
  <c r="C78" i="32" s="1"/>
  <c r="E78" i="32" s="1"/>
  <c r="Y173" i="19"/>
  <c r="C171" i="32" s="1"/>
  <c r="E171" i="32" s="1"/>
  <c r="Y125" i="19"/>
  <c r="C123" i="32" s="1"/>
  <c r="E123" i="32" s="1"/>
  <c r="Y53" i="19"/>
  <c r="C51" i="32" s="1"/>
  <c r="E51" i="32" s="1"/>
  <c r="Y37" i="19"/>
  <c r="C35" i="32" s="1"/>
  <c r="E35" i="32" s="1"/>
  <c r="Y314" i="19"/>
  <c r="C312" i="32" s="1"/>
  <c r="E312" i="32" s="1"/>
  <c r="Y306" i="19"/>
  <c r="C304" i="32" s="1"/>
  <c r="E304" i="32" s="1"/>
  <c r="Y298" i="19"/>
  <c r="C296" i="32" s="1"/>
  <c r="E296" i="32" s="1"/>
  <c r="Y290" i="19"/>
  <c r="C288" i="32" s="1"/>
  <c r="E288" i="32" s="1"/>
  <c r="Y282" i="19"/>
  <c r="C280" i="32" s="1"/>
  <c r="E280" i="32" s="1"/>
  <c r="Y274" i="19"/>
  <c r="C272" i="32" s="1"/>
  <c r="E272" i="32" s="1"/>
  <c r="Y266" i="19"/>
  <c r="C264" i="32" s="1"/>
  <c r="E264" i="32" s="1"/>
  <c r="Y258" i="19"/>
  <c r="C256" i="32" s="1"/>
  <c r="E256" i="32" s="1"/>
  <c r="Y250" i="19"/>
  <c r="C248" i="32" s="1"/>
  <c r="E248" i="32" s="1"/>
  <c r="Y242" i="19"/>
  <c r="C240" i="32" s="1"/>
  <c r="E240" i="32" s="1"/>
  <c r="Y234" i="19"/>
  <c r="C232" i="32" s="1"/>
  <c r="E232" i="32" s="1"/>
  <c r="Y226" i="19"/>
  <c r="C224" i="32" s="1"/>
  <c r="E224" i="32" s="1"/>
  <c r="Y170" i="19"/>
  <c r="C168" i="32" s="1"/>
  <c r="E168" i="32" s="1"/>
  <c r="Y162" i="19"/>
  <c r="C160" i="32" s="1"/>
  <c r="E160" i="32" s="1"/>
  <c r="Y154" i="19"/>
  <c r="C152" i="32" s="1"/>
  <c r="E152" i="32" s="1"/>
  <c r="Y146" i="19"/>
  <c r="C144" i="32" s="1"/>
  <c r="E144" i="32" s="1"/>
  <c r="Y138" i="19"/>
  <c r="C136" i="32" s="1"/>
  <c r="E136" i="32" s="1"/>
  <c r="Y10" i="19"/>
  <c r="C8" i="32" s="1"/>
  <c r="E8" i="32" s="1"/>
  <c r="Y232" i="19"/>
  <c r="C230" i="32" s="1"/>
  <c r="E230" i="32" s="1"/>
  <c r="Y192" i="19"/>
  <c r="C190" i="32" s="1"/>
  <c r="E190" i="32" s="1"/>
  <c r="Y184" i="19"/>
  <c r="C182" i="32" s="1"/>
  <c r="E182" i="32" s="1"/>
  <c r="Y136" i="19"/>
  <c r="C134" i="32" s="1"/>
  <c r="E134" i="32" s="1"/>
  <c r="Y128" i="19"/>
  <c r="C126" i="32" s="1"/>
  <c r="E126" i="32" s="1"/>
  <c r="Y120" i="19"/>
  <c r="C118" i="32" s="1"/>
  <c r="E118" i="32" s="1"/>
  <c r="Y64" i="19"/>
  <c r="C62" i="32" s="1"/>
  <c r="E62" i="32" s="1"/>
  <c r="Y40" i="19"/>
  <c r="C38" i="32" s="1"/>
  <c r="E38" i="32" s="1"/>
  <c r="Y8" i="19"/>
  <c r="C6" i="32" s="1"/>
  <c r="E6" i="32" s="1"/>
  <c r="Y165" i="19"/>
  <c r="C163" i="32" s="1"/>
  <c r="E163" i="32" s="1"/>
  <c r="Y157" i="19"/>
  <c r="C155" i="32" s="1"/>
  <c r="E155" i="32" s="1"/>
  <c r="Y109" i="19"/>
  <c r="C107" i="32" s="1"/>
  <c r="E107" i="32" s="1"/>
  <c r="Y45" i="19"/>
  <c r="C43" i="32" s="1"/>
  <c r="E43" i="32" s="1"/>
  <c r="Y29" i="19"/>
  <c r="C27" i="32" s="1"/>
  <c r="E27" i="32" s="1"/>
  <c r="Y224" i="19"/>
  <c r="C222" i="32" s="1"/>
  <c r="E222" i="32" s="1"/>
  <c r="Y144" i="19"/>
  <c r="C142" i="32" s="1"/>
  <c r="E142" i="32" s="1"/>
  <c r="Y112" i="19"/>
  <c r="C110" i="32" s="1"/>
  <c r="E110" i="32" s="1"/>
  <c r="Y104" i="19"/>
  <c r="C102" i="32" s="1"/>
  <c r="E102" i="32" s="1"/>
  <c r="Y96" i="19"/>
  <c r="C94" i="32" s="1"/>
  <c r="E94" i="32" s="1"/>
  <c r="Y72" i="19"/>
  <c r="C70" i="32" s="1"/>
  <c r="E70" i="32" s="1"/>
  <c r="Y56" i="19"/>
  <c r="C54" i="32" s="1"/>
  <c r="E54" i="32" s="1"/>
  <c r="Y24" i="19"/>
  <c r="C22" i="32" s="1"/>
  <c r="E22" i="32" s="1"/>
  <c r="Y16" i="19"/>
  <c r="C14" i="32" s="1"/>
  <c r="E14" i="32" s="1"/>
  <c r="Y213" i="19"/>
  <c r="C211" i="32" s="1"/>
  <c r="E211" i="32" s="1"/>
  <c r="Y205" i="19"/>
  <c r="C203" i="32" s="1"/>
  <c r="E203" i="32" s="1"/>
  <c r="Y181" i="19"/>
  <c r="C179" i="32" s="1"/>
  <c r="E179" i="32" s="1"/>
  <c r="Y149" i="19"/>
  <c r="C147" i="32" s="1"/>
  <c r="E147" i="32" s="1"/>
  <c r="Y93" i="19"/>
  <c r="C91" i="32" s="1"/>
  <c r="E91" i="32" s="1"/>
  <c r="Y77" i="19"/>
  <c r="C75" i="32" s="1"/>
  <c r="E75" i="32" s="1"/>
  <c r="Y137" i="19"/>
  <c r="C135" i="32" s="1"/>
  <c r="E135" i="32" s="1"/>
  <c r="Y57" i="19"/>
  <c r="C55" i="32" s="1"/>
  <c r="E55" i="32" s="1"/>
  <c r="Y49" i="19"/>
  <c r="C47" i="32" s="1"/>
  <c r="E47" i="32" s="1"/>
  <c r="Y41" i="19"/>
  <c r="C39" i="32" s="1"/>
  <c r="E39" i="32" s="1"/>
  <c r="Y33" i="19"/>
  <c r="C31" i="32" s="1"/>
  <c r="E31" i="32" s="1"/>
  <c r="Y25" i="19"/>
  <c r="C23" i="32" s="1"/>
  <c r="E23" i="32" s="1"/>
  <c r="Y17" i="19"/>
  <c r="C15" i="32" s="1"/>
  <c r="E15" i="32" s="1"/>
  <c r="Y9" i="19"/>
  <c r="C7" i="32" s="1"/>
  <c r="E7" i="32" s="1"/>
  <c r="Y13" i="19"/>
  <c r="C11" i="32" s="1"/>
  <c r="E11" i="32" s="1"/>
  <c r="Y130" i="19"/>
  <c r="C128" i="32" s="1"/>
  <c r="E128" i="32" s="1"/>
  <c r="Y122" i="19"/>
  <c r="C120" i="32" s="1"/>
  <c r="E120" i="32" s="1"/>
  <c r="Y114" i="19"/>
  <c r="C112" i="32" s="1"/>
  <c r="E112" i="32" s="1"/>
  <c r="Y106" i="19"/>
  <c r="C104" i="32" s="1"/>
  <c r="E104" i="32" s="1"/>
  <c r="Y98" i="19"/>
  <c r="C96" i="32" s="1"/>
  <c r="E96" i="32" s="1"/>
  <c r="Y90" i="19"/>
  <c r="C88" i="32" s="1"/>
  <c r="E88" i="32" s="1"/>
  <c r="Y82" i="19"/>
  <c r="C80" i="32" s="1"/>
  <c r="E80" i="32" s="1"/>
  <c r="Y74" i="19"/>
  <c r="C72" i="32" s="1"/>
  <c r="E72" i="32" s="1"/>
  <c r="Y66" i="19"/>
  <c r="C64" i="32" s="1"/>
  <c r="E64" i="32" s="1"/>
  <c r="Y58" i="19"/>
  <c r="C56" i="32" s="1"/>
  <c r="E56" i="32" s="1"/>
  <c r="Y50" i="19"/>
  <c r="C48" i="32" s="1"/>
  <c r="E48" i="32" s="1"/>
  <c r="Y42" i="19"/>
  <c r="C40" i="32" s="1"/>
  <c r="E40" i="32" s="1"/>
  <c r="Y34" i="19"/>
  <c r="C32" i="32" s="1"/>
  <c r="E32" i="32" s="1"/>
  <c r="Y26" i="19"/>
  <c r="C24" i="32" s="1"/>
  <c r="E24" i="32" s="1"/>
  <c r="Y18" i="19"/>
  <c r="C16" i="32" s="1"/>
  <c r="E16" i="32" s="1"/>
  <c r="Y183" i="19"/>
  <c r="C181" i="32" s="1"/>
  <c r="E181" i="32" s="1"/>
  <c r="Y151" i="19"/>
  <c r="C149" i="32" s="1"/>
  <c r="E149" i="32" s="1"/>
  <c r="Y55" i="19"/>
  <c r="C53" i="32" s="1"/>
  <c r="E53" i="32" s="1"/>
  <c r="Y47" i="19"/>
  <c r="C45" i="32" s="1"/>
  <c r="E45" i="32" s="1"/>
  <c r="Y39" i="19"/>
  <c r="C37" i="32" s="1"/>
  <c r="E37" i="32" s="1"/>
  <c r="Y31" i="19"/>
  <c r="C29" i="32" s="1"/>
  <c r="E29" i="32" s="1"/>
  <c r="Y15" i="19"/>
  <c r="C13" i="32" s="1"/>
  <c r="E13" i="32" s="1"/>
  <c r="L170" i="13"/>
  <c r="M170" i="13" s="1"/>
  <c r="L219" i="13"/>
  <c r="M219" i="13" s="1"/>
  <c r="L244" i="13"/>
  <c r="M244" i="13" s="1"/>
  <c r="Y171" i="19"/>
  <c r="C169" i="32" s="1"/>
  <c r="E169" i="32" s="1"/>
  <c r="G171" i="19"/>
  <c r="T171" i="19" s="1"/>
  <c r="H170" i="49" s="1"/>
  <c r="Y220" i="19"/>
  <c r="C218" i="32" s="1"/>
  <c r="E218" i="32" s="1"/>
  <c r="G220" i="19"/>
  <c r="T220" i="19" s="1"/>
  <c r="H219" i="49" s="1"/>
  <c r="Y245" i="19"/>
  <c r="C243" i="32" s="1"/>
  <c r="E243" i="32" s="1"/>
  <c r="G245" i="19"/>
  <c r="T245" i="19" s="1"/>
  <c r="H244" i="49" s="1"/>
  <c r="Y61" i="19"/>
  <c r="C59" i="32" s="1"/>
  <c r="E59" i="32" s="1"/>
  <c r="Y132" i="19"/>
  <c r="C130" i="32" s="1"/>
  <c r="E130" i="32" s="1"/>
  <c r="T241" i="19" l="1"/>
  <c r="H240" i="49" s="1"/>
  <c r="R241" i="19"/>
  <c r="R240" i="19"/>
  <c r="T240" i="19"/>
  <c r="H239" i="49" s="1"/>
  <c r="T239" i="19"/>
  <c r="H238" i="49" s="1"/>
  <c r="R239" i="19"/>
  <c r="R287" i="19"/>
  <c r="R263" i="19"/>
  <c r="R212" i="19"/>
  <c r="R31" i="19"/>
  <c r="R279" i="19"/>
  <c r="R15" i="19"/>
  <c r="R159" i="19"/>
  <c r="R47" i="19"/>
  <c r="R48" i="19"/>
  <c r="R170" i="19"/>
  <c r="R283" i="19"/>
  <c r="R315" i="19"/>
  <c r="R88" i="19"/>
  <c r="R87" i="19"/>
  <c r="R57" i="19"/>
  <c r="R215" i="19"/>
  <c r="R196" i="19"/>
  <c r="R16" i="19"/>
  <c r="R135" i="19"/>
  <c r="R213" i="19"/>
  <c r="R10" i="19"/>
  <c r="R82" i="19"/>
  <c r="R225" i="19"/>
  <c r="R265" i="19"/>
  <c r="R74" i="19"/>
  <c r="R153" i="19"/>
  <c r="R71" i="19"/>
  <c r="T57" i="19"/>
  <c r="H56" i="49" s="1"/>
  <c r="R30" i="19"/>
  <c r="R46" i="19"/>
  <c r="R193" i="19"/>
  <c r="T287" i="19"/>
  <c r="H286" i="49" s="1"/>
  <c r="R264" i="19"/>
  <c r="R93" i="19"/>
  <c r="R182" i="19"/>
  <c r="R142" i="19"/>
  <c r="R203" i="19"/>
  <c r="R165" i="19"/>
  <c r="R232" i="19"/>
  <c r="R22" i="19"/>
  <c r="R32" i="19"/>
  <c r="R268" i="19"/>
  <c r="R69" i="19"/>
  <c r="R147" i="19"/>
  <c r="R143" i="19"/>
  <c r="R41" i="19"/>
  <c r="R303" i="19"/>
  <c r="T47" i="19"/>
  <c r="H46" i="49" s="1"/>
  <c r="T10" i="19"/>
  <c r="H9" i="49" s="1"/>
  <c r="R112" i="19"/>
  <c r="R197" i="19"/>
  <c r="R286" i="19"/>
  <c r="R133" i="19"/>
  <c r="R223" i="19"/>
  <c r="R95" i="19"/>
  <c r="R80" i="19"/>
  <c r="R43" i="19"/>
  <c r="R108" i="19"/>
  <c r="R172" i="19"/>
  <c r="R120" i="19"/>
  <c r="R38" i="19"/>
  <c r="R115" i="19"/>
  <c r="R185" i="19"/>
  <c r="R60" i="19"/>
  <c r="R23" i="19"/>
  <c r="R76" i="19"/>
  <c r="T87" i="19"/>
  <c r="H86" i="49" s="1"/>
  <c r="R117" i="19"/>
  <c r="R253" i="19"/>
  <c r="R206" i="19"/>
  <c r="R50" i="19"/>
  <c r="R139" i="19"/>
  <c r="R24" i="19"/>
  <c r="T159" i="19"/>
  <c r="H158" i="49" s="1"/>
  <c r="T82" i="19"/>
  <c r="H81" i="49" s="1"/>
  <c r="T31" i="19"/>
  <c r="H30" i="49" s="1"/>
  <c r="R109" i="19"/>
  <c r="R238" i="19"/>
  <c r="R179" i="19"/>
  <c r="R119" i="19"/>
  <c r="R247" i="19"/>
  <c r="R313" i="19"/>
  <c r="R34" i="19"/>
  <c r="R300" i="19"/>
  <c r="R56" i="19"/>
  <c r="R184" i="19"/>
  <c r="R141" i="19"/>
  <c r="R157" i="19"/>
  <c r="R183" i="19"/>
  <c r="R100" i="19"/>
  <c r="R191" i="19"/>
  <c r="R255" i="19"/>
  <c r="R101" i="19"/>
  <c r="R271" i="19"/>
  <c r="R234" i="19"/>
  <c r="R64" i="19"/>
  <c r="R285" i="19"/>
  <c r="R91" i="19"/>
  <c r="R65" i="19"/>
  <c r="R162" i="19"/>
  <c r="R195" i="19"/>
  <c r="R35" i="19"/>
  <c r="R307" i="19"/>
  <c r="R174" i="19"/>
  <c r="R81" i="19"/>
  <c r="T153" i="19"/>
  <c r="H152" i="49" s="1"/>
  <c r="R281" i="19"/>
  <c r="R29" i="19"/>
  <c r="T133" i="19"/>
  <c r="H132" i="49" s="1"/>
  <c r="R221" i="19"/>
  <c r="R258" i="19"/>
  <c r="R237" i="19"/>
  <c r="R309" i="19"/>
  <c r="R207" i="19"/>
  <c r="R243" i="19"/>
  <c r="R113" i="19"/>
  <c r="R89" i="19"/>
  <c r="R299" i="19"/>
  <c r="R126" i="19"/>
  <c r="R145" i="19"/>
  <c r="R154" i="19"/>
  <c r="T35" i="19"/>
  <c r="H34" i="49" s="1"/>
  <c r="T307" i="19"/>
  <c r="H306" i="49" s="1"/>
  <c r="R62" i="19"/>
  <c r="R308" i="19"/>
  <c r="R84" i="19"/>
  <c r="R276" i="19"/>
  <c r="R288" i="19"/>
  <c r="R14" i="19"/>
  <c r="R127" i="19"/>
  <c r="R121" i="19"/>
  <c r="R201" i="19"/>
  <c r="R274" i="19"/>
  <c r="R33" i="19"/>
  <c r="R161" i="19"/>
  <c r="R146" i="19"/>
  <c r="R49" i="19"/>
  <c r="R12" i="19"/>
  <c r="R302" i="19"/>
  <c r="R155" i="19"/>
  <c r="R129" i="19"/>
  <c r="R231" i="19"/>
  <c r="R122" i="19"/>
  <c r="R169" i="19"/>
  <c r="R199" i="19"/>
  <c r="R86" i="19"/>
  <c r="R150" i="19"/>
  <c r="R214" i="19"/>
  <c r="R151" i="19"/>
  <c r="R211" i="19"/>
  <c r="R94" i="19"/>
  <c r="R305" i="19"/>
  <c r="R79" i="19"/>
  <c r="R289" i="19"/>
  <c r="R272" i="19"/>
  <c r="R28" i="19"/>
  <c r="R168" i="19"/>
  <c r="R227" i="19"/>
  <c r="R295" i="19"/>
  <c r="R114" i="19"/>
  <c r="R298" i="19"/>
  <c r="R110" i="19"/>
  <c r="R301" i="19"/>
  <c r="R228" i="19"/>
  <c r="R304" i="19"/>
  <c r="R222" i="19"/>
  <c r="R19" i="19"/>
  <c r="R102" i="19"/>
  <c r="R256" i="19"/>
  <c r="T272" i="19"/>
  <c r="H271" i="49" s="1"/>
  <c r="T49" i="19"/>
  <c r="H48" i="49" s="1"/>
  <c r="R235" i="19"/>
  <c r="T12" i="19"/>
  <c r="H11" i="49" s="1"/>
  <c r="R27" i="19"/>
  <c r="T115" i="19"/>
  <c r="H114" i="49" s="1"/>
  <c r="T183" i="19"/>
  <c r="H182" i="49" s="1"/>
  <c r="T283" i="19"/>
  <c r="H282" i="49" s="1"/>
  <c r="R128" i="19"/>
  <c r="T129" i="19"/>
  <c r="H128" i="49" s="1"/>
  <c r="R118" i="19"/>
  <c r="T74" i="19"/>
  <c r="H73" i="49" s="1"/>
  <c r="R262" i="19"/>
  <c r="R178" i="19"/>
  <c r="R242" i="19"/>
  <c r="R306" i="19"/>
  <c r="R8" i="19"/>
  <c r="R72" i="19"/>
  <c r="R163" i="19"/>
  <c r="R18" i="19"/>
  <c r="R200" i="19"/>
  <c r="R257" i="19"/>
  <c r="R40" i="19"/>
  <c r="R310" i="19"/>
  <c r="R249" i="19"/>
  <c r="R77" i="19"/>
  <c r="R83" i="19"/>
  <c r="R224" i="19"/>
  <c r="R180" i="19"/>
  <c r="R175" i="19"/>
  <c r="T157" i="19"/>
  <c r="H156" i="49" s="1"/>
  <c r="R105" i="19"/>
  <c r="R130" i="19"/>
  <c r="R312" i="19"/>
  <c r="T305" i="19"/>
  <c r="H304" i="49" s="1"/>
  <c r="T114" i="19"/>
  <c r="H113" i="49" s="1"/>
  <c r="R138" i="19"/>
  <c r="T109" i="19"/>
  <c r="H108" i="49" s="1"/>
  <c r="R136" i="19"/>
  <c r="R134" i="19"/>
  <c r="R198" i="19"/>
  <c r="R125" i="19"/>
  <c r="R167" i="19"/>
  <c r="R26" i="19"/>
  <c r="R291" i="19"/>
  <c r="R273" i="19"/>
  <c r="R96" i="19"/>
  <c r="R158" i="19"/>
  <c r="R294" i="19"/>
  <c r="R42" i="19"/>
  <c r="T135" i="19"/>
  <c r="H134" i="49" s="1"/>
  <c r="T26" i="19"/>
  <c r="H25" i="49" s="1"/>
  <c r="R284" i="19"/>
  <c r="R116" i="19"/>
  <c r="R244" i="19"/>
  <c r="T211" i="19"/>
  <c r="H210" i="49" s="1"/>
  <c r="T243" i="19"/>
  <c r="H242" i="49" s="1"/>
  <c r="R250" i="19"/>
  <c r="R314" i="19"/>
  <c r="R137" i="19"/>
  <c r="T151" i="19"/>
  <c r="H150" i="49" s="1"/>
  <c r="R233" i="19"/>
  <c r="R68" i="19"/>
  <c r="R55" i="19"/>
  <c r="T289" i="19"/>
  <c r="H288" i="49" s="1"/>
  <c r="T224" i="19"/>
  <c r="H223" i="49" s="1"/>
  <c r="T158" i="19"/>
  <c r="H157" i="49" s="1"/>
  <c r="R52" i="19"/>
  <c r="R99" i="19"/>
  <c r="T201" i="19"/>
  <c r="H200" i="49" s="1"/>
  <c r="T77" i="19"/>
  <c r="H76" i="49" s="1"/>
  <c r="R111" i="19"/>
  <c r="T295" i="19"/>
  <c r="H294" i="49" s="1"/>
  <c r="T79" i="19"/>
  <c r="H78" i="49" s="1"/>
  <c r="R160" i="19"/>
  <c r="R37" i="19"/>
  <c r="R148" i="19"/>
  <c r="R189" i="19"/>
  <c r="R311" i="19"/>
  <c r="T294" i="19"/>
  <c r="H293" i="49" s="1"/>
  <c r="T83" i="19"/>
  <c r="H82" i="49" s="1"/>
  <c r="R131" i="19"/>
  <c r="T94" i="19"/>
  <c r="H93" i="49" s="1"/>
  <c r="T227" i="19"/>
  <c r="H226" i="49" s="1"/>
  <c r="R36" i="19"/>
  <c r="R164" i="19"/>
  <c r="R292" i="19"/>
  <c r="R104" i="19"/>
  <c r="R296" i="19"/>
  <c r="R53" i="19"/>
  <c r="R181" i="19"/>
  <c r="R13" i="19"/>
  <c r="R59" i="19"/>
  <c r="R107" i="19"/>
  <c r="R173" i="19"/>
  <c r="R209" i="19"/>
  <c r="R70" i="19"/>
  <c r="R92" i="19"/>
  <c r="R188" i="19"/>
  <c r="R251" i="19"/>
  <c r="R278" i="19"/>
  <c r="R248" i="19"/>
  <c r="R166" i="19"/>
  <c r="R11" i="19"/>
  <c r="R275" i="19"/>
  <c r="R90" i="19"/>
  <c r="R98" i="19"/>
  <c r="R297" i="19"/>
  <c r="R73" i="19"/>
  <c r="R45" i="19"/>
  <c r="R210" i="19"/>
  <c r="R17" i="19"/>
  <c r="R51" i="19"/>
  <c r="R219" i="19"/>
  <c r="R259" i="19"/>
  <c r="R78" i="19"/>
  <c r="R266" i="19"/>
  <c r="R85" i="19"/>
  <c r="R216" i="19"/>
  <c r="R106" i="19"/>
  <c r="R75" i="19"/>
  <c r="R192" i="19"/>
  <c r="R205" i="19"/>
  <c r="R230" i="19"/>
  <c r="R194" i="19"/>
  <c r="R226" i="19"/>
  <c r="R204" i="19"/>
  <c r="T249" i="19"/>
  <c r="H248" i="49" s="1"/>
  <c r="T189" i="19"/>
  <c r="H188" i="49" s="1"/>
  <c r="R290" i="19"/>
  <c r="T19" i="19"/>
  <c r="H18" i="49" s="1"/>
  <c r="R103" i="19"/>
  <c r="T125" i="19"/>
  <c r="H124" i="49" s="1"/>
  <c r="R267" i="19"/>
  <c r="T291" i="19"/>
  <c r="H290" i="49" s="1"/>
  <c r="R63" i="19"/>
  <c r="R144" i="19"/>
  <c r="R39" i="19"/>
  <c r="R132" i="19"/>
  <c r="R190" i="19"/>
  <c r="R246" i="19"/>
  <c r="T40" i="19"/>
  <c r="H39" i="49" s="1"/>
  <c r="R186" i="19"/>
  <c r="R156" i="19"/>
  <c r="R177" i="19"/>
  <c r="R58" i="19"/>
  <c r="R236" i="19"/>
  <c r="R277" i="19"/>
  <c r="R218" i="19"/>
  <c r="R282" i="19"/>
  <c r="R20" i="19"/>
  <c r="R152" i="19"/>
  <c r="R280" i="19"/>
  <c r="R229" i="19"/>
  <c r="R254" i="19"/>
  <c r="R9" i="19"/>
  <c r="R123" i="19"/>
  <c r="R44" i="19"/>
  <c r="R66" i="19"/>
  <c r="R176" i="19"/>
  <c r="R202" i="19"/>
  <c r="R61" i="19"/>
  <c r="R187" i="19"/>
  <c r="R149" i="19"/>
  <c r="T209" i="19"/>
  <c r="H208" i="49" s="1"/>
  <c r="T225" i="19"/>
  <c r="H224" i="49" s="1"/>
  <c r="R293" i="19"/>
  <c r="T50" i="19"/>
  <c r="H49" i="49" s="1"/>
  <c r="T92" i="19"/>
  <c r="H91" i="49" s="1"/>
  <c r="R97" i="19"/>
  <c r="T107" i="19"/>
  <c r="H106" i="49" s="1"/>
  <c r="R67" i="19"/>
  <c r="R270" i="19"/>
  <c r="R261" i="19"/>
  <c r="T123" i="19"/>
  <c r="H122" i="49" s="1"/>
  <c r="T70" i="19"/>
  <c r="H69" i="49" s="1"/>
  <c r="T187" i="19"/>
  <c r="H186" i="49" s="1"/>
  <c r="T257" i="19"/>
  <c r="H256" i="49" s="1"/>
  <c r="T13" i="19"/>
  <c r="H12" i="49" s="1"/>
  <c r="T173" i="19"/>
  <c r="H172" i="49" s="1"/>
  <c r="T54" i="19"/>
  <c r="H53" i="49" s="1"/>
  <c r="R54" i="19"/>
  <c r="R208" i="19"/>
  <c r="R252" i="19"/>
  <c r="R124" i="19"/>
  <c r="T121" i="19"/>
  <c r="H120" i="49" s="1"/>
  <c r="R25" i="19"/>
  <c r="R269" i="19"/>
  <c r="T61" i="19"/>
  <c r="H60" i="49" s="1"/>
  <c r="T274" i="19"/>
  <c r="H273" i="49" s="1"/>
  <c r="R260" i="19"/>
  <c r="R140" i="19"/>
  <c r="R21" i="19"/>
  <c r="R217" i="19"/>
  <c r="T21" i="19"/>
  <c r="H20" i="49" s="1"/>
  <c r="R220" i="19"/>
  <c r="R171" i="19"/>
  <c r="F170" i="49" s="1"/>
  <c r="R245" i="19"/>
  <c r="F244" i="49" s="1"/>
  <c r="U202" i="19" l="1"/>
  <c r="F201" i="49"/>
  <c r="U280" i="19"/>
  <c r="C278" i="33" s="1"/>
  <c r="E278" i="33" s="1"/>
  <c r="F279" i="49"/>
  <c r="U177" i="19"/>
  <c r="F176" i="49"/>
  <c r="U144" i="19"/>
  <c r="C142" i="33" s="1"/>
  <c r="E142" i="33" s="1"/>
  <c r="F143" i="49"/>
  <c r="U75" i="19"/>
  <c r="C73" i="33" s="1"/>
  <c r="E73" i="33" s="1"/>
  <c r="F74" i="49"/>
  <c r="U51" i="19"/>
  <c r="F50" i="49"/>
  <c r="U275" i="19"/>
  <c r="F274" i="49"/>
  <c r="U70" i="19"/>
  <c r="C68" i="33" s="1"/>
  <c r="E68" i="33" s="1"/>
  <c r="F69" i="49"/>
  <c r="U296" i="19"/>
  <c r="F295" i="49"/>
  <c r="U294" i="19"/>
  <c r="C292" i="33" s="1"/>
  <c r="E292" i="33" s="1"/>
  <c r="F293" i="49"/>
  <c r="U198" i="19"/>
  <c r="F197" i="49"/>
  <c r="U249" i="19"/>
  <c r="C247" i="33" s="1"/>
  <c r="E247" i="33" s="1"/>
  <c r="F248" i="49"/>
  <c r="U8" i="19"/>
  <c r="C6" i="33" s="1"/>
  <c r="E6" i="33" s="1"/>
  <c r="F7" i="49"/>
  <c r="U128" i="19"/>
  <c r="C126" i="33" s="1"/>
  <c r="E126" i="33" s="1"/>
  <c r="F127" i="49"/>
  <c r="U110" i="19"/>
  <c r="F109" i="49"/>
  <c r="U289" i="19"/>
  <c r="C287" i="33" s="1"/>
  <c r="E287" i="33" s="1"/>
  <c r="F288" i="49"/>
  <c r="U86" i="19"/>
  <c r="F85" i="49"/>
  <c r="U12" i="19"/>
  <c r="C10" i="33" s="1"/>
  <c r="E10" i="33" s="1"/>
  <c r="F11" i="49"/>
  <c r="U127" i="19"/>
  <c r="C125" i="33" s="1"/>
  <c r="E125" i="33" s="1"/>
  <c r="F126" i="49"/>
  <c r="U207" i="19"/>
  <c r="F206" i="49"/>
  <c r="U91" i="19"/>
  <c r="F90" i="49"/>
  <c r="U100" i="19"/>
  <c r="F99" i="49"/>
  <c r="U313" i="19"/>
  <c r="C311" i="33" s="1"/>
  <c r="E311" i="33" s="1"/>
  <c r="F312" i="49"/>
  <c r="U76" i="19"/>
  <c r="C74" i="33" s="1"/>
  <c r="E74" i="33" s="1"/>
  <c r="F75" i="49"/>
  <c r="U108" i="19"/>
  <c r="F107" i="49"/>
  <c r="U112" i="19"/>
  <c r="F111" i="49"/>
  <c r="U268" i="19"/>
  <c r="C266" i="33" s="1"/>
  <c r="E266" i="33" s="1"/>
  <c r="F267" i="49"/>
  <c r="U93" i="19"/>
  <c r="C91" i="33" s="1"/>
  <c r="E91" i="33" s="1"/>
  <c r="F92" i="49"/>
  <c r="U153" i="19"/>
  <c r="F152" i="49"/>
  <c r="U16" i="19"/>
  <c r="C14" i="33" s="1"/>
  <c r="E14" i="33" s="1"/>
  <c r="F15" i="49"/>
  <c r="U170" i="19"/>
  <c r="F169" i="49"/>
  <c r="U263" i="19"/>
  <c r="F262" i="49"/>
  <c r="U252" i="19"/>
  <c r="C250" i="33" s="1"/>
  <c r="E250" i="33" s="1"/>
  <c r="F251" i="49"/>
  <c r="U176" i="19"/>
  <c r="C174" i="33" s="1"/>
  <c r="E174" i="33" s="1"/>
  <c r="F175" i="49"/>
  <c r="U152" i="19"/>
  <c r="C150" i="33" s="1"/>
  <c r="E150" i="33" s="1"/>
  <c r="F151" i="49"/>
  <c r="U156" i="19"/>
  <c r="C154" i="33" s="1"/>
  <c r="E154" i="33" s="1"/>
  <c r="F155" i="49"/>
  <c r="U63" i="19"/>
  <c r="C61" i="33" s="1"/>
  <c r="E61" i="33" s="1"/>
  <c r="F62" i="49"/>
  <c r="U106" i="19"/>
  <c r="C104" i="33" s="1"/>
  <c r="E104" i="33" s="1"/>
  <c r="F105" i="49"/>
  <c r="U17" i="19"/>
  <c r="C15" i="33" s="1"/>
  <c r="E15" i="33" s="1"/>
  <c r="F16" i="49"/>
  <c r="U11" i="19"/>
  <c r="C9" i="33" s="1"/>
  <c r="E9" i="33" s="1"/>
  <c r="F10" i="49"/>
  <c r="U209" i="19"/>
  <c r="C207" i="33" s="1"/>
  <c r="E207" i="33" s="1"/>
  <c r="F208" i="49"/>
  <c r="U104" i="19"/>
  <c r="C102" i="33" s="1"/>
  <c r="E102" i="33" s="1"/>
  <c r="F103" i="49"/>
  <c r="U111" i="19"/>
  <c r="C109" i="33" s="1"/>
  <c r="E109" i="33" s="1"/>
  <c r="F110" i="49"/>
  <c r="U55" i="19"/>
  <c r="C53" i="33" s="1"/>
  <c r="E53" i="33" s="1"/>
  <c r="F54" i="49"/>
  <c r="U158" i="19"/>
  <c r="C156" i="33" s="1"/>
  <c r="E156" i="33" s="1"/>
  <c r="F157" i="49"/>
  <c r="U134" i="19"/>
  <c r="C132" i="33" s="1"/>
  <c r="E132" i="33" s="1"/>
  <c r="F133" i="49"/>
  <c r="U105" i="19"/>
  <c r="C103" i="33" s="1"/>
  <c r="E103" i="33" s="1"/>
  <c r="F104" i="49"/>
  <c r="U310" i="19"/>
  <c r="C308" i="33" s="1"/>
  <c r="E308" i="33" s="1"/>
  <c r="F309" i="49"/>
  <c r="U306" i="19"/>
  <c r="C304" i="33" s="1"/>
  <c r="E304" i="33" s="1"/>
  <c r="F305" i="49"/>
  <c r="U256" i="19"/>
  <c r="C254" i="33" s="1"/>
  <c r="E254" i="33" s="1"/>
  <c r="F255" i="49"/>
  <c r="U298" i="19"/>
  <c r="C296" i="33" s="1"/>
  <c r="E296" i="33" s="1"/>
  <c r="F297" i="49"/>
  <c r="U79" i="19"/>
  <c r="C77" i="33" s="1"/>
  <c r="E77" i="33" s="1"/>
  <c r="F78" i="49"/>
  <c r="U199" i="19"/>
  <c r="C197" i="33" s="1"/>
  <c r="E197" i="33" s="1"/>
  <c r="F198" i="49"/>
  <c r="U49" i="19"/>
  <c r="C47" i="33" s="1"/>
  <c r="E47" i="33" s="1"/>
  <c r="F48" i="49"/>
  <c r="U14" i="19"/>
  <c r="C12" i="33" s="1"/>
  <c r="E12" i="33" s="1"/>
  <c r="F13" i="49"/>
  <c r="U154" i="19"/>
  <c r="C152" i="33" s="1"/>
  <c r="E152" i="33" s="1"/>
  <c r="F153" i="49"/>
  <c r="U309" i="19"/>
  <c r="C307" i="33" s="1"/>
  <c r="E307" i="33" s="1"/>
  <c r="F308" i="49"/>
  <c r="U81" i="19"/>
  <c r="C79" i="33" s="1"/>
  <c r="E79" i="33" s="1"/>
  <c r="F80" i="49"/>
  <c r="U285" i="19"/>
  <c r="C283" i="33" s="1"/>
  <c r="E283" i="33" s="1"/>
  <c r="F284" i="49"/>
  <c r="U183" i="19"/>
  <c r="C181" i="33" s="1"/>
  <c r="E181" i="33" s="1"/>
  <c r="F182" i="49"/>
  <c r="U247" i="19"/>
  <c r="C245" i="33" s="1"/>
  <c r="E245" i="33" s="1"/>
  <c r="F246" i="49"/>
  <c r="U24" i="19"/>
  <c r="C22" i="33" s="1"/>
  <c r="E22" i="33" s="1"/>
  <c r="F23" i="49"/>
  <c r="U23" i="19"/>
  <c r="C21" i="33" s="1"/>
  <c r="E21" i="33" s="1"/>
  <c r="F22" i="49"/>
  <c r="U43" i="19"/>
  <c r="C41" i="33" s="1"/>
  <c r="E41" i="33" s="1"/>
  <c r="F42" i="49"/>
  <c r="U32" i="19"/>
  <c r="C30" i="33" s="1"/>
  <c r="E30" i="33" s="1"/>
  <c r="F31" i="49"/>
  <c r="U264" i="19"/>
  <c r="C262" i="33" s="1"/>
  <c r="E262" i="33" s="1"/>
  <c r="F263" i="49"/>
  <c r="U74" i="19"/>
  <c r="C72" i="33" s="1"/>
  <c r="E72" i="33" s="1"/>
  <c r="F73" i="49"/>
  <c r="U196" i="19"/>
  <c r="C194" i="33" s="1"/>
  <c r="E194" i="33" s="1"/>
  <c r="F195" i="49"/>
  <c r="U48" i="19"/>
  <c r="C46" i="33" s="1"/>
  <c r="E46" i="33" s="1"/>
  <c r="F47" i="49"/>
  <c r="U287" i="19"/>
  <c r="C285" i="33" s="1"/>
  <c r="E285" i="33" s="1"/>
  <c r="F286" i="49"/>
  <c r="U124" i="19"/>
  <c r="F123" i="49"/>
  <c r="U260" i="19"/>
  <c r="C258" i="33" s="1"/>
  <c r="E258" i="33" s="1"/>
  <c r="F259" i="49"/>
  <c r="U208" i="19"/>
  <c r="C206" i="33" s="1"/>
  <c r="E206" i="33" s="1"/>
  <c r="F207" i="49"/>
  <c r="U293" i="19"/>
  <c r="C291" i="33" s="1"/>
  <c r="E291" i="33" s="1"/>
  <c r="F292" i="49"/>
  <c r="U66" i="19"/>
  <c r="C64" i="33" s="1"/>
  <c r="E64" i="33" s="1"/>
  <c r="F65" i="49"/>
  <c r="U20" i="19"/>
  <c r="C18" i="33" s="1"/>
  <c r="E18" i="33" s="1"/>
  <c r="F19" i="49"/>
  <c r="U186" i="19"/>
  <c r="C184" i="33" s="1"/>
  <c r="E184" i="33" s="1"/>
  <c r="F185" i="49"/>
  <c r="U204" i="19"/>
  <c r="C202" i="33" s="1"/>
  <c r="E202" i="33" s="1"/>
  <c r="F203" i="49"/>
  <c r="U216" i="19"/>
  <c r="C214" i="33" s="1"/>
  <c r="E214" i="33" s="1"/>
  <c r="F215" i="49"/>
  <c r="U210" i="19"/>
  <c r="C208" i="33" s="1"/>
  <c r="E208" i="33" s="1"/>
  <c r="F209" i="49"/>
  <c r="U166" i="19"/>
  <c r="C164" i="33" s="1"/>
  <c r="E164" i="33" s="1"/>
  <c r="F165" i="49"/>
  <c r="U173" i="19"/>
  <c r="C171" i="33" s="1"/>
  <c r="E171" i="33" s="1"/>
  <c r="F172" i="49"/>
  <c r="U292" i="19"/>
  <c r="C290" i="33" s="1"/>
  <c r="E290" i="33" s="1"/>
  <c r="F291" i="49"/>
  <c r="U311" i="19"/>
  <c r="C309" i="33" s="1"/>
  <c r="E309" i="33" s="1"/>
  <c r="F310" i="49"/>
  <c r="U68" i="19"/>
  <c r="C66" i="33" s="1"/>
  <c r="E66" i="33" s="1"/>
  <c r="F67" i="49"/>
  <c r="U244" i="19"/>
  <c r="C242" i="33" s="1"/>
  <c r="E242" i="33" s="1"/>
  <c r="F243" i="49"/>
  <c r="U96" i="19"/>
  <c r="C94" i="33" s="1"/>
  <c r="E94" i="33" s="1"/>
  <c r="F95" i="49"/>
  <c r="U136" i="19"/>
  <c r="C134" i="33" s="1"/>
  <c r="E134" i="33" s="1"/>
  <c r="F135" i="49"/>
  <c r="U40" i="19"/>
  <c r="C38" i="33" s="1"/>
  <c r="E38" i="33" s="1"/>
  <c r="F39" i="49"/>
  <c r="U242" i="19"/>
  <c r="C240" i="33" s="1"/>
  <c r="E240" i="33" s="1"/>
  <c r="F241" i="49"/>
  <c r="U102" i="19"/>
  <c r="C100" i="33" s="1"/>
  <c r="E100" i="33" s="1"/>
  <c r="F101" i="49"/>
  <c r="U114" i="19"/>
  <c r="C112" i="33" s="1"/>
  <c r="E112" i="33" s="1"/>
  <c r="F113" i="49"/>
  <c r="U305" i="19"/>
  <c r="C303" i="33" s="1"/>
  <c r="E303" i="33" s="1"/>
  <c r="F304" i="49"/>
  <c r="U169" i="19"/>
  <c r="C167" i="33" s="1"/>
  <c r="E167" i="33" s="1"/>
  <c r="F168" i="49"/>
  <c r="U146" i="19"/>
  <c r="C144" i="33" s="1"/>
  <c r="E144" i="33" s="1"/>
  <c r="F145" i="49"/>
  <c r="U288" i="19"/>
  <c r="C286" i="33" s="1"/>
  <c r="E286" i="33" s="1"/>
  <c r="F287" i="49"/>
  <c r="U145" i="19"/>
  <c r="C143" i="33" s="1"/>
  <c r="E143" i="33" s="1"/>
  <c r="F144" i="49"/>
  <c r="U237" i="19"/>
  <c r="C235" i="33" s="1"/>
  <c r="E235" i="33" s="1"/>
  <c r="F236" i="49"/>
  <c r="U174" i="19"/>
  <c r="C172" i="33" s="1"/>
  <c r="E172" i="33" s="1"/>
  <c r="F173" i="49"/>
  <c r="U64" i="19"/>
  <c r="C62" i="33" s="1"/>
  <c r="E62" i="33" s="1"/>
  <c r="F63" i="49"/>
  <c r="U157" i="19"/>
  <c r="C155" i="33" s="1"/>
  <c r="E155" i="33" s="1"/>
  <c r="F156" i="49"/>
  <c r="U119" i="19"/>
  <c r="C117" i="33" s="1"/>
  <c r="E117" i="33" s="1"/>
  <c r="F118" i="49"/>
  <c r="U139" i="19"/>
  <c r="C137" i="33" s="1"/>
  <c r="E137" i="33" s="1"/>
  <c r="F138" i="49"/>
  <c r="U60" i="19"/>
  <c r="C58" i="33" s="1"/>
  <c r="E58" i="33" s="1"/>
  <c r="F59" i="49"/>
  <c r="U80" i="19"/>
  <c r="C78" i="33" s="1"/>
  <c r="E78" i="33" s="1"/>
  <c r="F79" i="49"/>
  <c r="U22" i="19"/>
  <c r="C20" i="33" s="1"/>
  <c r="E20" i="33" s="1"/>
  <c r="F21" i="49"/>
  <c r="U265" i="19"/>
  <c r="C263" i="33" s="1"/>
  <c r="E263" i="33" s="1"/>
  <c r="F264" i="49"/>
  <c r="U215" i="19"/>
  <c r="C213" i="33" s="1"/>
  <c r="E213" i="33" s="1"/>
  <c r="F214" i="49"/>
  <c r="U47" i="19"/>
  <c r="C45" i="33" s="1"/>
  <c r="E45" i="33" s="1"/>
  <c r="F46" i="49"/>
  <c r="U239" i="19"/>
  <c r="C237" i="33" s="1"/>
  <c r="E237" i="33" s="1"/>
  <c r="F238" i="49"/>
  <c r="U140" i="19"/>
  <c r="C138" i="33" s="1"/>
  <c r="E138" i="33" s="1"/>
  <c r="F139" i="49"/>
  <c r="U54" i="19"/>
  <c r="C52" i="33" s="1"/>
  <c r="E52" i="33" s="1"/>
  <c r="F53" i="49"/>
  <c r="U261" i="19"/>
  <c r="F260" i="49"/>
  <c r="U44" i="19"/>
  <c r="C42" i="33" s="1"/>
  <c r="E42" i="33" s="1"/>
  <c r="F43" i="49"/>
  <c r="U282" i="19"/>
  <c r="C280" i="33" s="1"/>
  <c r="E280" i="33" s="1"/>
  <c r="F281" i="49"/>
  <c r="U267" i="19"/>
  <c r="C265" i="33" s="1"/>
  <c r="E265" i="33" s="1"/>
  <c r="F266" i="49"/>
  <c r="U226" i="19"/>
  <c r="C224" i="33" s="1"/>
  <c r="E224" i="33" s="1"/>
  <c r="F225" i="49"/>
  <c r="U85" i="19"/>
  <c r="C83" i="33" s="1"/>
  <c r="E83" i="33" s="1"/>
  <c r="F84" i="49"/>
  <c r="U45" i="19"/>
  <c r="C43" i="33" s="1"/>
  <c r="E43" i="33" s="1"/>
  <c r="F44" i="49"/>
  <c r="U248" i="19"/>
  <c r="C246" i="33" s="1"/>
  <c r="E246" i="33" s="1"/>
  <c r="F247" i="49"/>
  <c r="U107" i="19"/>
  <c r="C105" i="33" s="1"/>
  <c r="E105" i="33" s="1"/>
  <c r="F106" i="49"/>
  <c r="U164" i="19"/>
  <c r="C162" i="33" s="1"/>
  <c r="E162" i="33" s="1"/>
  <c r="F163" i="49"/>
  <c r="U189" i="19"/>
  <c r="C187" i="33" s="1"/>
  <c r="E187" i="33" s="1"/>
  <c r="F188" i="49"/>
  <c r="U233" i="19"/>
  <c r="C231" i="33" s="1"/>
  <c r="E231" i="33" s="1"/>
  <c r="F232" i="49"/>
  <c r="U116" i="19"/>
  <c r="C114" i="33" s="1"/>
  <c r="E114" i="33" s="1"/>
  <c r="F115" i="49"/>
  <c r="U273" i="19"/>
  <c r="F272" i="49"/>
  <c r="U175" i="19"/>
  <c r="C173" i="33" s="1"/>
  <c r="E173" i="33" s="1"/>
  <c r="F174" i="49"/>
  <c r="U257" i="19"/>
  <c r="C255" i="33" s="1"/>
  <c r="E255" i="33" s="1"/>
  <c r="F256" i="49"/>
  <c r="U178" i="19"/>
  <c r="C176" i="33" s="1"/>
  <c r="E176" i="33" s="1"/>
  <c r="F177" i="49"/>
  <c r="U19" i="19"/>
  <c r="C17" i="33" s="1"/>
  <c r="E17" i="33" s="1"/>
  <c r="F18" i="49"/>
  <c r="U295" i="19"/>
  <c r="C293" i="33" s="1"/>
  <c r="E293" i="33" s="1"/>
  <c r="F294" i="49"/>
  <c r="U94" i="19"/>
  <c r="C92" i="33" s="1"/>
  <c r="E92" i="33" s="1"/>
  <c r="F93" i="49"/>
  <c r="U122" i="19"/>
  <c r="C120" i="33" s="1"/>
  <c r="E120" i="33" s="1"/>
  <c r="F121" i="49"/>
  <c r="U161" i="19"/>
  <c r="C159" i="33" s="1"/>
  <c r="E159" i="33" s="1"/>
  <c r="F160" i="49"/>
  <c r="U276" i="19"/>
  <c r="C274" i="33" s="1"/>
  <c r="E274" i="33" s="1"/>
  <c r="F275" i="49"/>
  <c r="U126" i="19"/>
  <c r="C124" i="33" s="1"/>
  <c r="E124" i="33" s="1"/>
  <c r="F125" i="49"/>
  <c r="U258" i="19"/>
  <c r="C256" i="33" s="1"/>
  <c r="E256" i="33" s="1"/>
  <c r="F257" i="49"/>
  <c r="U307" i="19"/>
  <c r="C305" i="33" s="1"/>
  <c r="E305" i="33" s="1"/>
  <c r="F306" i="49"/>
  <c r="U234" i="19"/>
  <c r="C232" i="33" s="1"/>
  <c r="E232" i="33" s="1"/>
  <c r="F233" i="49"/>
  <c r="U141" i="19"/>
  <c r="C139" i="33" s="1"/>
  <c r="E139" i="33" s="1"/>
  <c r="F140" i="49"/>
  <c r="U179" i="19"/>
  <c r="C177" i="33" s="1"/>
  <c r="E177" i="33" s="1"/>
  <c r="F178" i="49"/>
  <c r="U50" i="19"/>
  <c r="C48" i="33" s="1"/>
  <c r="E48" i="33" s="1"/>
  <c r="F49" i="49"/>
  <c r="U185" i="19"/>
  <c r="C183" i="33" s="1"/>
  <c r="E183" i="33" s="1"/>
  <c r="F184" i="49"/>
  <c r="U95" i="19"/>
  <c r="C93" i="33" s="1"/>
  <c r="E93" i="33" s="1"/>
  <c r="F94" i="49"/>
  <c r="U303" i="19"/>
  <c r="C301" i="33" s="1"/>
  <c r="E301" i="33" s="1"/>
  <c r="F302" i="49"/>
  <c r="U232" i="19"/>
  <c r="C230" i="33" s="1"/>
  <c r="E230" i="33" s="1"/>
  <c r="F231" i="49"/>
  <c r="U193" i="19"/>
  <c r="C191" i="33" s="1"/>
  <c r="E191" i="33" s="1"/>
  <c r="F192" i="49"/>
  <c r="U225" i="19"/>
  <c r="C223" i="33" s="1"/>
  <c r="E223" i="33" s="1"/>
  <c r="F224" i="49"/>
  <c r="U57" i="19"/>
  <c r="C55" i="33" s="1"/>
  <c r="E55" i="33" s="1"/>
  <c r="F56" i="49"/>
  <c r="U159" i="19"/>
  <c r="C157" i="33" s="1"/>
  <c r="E157" i="33" s="1"/>
  <c r="F158" i="49"/>
  <c r="U270" i="19"/>
  <c r="F269" i="49"/>
  <c r="U123" i="19"/>
  <c r="C121" i="33" s="1"/>
  <c r="E121" i="33" s="1"/>
  <c r="F122" i="49"/>
  <c r="U218" i="19"/>
  <c r="F217" i="49"/>
  <c r="U246" i="19"/>
  <c r="C244" i="33" s="1"/>
  <c r="E244" i="33" s="1"/>
  <c r="F245" i="49"/>
  <c r="U194" i="19"/>
  <c r="C192" i="33" s="1"/>
  <c r="E192" i="33" s="1"/>
  <c r="F193" i="49"/>
  <c r="U266" i="19"/>
  <c r="C264" i="33" s="1"/>
  <c r="E264" i="33" s="1"/>
  <c r="F265" i="49"/>
  <c r="U73" i="19"/>
  <c r="C71" i="33" s="1"/>
  <c r="E71" i="33" s="1"/>
  <c r="F72" i="49"/>
  <c r="U278" i="19"/>
  <c r="C276" i="33" s="1"/>
  <c r="E276" i="33" s="1"/>
  <c r="F277" i="49"/>
  <c r="U59" i="19"/>
  <c r="C57" i="33" s="1"/>
  <c r="E57" i="33" s="1"/>
  <c r="F58" i="49"/>
  <c r="U36" i="19"/>
  <c r="C34" i="33" s="1"/>
  <c r="E34" i="33" s="1"/>
  <c r="F35" i="49"/>
  <c r="U148" i="19"/>
  <c r="C146" i="33" s="1"/>
  <c r="E146" i="33" s="1"/>
  <c r="F147" i="49"/>
  <c r="U99" i="19"/>
  <c r="C97" i="33" s="1"/>
  <c r="E97" i="33" s="1"/>
  <c r="F98" i="49"/>
  <c r="U284" i="19"/>
  <c r="C282" i="33" s="1"/>
  <c r="E282" i="33" s="1"/>
  <c r="F283" i="49"/>
  <c r="U291" i="19"/>
  <c r="C289" i="33" s="1"/>
  <c r="E289" i="33" s="1"/>
  <c r="F290" i="49"/>
  <c r="U138" i="19"/>
  <c r="C136" i="33" s="1"/>
  <c r="E136" i="33" s="1"/>
  <c r="F137" i="49"/>
  <c r="U180" i="19"/>
  <c r="C178" i="33" s="1"/>
  <c r="E178" i="33" s="1"/>
  <c r="F179" i="49"/>
  <c r="U200" i="19"/>
  <c r="C198" i="33" s="1"/>
  <c r="E198" i="33" s="1"/>
  <c r="F199" i="49"/>
  <c r="U262" i="19"/>
  <c r="C260" i="33" s="1"/>
  <c r="E260" i="33" s="1"/>
  <c r="F261" i="49"/>
  <c r="U27" i="19"/>
  <c r="C25" i="33" s="1"/>
  <c r="E25" i="33" s="1"/>
  <c r="F26" i="49"/>
  <c r="U222" i="19"/>
  <c r="C220" i="33" s="1"/>
  <c r="E220" i="33" s="1"/>
  <c r="F221" i="49"/>
  <c r="U227" i="19"/>
  <c r="C225" i="33" s="1"/>
  <c r="E225" i="33" s="1"/>
  <c r="F226" i="49"/>
  <c r="U211" i="19"/>
  <c r="C209" i="33" s="1"/>
  <c r="E209" i="33" s="1"/>
  <c r="F210" i="49"/>
  <c r="U231" i="19"/>
  <c r="C229" i="12" s="1"/>
  <c r="F230" i="49"/>
  <c r="U33" i="19"/>
  <c r="C31" i="33" s="1"/>
  <c r="E31" i="33" s="1"/>
  <c r="F32" i="49"/>
  <c r="U84" i="19"/>
  <c r="C82" i="33" s="1"/>
  <c r="E82" i="33" s="1"/>
  <c r="F83" i="49"/>
  <c r="U299" i="19"/>
  <c r="C297" i="33" s="1"/>
  <c r="E297" i="33" s="1"/>
  <c r="F298" i="49"/>
  <c r="U221" i="19"/>
  <c r="G220" i="49" s="1"/>
  <c r="F220" i="49"/>
  <c r="U35" i="19"/>
  <c r="C33" i="33" s="1"/>
  <c r="E33" i="33" s="1"/>
  <c r="F34" i="49"/>
  <c r="U271" i="19"/>
  <c r="C269" i="39" s="1"/>
  <c r="F270" i="49"/>
  <c r="U184" i="19"/>
  <c r="C182" i="33" s="1"/>
  <c r="E182" i="33" s="1"/>
  <c r="F183" i="49"/>
  <c r="U238" i="19"/>
  <c r="C236" i="12" s="1"/>
  <c r="F237" i="49"/>
  <c r="U206" i="19"/>
  <c r="C204" i="33" s="1"/>
  <c r="E204" i="33" s="1"/>
  <c r="F205" i="49"/>
  <c r="U115" i="19"/>
  <c r="C113" i="33" s="1"/>
  <c r="E113" i="33" s="1"/>
  <c r="F114" i="49"/>
  <c r="U223" i="19"/>
  <c r="C221" i="33" s="1"/>
  <c r="E221" i="33" s="1"/>
  <c r="F222" i="49"/>
  <c r="U41" i="19"/>
  <c r="F40" i="49"/>
  <c r="U165" i="19"/>
  <c r="C163" i="33" s="1"/>
  <c r="E163" i="33" s="1"/>
  <c r="F164" i="49"/>
  <c r="U46" i="19"/>
  <c r="F45" i="49"/>
  <c r="U82" i="19"/>
  <c r="C80" i="33" s="1"/>
  <c r="E80" i="33" s="1"/>
  <c r="F81" i="49"/>
  <c r="U87" i="19"/>
  <c r="F86" i="49"/>
  <c r="U15" i="19"/>
  <c r="C13" i="33" s="1"/>
  <c r="E13" i="33" s="1"/>
  <c r="F14" i="49"/>
  <c r="U21" i="19"/>
  <c r="C19" i="33" s="1"/>
  <c r="E19" i="33" s="1"/>
  <c r="F20" i="49"/>
  <c r="U269" i="19"/>
  <c r="C267" i="33" s="1"/>
  <c r="E267" i="33" s="1"/>
  <c r="F268" i="49"/>
  <c r="U67" i="19"/>
  <c r="F66" i="49"/>
  <c r="U149" i="19"/>
  <c r="C147" i="33" s="1"/>
  <c r="E147" i="33" s="1"/>
  <c r="F148" i="49"/>
  <c r="U9" i="19"/>
  <c r="F8" i="49"/>
  <c r="U277" i="19"/>
  <c r="C275" i="33" s="1"/>
  <c r="E275" i="33" s="1"/>
  <c r="F276" i="49"/>
  <c r="U190" i="19"/>
  <c r="F189" i="49"/>
  <c r="U103" i="19"/>
  <c r="C101" i="33" s="1"/>
  <c r="E101" i="33" s="1"/>
  <c r="F102" i="49"/>
  <c r="U230" i="19"/>
  <c r="F229" i="49"/>
  <c r="U78" i="19"/>
  <c r="C76" i="33" s="1"/>
  <c r="E76" i="33" s="1"/>
  <c r="F77" i="49"/>
  <c r="U297" i="19"/>
  <c r="F296" i="49"/>
  <c r="U251" i="19"/>
  <c r="C249" i="33" s="1"/>
  <c r="E249" i="33" s="1"/>
  <c r="F250" i="49"/>
  <c r="U13" i="19"/>
  <c r="F12" i="49"/>
  <c r="U37" i="19"/>
  <c r="C35" i="33" s="1"/>
  <c r="E35" i="33" s="1"/>
  <c r="F36" i="49"/>
  <c r="U52" i="19"/>
  <c r="F51" i="49"/>
  <c r="U137" i="19"/>
  <c r="C135" i="33" s="1"/>
  <c r="E135" i="33" s="1"/>
  <c r="F136" i="49"/>
  <c r="U26" i="19"/>
  <c r="F25" i="49"/>
  <c r="U224" i="19"/>
  <c r="C222" i="33" s="1"/>
  <c r="E222" i="33" s="1"/>
  <c r="F223" i="49"/>
  <c r="U18" i="19"/>
  <c r="F17" i="49"/>
  <c r="U304" i="19"/>
  <c r="C302" i="33" s="1"/>
  <c r="E302" i="33" s="1"/>
  <c r="F303" i="49"/>
  <c r="U168" i="19"/>
  <c r="F167" i="49"/>
  <c r="U151" i="19"/>
  <c r="C149" i="33" s="1"/>
  <c r="E149" i="33" s="1"/>
  <c r="F150" i="49"/>
  <c r="U129" i="19"/>
  <c r="F128" i="49"/>
  <c r="U274" i="19"/>
  <c r="F273" i="49"/>
  <c r="U308" i="19"/>
  <c r="F307" i="49"/>
  <c r="U89" i="19"/>
  <c r="C87" i="33" s="1"/>
  <c r="E87" i="33" s="1"/>
  <c r="F88" i="49"/>
  <c r="U195" i="19"/>
  <c r="F194" i="49"/>
  <c r="U101" i="19"/>
  <c r="C99" i="33" s="1"/>
  <c r="E99" i="33" s="1"/>
  <c r="F100" i="49"/>
  <c r="U56" i="19"/>
  <c r="F55" i="49"/>
  <c r="U109" i="19"/>
  <c r="C107" i="33" s="1"/>
  <c r="E107" i="33" s="1"/>
  <c r="F108" i="49"/>
  <c r="U253" i="19"/>
  <c r="F252" i="49"/>
  <c r="U38" i="19"/>
  <c r="C36" i="33" s="1"/>
  <c r="E36" i="33" s="1"/>
  <c r="F37" i="49"/>
  <c r="U133" i="19"/>
  <c r="F132" i="49"/>
  <c r="U143" i="19"/>
  <c r="C141" i="33" s="1"/>
  <c r="E141" i="33" s="1"/>
  <c r="F142" i="49"/>
  <c r="U203" i="19"/>
  <c r="F202" i="49"/>
  <c r="U30" i="19"/>
  <c r="C28" i="33" s="1"/>
  <c r="E28" i="33" s="1"/>
  <c r="F29" i="49"/>
  <c r="U10" i="19"/>
  <c r="F9" i="49"/>
  <c r="U88" i="19"/>
  <c r="C86" i="33" s="1"/>
  <c r="E86" i="33" s="1"/>
  <c r="F87" i="49"/>
  <c r="U279" i="19"/>
  <c r="F278" i="49"/>
  <c r="U240" i="19"/>
  <c r="C238" i="33" s="1"/>
  <c r="E238" i="33" s="1"/>
  <c r="F239" i="49"/>
  <c r="U187" i="19"/>
  <c r="F186" i="49"/>
  <c r="U254" i="19"/>
  <c r="F253" i="49"/>
  <c r="U236" i="19"/>
  <c r="F235" i="49"/>
  <c r="U132" i="19"/>
  <c r="F131" i="49"/>
  <c r="U205" i="19"/>
  <c r="F204" i="49"/>
  <c r="U259" i="19"/>
  <c r="C257" i="33" s="1"/>
  <c r="E257" i="33" s="1"/>
  <c r="F258" i="49"/>
  <c r="U98" i="19"/>
  <c r="F97" i="49"/>
  <c r="U188" i="19"/>
  <c r="C186" i="33" s="1"/>
  <c r="E186" i="33" s="1"/>
  <c r="F187" i="49"/>
  <c r="U181" i="19"/>
  <c r="F180" i="49"/>
  <c r="U160" i="19"/>
  <c r="C158" i="33" s="1"/>
  <c r="E158" i="33" s="1"/>
  <c r="F159" i="49"/>
  <c r="U314" i="19"/>
  <c r="F313" i="49"/>
  <c r="U167" i="19"/>
  <c r="C165" i="33" s="1"/>
  <c r="E165" i="33" s="1"/>
  <c r="F166" i="49"/>
  <c r="U83" i="19"/>
  <c r="F82" i="49"/>
  <c r="U163" i="19"/>
  <c r="C161" i="33" s="1"/>
  <c r="E161" i="33" s="1"/>
  <c r="F162" i="49"/>
  <c r="U118" i="19"/>
  <c r="F117" i="49"/>
  <c r="U235" i="19"/>
  <c r="C233" i="33" s="1"/>
  <c r="E233" i="33" s="1"/>
  <c r="F234" i="49"/>
  <c r="U228" i="19"/>
  <c r="F227" i="49"/>
  <c r="U28" i="19"/>
  <c r="C26" i="33" s="1"/>
  <c r="E26" i="33" s="1"/>
  <c r="F27" i="49"/>
  <c r="U214" i="19"/>
  <c r="F213" i="49"/>
  <c r="U155" i="19"/>
  <c r="C153" i="33" s="1"/>
  <c r="E153" i="33" s="1"/>
  <c r="F154" i="49"/>
  <c r="U201" i="19"/>
  <c r="F200" i="49"/>
  <c r="U62" i="19"/>
  <c r="C60" i="33" s="1"/>
  <c r="E60" i="33" s="1"/>
  <c r="F61" i="49"/>
  <c r="U113" i="19"/>
  <c r="F112" i="49"/>
  <c r="U29" i="19"/>
  <c r="C27" i="33" s="1"/>
  <c r="E27" i="33" s="1"/>
  <c r="F28" i="49"/>
  <c r="U162" i="19"/>
  <c r="F161" i="49"/>
  <c r="U255" i="19"/>
  <c r="C253" i="33" s="1"/>
  <c r="E253" i="33" s="1"/>
  <c r="F254" i="49"/>
  <c r="U300" i="19"/>
  <c r="F299" i="49"/>
  <c r="U117" i="19"/>
  <c r="C115" i="33" s="1"/>
  <c r="E115" i="33" s="1"/>
  <c r="F116" i="49"/>
  <c r="U120" i="19"/>
  <c r="F119" i="49"/>
  <c r="U286" i="19"/>
  <c r="C284" i="33" s="1"/>
  <c r="E284" i="33" s="1"/>
  <c r="F285" i="49"/>
  <c r="U147" i="19"/>
  <c r="F146" i="49"/>
  <c r="U142" i="19"/>
  <c r="C140" i="33" s="1"/>
  <c r="E140" i="33" s="1"/>
  <c r="F141" i="49"/>
  <c r="U213" i="19"/>
  <c r="F212" i="49"/>
  <c r="U315" i="19"/>
  <c r="C313" i="33" s="1"/>
  <c r="E313" i="33" s="1"/>
  <c r="F314" i="49"/>
  <c r="U31" i="19"/>
  <c r="F30" i="49"/>
  <c r="U241" i="19"/>
  <c r="C239" i="33" s="1"/>
  <c r="E239" i="33" s="1"/>
  <c r="F240" i="49"/>
  <c r="U220" i="19"/>
  <c r="C218" i="33" s="1"/>
  <c r="E218" i="33" s="1"/>
  <c r="F219" i="49"/>
  <c r="U25" i="19"/>
  <c r="C23" i="33" s="1"/>
  <c r="E23" i="33" s="1"/>
  <c r="F24" i="49"/>
  <c r="U217" i="19"/>
  <c r="F216" i="49"/>
  <c r="U97" i="19"/>
  <c r="C95" i="33" s="1"/>
  <c r="E95" i="33" s="1"/>
  <c r="F96" i="49"/>
  <c r="U61" i="19"/>
  <c r="F60" i="49"/>
  <c r="U229" i="19"/>
  <c r="C227" i="33" s="1"/>
  <c r="E227" i="33" s="1"/>
  <c r="F228" i="49"/>
  <c r="U58" i="19"/>
  <c r="F57" i="49"/>
  <c r="U39" i="19"/>
  <c r="C37" i="33" s="1"/>
  <c r="E37" i="33" s="1"/>
  <c r="F38" i="49"/>
  <c r="U290" i="19"/>
  <c r="F289" i="49"/>
  <c r="U192" i="19"/>
  <c r="C190" i="33" s="1"/>
  <c r="E190" i="33" s="1"/>
  <c r="F191" i="49"/>
  <c r="U219" i="19"/>
  <c r="F218" i="49"/>
  <c r="U90" i="19"/>
  <c r="C88" i="33" s="1"/>
  <c r="E88" i="33" s="1"/>
  <c r="F89" i="49"/>
  <c r="U92" i="19"/>
  <c r="F91" i="49"/>
  <c r="U53" i="19"/>
  <c r="C51" i="33" s="1"/>
  <c r="E51" i="33" s="1"/>
  <c r="F52" i="49"/>
  <c r="U131" i="19"/>
  <c r="F130" i="49"/>
  <c r="U250" i="19"/>
  <c r="C248" i="33" s="1"/>
  <c r="E248" i="33" s="1"/>
  <c r="F249" i="49"/>
  <c r="U42" i="19"/>
  <c r="F41" i="49"/>
  <c r="U125" i="19"/>
  <c r="C123" i="33" s="1"/>
  <c r="E123" i="33" s="1"/>
  <c r="F124" i="49"/>
  <c r="U312" i="19"/>
  <c r="F311" i="49"/>
  <c r="U77" i="19"/>
  <c r="C75" i="33" s="1"/>
  <c r="E75" i="33" s="1"/>
  <c r="F76" i="49"/>
  <c r="U72" i="19"/>
  <c r="F71" i="49"/>
  <c r="U301" i="19"/>
  <c r="F300" i="49"/>
  <c r="U272" i="19"/>
  <c r="F271" i="49"/>
  <c r="U150" i="19"/>
  <c r="F149" i="49"/>
  <c r="U302" i="19"/>
  <c r="F301" i="49"/>
  <c r="U121" i="19"/>
  <c r="G120" i="49" s="1"/>
  <c r="F120" i="49"/>
  <c r="U243" i="19"/>
  <c r="F242" i="49"/>
  <c r="U281" i="19"/>
  <c r="F280" i="49"/>
  <c r="U65" i="19"/>
  <c r="F64" i="49"/>
  <c r="U191" i="19"/>
  <c r="G190" i="49" s="1"/>
  <c r="F190" i="49"/>
  <c r="U34" i="19"/>
  <c r="F33" i="49"/>
  <c r="U172" i="19"/>
  <c r="F171" i="49"/>
  <c r="U197" i="19"/>
  <c r="F196" i="49"/>
  <c r="U69" i="19"/>
  <c r="G68" i="49" s="1"/>
  <c r="F68" i="49"/>
  <c r="U182" i="19"/>
  <c r="F181" i="49"/>
  <c r="U71" i="19"/>
  <c r="F70" i="49"/>
  <c r="U135" i="19"/>
  <c r="F134" i="49"/>
  <c r="U283" i="19"/>
  <c r="G282" i="49" s="1"/>
  <c r="F282" i="49"/>
  <c r="U212" i="19"/>
  <c r="F211" i="49"/>
  <c r="U130" i="19"/>
  <c r="F129" i="49"/>
  <c r="G74" i="49"/>
  <c r="C73" i="39"/>
  <c r="C73" i="12"/>
  <c r="C6" i="39"/>
  <c r="C6" i="12"/>
  <c r="G126" i="49"/>
  <c r="C125" i="12"/>
  <c r="G75" i="49"/>
  <c r="C74" i="12"/>
  <c r="G267" i="49"/>
  <c r="C266" i="39"/>
  <c r="C266" i="12"/>
  <c r="C138" i="39"/>
  <c r="C138" i="12"/>
  <c r="G251" i="49"/>
  <c r="C250" i="12"/>
  <c r="G175" i="49"/>
  <c r="C174" i="39"/>
  <c r="G151" i="49"/>
  <c r="C150" i="39"/>
  <c r="C150" i="12"/>
  <c r="C154" i="39"/>
  <c r="C154" i="12"/>
  <c r="G62" i="49"/>
  <c r="C61" i="12"/>
  <c r="G105" i="49"/>
  <c r="C104" i="39"/>
  <c r="G16" i="49"/>
  <c r="C15" i="39"/>
  <c r="C15" i="12"/>
  <c r="C9" i="39"/>
  <c r="C9" i="12"/>
  <c r="G208" i="49"/>
  <c r="C207" i="12"/>
  <c r="G103" i="49"/>
  <c r="C102" i="39"/>
  <c r="G110" i="49"/>
  <c r="C109" i="39"/>
  <c r="C109" i="12"/>
  <c r="C53" i="39"/>
  <c r="C53" i="12"/>
  <c r="G157" i="49"/>
  <c r="C156" i="12"/>
  <c r="G133" i="49"/>
  <c r="C132" i="39"/>
  <c r="G104" i="49"/>
  <c r="C103" i="39"/>
  <c r="C103" i="12"/>
  <c r="C308" i="39"/>
  <c r="C308" i="12"/>
  <c r="G305" i="49"/>
  <c r="C304" i="12"/>
  <c r="G255" i="49"/>
  <c r="C254" i="39"/>
  <c r="G297" i="49"/>
  <c r="C296" i="39"/>
  <c r="C296" i="12"/>
  <c r="C77" i="39"/>
  <c r="C77" i="12"/>
  <c r="G198" i="49"/>
  <c r="C197" i="12"/>
  <c r="G48" i="49"/>
  <c r="C47" i="39"/>
  <c r="G13" i="49"/>
  <c r="C12" i="39"/>
  <c r="C12" i="12"/>
  <c r="C152" i="39"/>
  <c r="C152" i="12"/>
  <c r="G308" i="49"/>
  <c r="C307" i="12"/>
  <c r="G80" i="49"/>
  <c r="C79" i="39"/>
  <c r="C283" i="39"/>
  <c r="G284" i="49"/>
  <c r="C283" i="12"/>
  <c r="C181" i="39"/>
  <c r="C181" i="12"/>
  <c r="G246" i="49"/>
  <c r="C245" i="12"/>
  <c r="G23" i="49"/>
  <c r="C22" i="39"/>
  <c r="G22" i="49"/>
  <c r="C21" i="12"/>
  <c r="C21" i="39"/>
  <c r="C41" i="39"/>
  <c r="C41" i="12"/>
  <c r="G31" i="49"/>
  <c r="C30" i="12"/>
  <c r="G263" i="49"/>
  <c r="C262" i="39"/>
  <c r="G73" i="49"/>
  <c r="C72" i="39"/>
  <c r="C72" i="12"/>
  <c r="G195" i="49"/>
  <c r="C194" i="12"/>
  <c r="G47" i="49"/>
  <c r="C46" i="12"/>
  <c r="G286" i="49"/>
  <c r="C285" i="39"/>
  <c r="G20" i="49"/>
  <c r="C19" i="39"/>
  <c r="C19" i="12"/>
  <c r="C142" i="39"/>
  <c r="C142" i="12"/>
  <c r="G293" i="49"/>
  <c r="C292" i="12"/>
  <c r="G288" i="49"/>
  <c r="C287" i="39"/>
  <c r="G312" i="49"/>
  <c r="C311" i="39"/>
  <c r="C311" i="12"/>
  <c r="C14" i="39"/>
  <c r="C14" i="12"/>
  <c r="G207" i="49"/>
  <c r="C206" i="12"/>
  <c r="G292" i="49"/>
  <c r="C291" i="39"/>
  <c r="G65" i="49"/>
  <c r="C64" i="39"/>
  <c r="C64" i="12"/>
  <c r="C18" i="39"/>
  <c r="C18" i="12"/>
  <c r="G185" i="49"/>
  <c r="C184" i="12"/>
  <c r="G203" i="49"/>
  <c r="C202" i="39"/>
  <c r="G215" i="49"/>
  <c r="C214" i="39"/>
  <c r="C214" i="12"/>
  <c r="C208" i="39"/>
  <c r="C208" i="12"/>
  <c r="G165" i="49"/>
  <c r="C164" i="12"/>
  <c r="G172" i="49"/>
  <c r="C171" i="39"/>
  <c r="G291" i="49"/>
  <c r="C290" i="39"/>
  <c r="C290" i="12"/>
  <c r="C309" i="39"/>
  <c r="C309" i="12"/>
  <c r="G67" i="49"/>
  <c r="C66" i="12"/>
  <c r="G243" i="49"/>
  <c r="C242" i="39"/>
  <c r="G95" i="49"/>
  <c r="C94" i="39"/>
  <c r="C94" i="12"/>
  <c r="C134" i="39"/>
  <c r="C134" i="12"/>
  <c r="G39" i="49"/>
  <c r="C38" i="12"/>
  <c r="G241" i="49"/>
  <c r="C240" i="39"/>
  <c r="G101" i="49"/>
  <c r="C100" i="39"/>
  <c r="C100" i="12"/>
  <c r="C112" i="39"/>
  <c r="C112" i="12"/>
  <c r="G304" i="49"/>
  <c r="C303" i="12"/>
  <c r="G168" i="49"/>
  <c r="C167" i="39"/>
  <c r="G145" i="49"/>
  <c r="C144" i="39"/>
  <c r="C144" i="12"/>
  <c r="C286" i="39"/>
  <c r="C286" i="12"/>
  <c r="G144" i="49"/>
  <c r="C143" i="12"/>
  <c r="G236" i="49"/>
  <c r="C235" i="39"/>
  <c r="G173" i="49"/>
  <c r="C172" i="39"/>
  <c r="C172" i="12"/>
  <c r="C62" i="39"/>
  <c r="C62" i="12"/>
  <c r="G156" i="49"/>
  <c r="C155" i="12"/>
  <c r="G118" i="49"/>
  <c r="C117" i="39"/>
  <c r="G138" i="49"/>
  <c r="C137" i="39"/>
  <c r="C137" i="12"/>
  <c r="C58" i="39"/>
  <c r="C58" i="12"/>
  <c r="G79" i="49"/>
  <c r="C78" i="12"/>
  <c r="G21" i="49"/>
  <c r="C20" i="39"/>
  <c r="G264" i="49"/>
  <c r="C263" i="39"/>
  <c r="C263" i="12"/>
  <c r="C213" i="39"/>
  <c r="C213" i="12"/>
  <c r="G46" i="49"/>
  <c r="C45" i="39"/>
  <c r="G238" i="49"/>
  <c r="C237" i="39"/>
  <c r="G279" i="49"/>
  <c r="C278" i="39"/>
  <c r="C278" i="12"/>
  <c r="G69" i="49"/>
  <c r="C68" i="39"/>
  <c r="C68" i="12"/>
  <c r="G127" i="49"/>
  <c r="C126" i="39"/>
  <c r="C126" i="12"/>
  <c r="G11" i="49"/>
  <c r="C10" i="39"/>
  <c r="C10" i="12"/>
  <c r="G107" i="49"/>
  <c r="C106" i="12"/>
  <c r="C106" i="39"/>
  <c r="C106" i="33"/>
  <c r="E106" i="33" s="1"/>
  <c r="G92" i="49"/>
  <c r="C91" i="39"/>
  <c r="C91" i="12"/>
  <c r="C52" i="39"/>
  <c r="C52" i="12"/>
  <c r="G43" i="49"/>
  <c r="C42" i="12"/>
  <c r="G281" i="49"/>
  <c r="C280" i="39"/>
  <c r="G266" i="49"/>
  <c r="C265" i="39"/>
  <c r="C265" i="12"/>
  <c r="C224" i="39"/>
  <c r="C224" i="12"/>
  <c r="G84" i="49"/>
  <c r="C83" i="12"/>
  <c r="G44" i="49"/>
  <c r="C43" i="39"/>
  <c r="G247" i="49"/>
  <c r="C246" i="39"/>
  <c r="C246" i="12"/>
  <c r="C105" i="39"/>
  <c r="C105" i="12"/>
  <c r="G163" i="49"/>
  <c r="C162" i="12"/>
  <c r="G188" i="49"/>
  <c r="C187" i="39"/>
  <c r="G232" i="49"/>
  <c r="C231" i="39"/>
  <c r="C231" i="12"/>
  <c r="C114" i="39"/>
  <c r="C114" i="12"/>
  <c r="G174" i="49"/>
  <c r="C173" i="12"/>
  <c r="G256" i="49"/>
  <c r="C255" i="39"/>
  <c r="G177" i="49"/>
  <c r="C176" i="39"/>
  <c r="C176" i="12"/>
  <c r="C17" i="39"/>
  <c r="C17" i="12"/>
  <c r="G294" i="49"/>
  <c r="C293" i="12"/>
  <c r="G93" i="49"/>
  <c r="C92" i="39"/>
  <c r="G121" i="49"/>
  <c r="C120" i="39"/>
  <c r="C120" i="12"/>
  <c r="C159" i="39"/>
  <c r="C159" i="12"/>
  <c r="G275" i="49"/>
  <c r="C274" i="12"/>
  <c r="G125" i="49"/>
  <c r="C124" i="39"/>
  <c r="G257" i="49"/>
  <c r="C256" i="39"/>
  <c r="C256" i="12"/>
  <c r="C305" i="39"/>
  <c r="C305" i="12"/>
  <c r="G233" i="49"/>
  <c r="C232" i="12"/>
  <c r="G140" i="49"/>
  <c r="C139" i="39"/>
  <c r="G178" i="49"/>
  <c r="C177" i="39"/>
  <c r="C177" i="12"/>
  <c r="C48" i="39"/>
  <c r="C48" i="12"/>
  <c r="G184" i="49"/>
  <c r="C183" i="12"/>
  <c r="G94" i="49"/>
  <c r="C93" i="39"/>
  <c r="G302" i="49"/>
  <c r="C301" i="39"/>
  <c r="C301" i="12"/>
  <c r="C230" i="39"/>
  <c r="C230" i="12"/>
  <c r="G192" i="49"/>
  <c r="C191" i="12"/>
  <c r="G224" i="49"/>
  <c r="C223" i="39"/>
  <c r="G56" i="49"/>
  <c r="C55" i="39"/>
  <c r="C55" i="12"/>
  <c r="C157" i="12"/>
  <c r="C157" i="39"/>
  <c r="G201" i="49"/>
  <c r="C200" i="39"/>
  <c r="C200" i="12"/>
  <c r="C200" i="33"/>
  <c r="E200" i="33" s="1"/>
  <c r="G248" i="49"/>
  <c r="C247" i="39"/>
  <c r="C247" i="12"/>
  <c r="G85" i="49"/>
  <c r="C84" i="39"/>
  <c r="C84" i="12"/>
  <c r="C84" i="33"/>
  <c r="E84" i="33" s="1"/>
  <c r="G152" i="49"/>
  <c r="C151" i="39"/>
  <c r="C151" i="12"/>
  <c r="C151" i="33"/>
  <c r="E151" i="33" s="1"/>
  <c r="G122" i="49"/>
  <c r="C121" i="39"/>
  <c r="G245" i="49"/>
  <c r="C244" i="39"/>
  <c r="C244" i="12"/>
  <c r="C192" i="39"/>
  <c r="C192" i="12"/>
  <c r="G265" i="49"/>
  <c r="C264" i="12"/>
  <c r="G72" i="49"/>
  <c r="C71" i="39"/>
  <c r="G277" i="49"/>
  <c r="C276" i="39"/>
  <c r="C276" i="12"/>
  <c r="C57" i="39"/>
  <c r="C57" i="12"/>
  <c r="G35" i="49"/>
  <c r="C34" i="12"/>
  <c r="G147" i="49"/>
  <c r="C146" i="39"/>
  <c r="G98" i="49"/>
  <c r="C97" i="39"/>
  <c r="C97" i="12"/>
  <c r="C282" i="39"/>
  <c r="C282" i="12"/>
  <c r="G290" i="49"/>
  <c r="C289" i="12"/>
  <c r="G137" i="49"/>
  <c r="C136" i="39"/>
  <c r="G179" i="49"/>
  <c r="C178" i="39"/>
  <c r="C178" i="12"/>
  <c r="C198" i="39"/>
  <c r="C198" i="12"/>
  <c r="G261" i="49"/>
  <c r="C260" i="12"/>
  <c r="G26" i="49"/>
  <c r="C25" i="39"/>
  <c r="G221" i="49"/>
  <c r="C220" i="39"/>
  <c r="C220" i="12"/>
  <c r="C225" i="39"/>
  <c r="C225" i="12"/>
  <c r="G210" i="49"/>
  <c r="C209" i="12"/>
  <c r="G230" i="49"/>
  <c r="C229" i="39"/>
  <c r="C229" i="33"/>
  <c r="E229" i="33" s="1"/>
  <c r="G32" i="49"/>
  <c r="C31" i="39"/>
  <c r="G83" i="49"/>
  <c r="C82" i="39"/>
  <c r="C82" i="12"/>
  <c r="G298" i="49"/>
  <c r="C297" i="39"/>
  <c r="C297" i="12"/>
  <c r="C219" i="39"/>
  <c r="C219" i="12"/>
  <c r="C219" i="33"/>
  <c r="E219" i="33" s="1"/>
  <c r="C33" i="39"/>
  <c r="C33" i="12"/>
  <c r="G270" i="49"/>
  <c r="C269" i="12"/>
  <c r="C269" i="33"/>
  <c r="E269" i="33" s="1"/>
  <c r="G183" i="49"/>
  <c r="C182" i="12"/>
  <c r="G237" i="49"/>
  <c r="C236" i="39"/>
  <c r="C236" i="33"/>
  <c r="E236" i="33" s="1"/>
  <c r="G205" i="49"/>
  <c r="C204" i="39"/>
  <c r="G114" i="49"/>
  <c r="C113" i="39"/>
  <c r="C113" i="12"/>
  <c r="G222" i="49"/>
  <c r="C221" i="39"/>
  <c r="C221" i="12"/>
  <c r="G40" i="49"/>
  <c r="C39" i="39"/>
  <c r="C39" i="12"/>
  <c r="C39" i="33"/>
  <c r="E39" i="33" s="1"/>
  <c r="C163" i="39"/>
  <c r="C163" i="12"/>
  <c r="G45" i="49"/>
  <c r="C44" i="39"/>
  <c r="C44" i="12"/>
  <c r="C44" i="33"/>
  <c r="E44" i="33" s="1"/>
  <c r="G81" i="49"/>
  <c r="C80" i="12"/>
  <c r="G86" i="49"/>
  <c r="C85" i="39"/>
  <c r="C85" i="12"/>
  <c r="C85" i="33"/>
  <c r="E85" i="33" s="1"/>
  <c r="G14" i="49"/>
  <c r="C13" i="39"/>
  <c r="G50" i="49"/>
  <c r="C49" i="39"/>
  <c r="C49" i="12"/>
  <c r="C49" i="33"/>
  <c r="E49" i="33" s="1"/>
  <c r="G109" i="49"/>
  <c r="C108" i="39"/>
  <c r="C108" i="12"/>
  <c r="C108" i="33"/>
  <c r="E108" i="33" s="1"/>
  <c r="G99" i="49"/>
  <c r="C98" i="39"/>
  <c r="C98" i="12"/>
  <c r="C98" i="33"/>
  <c r="E98" i="33" s="1"/>
  <c r="G169" i="49"/>
  <c r="C168" i="39"/>
  <c r="C168" i="12"/>
  <c r="C168" i="33"/>
  <c r="E168" i="33" s="1"/>
  <c r="G259" i="49"/>
  <c r="C258" i="39"/>
  <c r="C258" i="12"/>
  <c r="G260" i="49"/>
  <c r="C259" i="39"/>
  <c r="C259" i="12"/>
  <c r="C259" i="33"/>
  <c r="E259" i="33" s="1"/>
  <c r="G269" i="49"/>
  <c r="C268" i="39"/>
  <c r="C268" i="12"/>
  <c r="C268" i="33"/>
  <c r="E268" i="33" s="1"/>
  <c r="G217" i="49"/>
  <c r="C216" i="39"/>
  <c r="C216" i="12"/>
  <c r="C216" i="33"/>
  <c r="E216" i="33" s="1"/>
  <c r="C218" i="39"/>
  <c r="C218" i="12"/>
  <c r="G268" i="49"/>
  <c r="C267" i="12"/>
  <c r="G66" i="49"/>
  <c r="C65" i="39"/>
  <c r="C65" i="12"/>
  <c r="C65" i="33"/>
  <c r="E65" i="33" s="1"/>
  <c r="G148" i="49"/>
  <c r="C147" i="39"/>
  <c r="G8" i="49"/>
  <c r="C7" i="39"/>
  <c r="C7" i="12"/>
  <c r="C7" i="33"/>
  <c r="E7" i="33" s="1"/>
  <c r="G276" i="49"/>
  <c r="C275" i="39"/>
  <c r="C275" i="12"/>
  <c r="G189" i="49"/>
  <c r="C188" i="39"/>
  <c r="C188" i="12"/>
  <c r="C188" i="33"/>
  <c r="E188" i="33" s="1"/>
  <c r="C101" i="39"/>
  <c r="C101" i="12"/>
  <c r="G229" i="49"/>
  <c r="C228" i="39"/>
  <c r="C228" i="12"/>
  <c r="C228" i="33"/>
  <c r="E228" i="33" s="1"/>
  <c r="G77" i="49"/>
  <c r="C76" i="12"/>
  <c r="G296" i="49"/>
  <c r="C295" i="39"/>
  <c r="C295" i="12"/>
  <c r="C295" i="33"/>
  <c r="E295" i="33" s="1"/>
  <c r="G250" i="49"/>
  <c r="C249" i="39"/>
  <c r="G12" i="49"/>
  <c r="C11" i="39"/>
  <c r="C11" i="12"/>
  <c r="C11" i="33"/>
  <c r="E11" i="33" s="1"/>
  <c r="G36" i="49"/>
  <c r="C35" i="39"/>
  <c r="C35" i="12"/>
  <c r="G51" i="49"/>
  <c r="C50" i="39"/>
  <c r="C50" i="12"/>
  <c r="C50" i="33"/>
  <c r="E50" i="33" s="1"/>
  <c r="C135" i="39"/>
  <c r="C135" i="12"/>
  <c r="G25" i="49"/>
  <c r="C24" i="39"/>
  <c r="C24" i="12"/>
  <c r="C24" i="33"/>
  <c r="E24" i="33" s="1"/>
  <c r="G223" i="49"/>
  <c r="C222" i="12"/>
  <c r="G17" i="49"/>
  <c r="C16" i="39"/>
  <c r="C16" i="12"/>
  <c r="C16" i="33"/>
  <c r="E16" i="33" s="1"/>
  <c r="G303" i="49"/>
  <c r="C302" i="39"/>
  <c r="G167" i="49"/>
  <c r="C166" i="39"/>
  <c r="C166" i="12"/>
  <c r="C166" i="33"/>
  <c r="E166" i="33" s="1"/>
  <c r="G150" i="49"/>
  <c r="C149" i="12"/>
  <c r="C149" i="39"/>
  <c r="G128" i="49"/>
  <c r="C127" i="39"/>
  <c r="C127" i="12"/>
  <c r="C127" i="33"/>
  <c r="E127" i="33" s="1"/>
  <c r="G307" i="49"/>
  <c r="C306" i="39"/>
  <c r="C306" i="12"/>
  <c r="C306" i="33"/>
  <c r="E306" i="33" s="1"/>
  <c r="C87" i="39"/>
  <c r="C87" i="12"/>
  <c r="G194" i="49"/>
  <c r="C193" i="39"/>
  <c r="C193" i="12"/>
  <c r="C193" i="33"/>
  <c r="E193" i="33" s="1"/>
  <c r="G100" i="49"/>
  <c r="C99" i="12"/>
  <c r="G55" i="49"/>
  <c r="C54" i="39"/>
  <c r="C54" i="12"/>
  <c r="C54" i="33"/>
  <c r="E54" i="33" s="1"/>
  <c r="G108" i="49"/>
  <c r="C107" i="39"/>
  <c r="G252" i="49"/>
  <c r="C251" i="39"/>
  <c r="C251" i="12"/>
  <c r="C251" i="33"/>
  <c r="E251" i="33" s="1"/>
  <c r="G37" i="49"/>
  <c r="C36" i="39"/>
  <c r="C36" i="12"/>
  <c r="G132" i="49"/>
  <c r="C131" i="39"/>
  <c r="C131" i="12"/>
  <c r="C131" i="33"/>
  <c r="E131" i="33" s="1"/>
  <c r="C141" i="39"/>
  <c r="C141" i="12"/>
  <c r="G202" i="49"/>
  <c r="C201" i="39"/>
  <c r="C201" i="12"/>
  <c r="C201" i="33"/>
  <c r="E201" i="33" s="1"/>
  <c r="G29" i="49"/>
  <c r="C28" i="12"/>
  <c r="G9" i="49"/>
  <c r="C8" i="39"/>
  <c r="C8" i="12"/>
  <c r="C8" i="33"/>
  <c r="E8" i="33" s="1"/>
  <c r="G87" i="49"/>
  <c r="C86" i="39"/>
  <c r="G278" i="49"/>
  <c r="C277" i="39"/>
  <c r="C277" i="12"/>
  <c r="C277" i="33"/>
  <c r="E277" i="33" s="1"/>
  <c r="G239" i="49"/>
  <c r="C238" i="39"/>
  <c r="C238" i="12"/>
  <c r="G123" i="49"/>
  <c r="C122" i="39"/>
  <c r="C122" i="12"/>
  <c r="C122" i="33"/>
  <c r="E122" i="33" s="1"/>
  <c r="G274" i="49"/>
  <c r="C273" i="39"/>
  <c r="C273" i="12"/>
  <c r="C273" i="33"/>
  <c r="E273" i="33" s="1"/>
  <c r="G197" i="49"/>
  <c r="C196" i="39"/>
  <c r="C196" i="12"/>
  <c r="C196" i="33"/>
  <c r="E196" i="33" s="1"/>
  <c r="G206" i="49"/>
  <c r="C205" i="39"/>
  <c r="C205" i="12"/>
  <c r="C205" i="33"/>
  <c r="E205" i="33" s="1"/>
  <c r="G111" i="49"/>
  <c r="C110" i="39"/>
  <c r="C110" i="12"/>
  <c r="C110" i="33"/>
  <c r="E110" i="33" s="1"/>
  <c r="G235" i="49"/>
  <c r="C234" i="39"/>
  <c r="C234" i="12"/>
  <c r="C234" i="33"/>
  <c r="E234" i="33" s="1"/>
  <c r="C257" i="39"/>
  <c r="C257" i="12"/>
  <c r="G97" i="49"/>
  <c r="C96" i="39"/>
  <c r="C96" i="12"/>
  <c r="C96" i="33"/>
  <c r="E96" i="33" s="1"/>
  <c r="G187" i="49"/>
  <c r="C186" i="12"/>
  <c r="G159" i="49"/>
  <c r="C158" i="39"/>
  <c r="G313" i="49"/>
  <c r="C312" i="39"/>
  <c r="C312" i="12"/>
  <c r="C312" i="33"/>
  <c r="E312" i="33" s="1"/>
  <c r="G166" i="49"/>
  <c r="C165" i="12"/>
  <c r="C165" i="39"/>
  <c r="G82" i="49"/>
  <c r="C81" i="39"/>
  <c r="C81" i="12"/>
  <c r="C81" i="33"/>
  <c r="E81" i="33" s="1"/>
  <c r="C161" i="39"/>
  <c r="C161" i="12"/>
  <c r="G117" i="49"/>
  <c r="C116" i="39"/>
  <c r="C116" i="12"/>
  <c r="C116" i="33"/>
  <c r="E116" i="33" s="1"/>
  <c r="G234" i="49"/>
  <c r="C233" i="12"/>
  <c r="G227" i="49"/>
  <c r="C226" i="39"/>
  <c r="C226" i="12"/>
  <c r="C226" i="33"/>
  <c r="E226" i="33" s="1"/>
  <c r="G27" i="49"/>
  <c r="C26" i="39"/>
  <c r="G213" i="49"/>
  <c r="C212" i="39"/>
  <c r="C212" i="12"/>
  <c r="C212" i="33"/>
  <c r="E212" i="33" s="1"/>
  <c r="G154" i="49"/>
  <c r="C153" i="39"/>
  <c r="C153" i="12"/>
  <c r="G200" i="49"/>
  <c r="C199" i="39"/>
  <c r="C199" i="12"/>
  <c r="C199" i="33"/>
  <c r="E199" i="33" s="1"/>
  <c r="C60" i="39"/>
  <c r="C60" i="12"/>
  <c r="G112" i="49"/>
  <c r="C111" i="12"/>
  <c r="C111" i="39"/>
  <c r="C111" i="33"/>
  <c r="E111" i="33" s="1"/>
  <c r="G28" i="49"/>
  <c r="C27" i="12"/>
  <c r="G161" i="49"/>
  <c r="C160" i="39"/>
  <c r="C160" i="12"/>
  <c r="C160" i="33"/>
  <c r="E160" i="33" s="1"/>
  <c r="G254" i="49"/>
  <c r="C253" i="39"/>
  <c r="G299" i="49"/>
  <c r="C298" i="39"/>
  <c r="C298" i="12"/>
  <c r="C298" i="33"/>
  <c r="E298" i="33" s="1"/>
  <c r="G116" i="49"/>
  <c r="C115" i="39"/>
  <c r="C115" i="12"/>
  <c r="G119" i="49"/>
  <c r="C118" i="39"/>
  <c r="C118" i="12"/>
  <c r="C118" i="33"/>
  <c r="E118" i="33" s="1"/>
  <c r="G285" i="49"/>
  <c r="C284" i="39"/>
  <c r="C284" i="12"/>
  <c r="G146" i="49"/>
  <c r="C145" i="39"/>
  <c r="C145" i="12"/>
  <c r="C145" i="33"/>
  <c r="E145" i="33" s="1"/>
  <c r="G141" i="49"/>
  <c r="C140" i="39"/>
  <c r="C140" i="12"/>
  <c r="G212" i="49"/>
  <c r="C211" i="39"/>
  <c r="C211" i="12"/>
  <c r="C211" i="33"/>
  <c r="E211" i="33" s="1"/>
  <c r="G314" i="49"/>
  <c r="C313" i="39"/>
  <c r="C313" i="12"/>
  <c r="G30" i="49"/>
  <c r="C29" i="39"/>
  <c r="C29" i="12"/>
  <c r="C29" i="33"/>
  <c r="E29" i="33" s="1"/>
  <c r="G240" i="49"/>
  <c r="C239" i="39"/>
  <c r="C239" i="12"/>
  <c r="G176" i="49"/>
  <c r="C175" i="39"/>
  <c r="C175" i="12"/>
  <c r="C175" i="33"/>
  <c r="E175" i="33" s="1"/>
  <c r="G295" i="49"/>
  <c r="C294" i="39"/>
  <c r="C294" i="12"/>
  <c r="C294" i="33"/>
  <c r="E294" i="33" s="1"/>
  <c r="G90" i="49"/>
  <c r="C89" i="39"/>
  <c r="C89" i="12"/>
  <c r="C89" i="33"/>
  <c r="E89" i="33" s="1"/>
  <c r="G262" i="49"/>
  <c r="C261" i="39"/>
  <c r="C261" i="12"/>
  <c r="C261" i="33"/>
  <c r="E261" i="33" s="1"/>
  <c r="G24" i="49"/>
  <c r="C23" i="39"/>
  <c r="C23" i="12"/>
  <c r="G186" i="49"/>
  <c r="C185" i="39"/>
  <c r="C185" i="12"/>
  <c r="C185" i="33"/>
  <c r="E185" i="33" s="1"/>
  <c r="G253" i="49"/>
  <c r="C252" i="39"/>
  <c r="C252" i="12"/>
  <c r="C252" i="33"/>
  <c r="E252" i="33" s="1"/>
  <c r="G131" i="49"/>
  <c r="C130" i="39"/>
  <c r="C130" i="12"/>
  <c r="C130" i="33"/>
  <c r="E130" i="33" s="1"/>
  <c r="G204" i="49"/>
  <c r="C203" i="39"/>
  <c r="C203" i="12"/>
  <c r="C203" i="33"/>
  <c r="E203" i="33" s="1"/>
  <c r="G216" i="49"/>
  <c r="C215" i="39"/>
  <c r="C215" i="12"/>
  <c r="C215" i="33"/>
  <c r="E215" i="33" s="1"/>
  <c r="G96" i="49"/>
  <c r="C95" i="39"/>
  <c r="C95" i="12"/>
  <c r="G60" i="49"/>
  <c r="C59" i="39"/>
  <c r="C59" i="12"/>
  <c r="C59" i="33"/>
  <c r="E59" i="33" s="1"/>
  <c r="G228" i="49"/>
  <c r="C227" i="39"/>
  <c r="C227" i="12"/>
  <c r="G57" i="49"/>
  <c r="C56" i="39"/>
  <c r="C56" i="12"/>
  <c r="C56" i="33"/>
  <c r="E56" i="33" s="1"/>
  <c r="G38" i="49"/>
  <c r="C37" i="39"/>
  <c r="C37" i="12"/>
  <c r="G289" i="49"/>
  <c r="C288" i="39"/>
  <c r="C288" i="12"/>
  <c r="C288" i="33"/>
  <c r="E288" i="33" s="1"/>
  <c r="G191" i="49"/>
  <c r="C190" i="39"/>
  <c r="C190" i="12"/>
  <c r="G218" i="49"/>
  <c r="C217" i="39"/>
  <c r="C217" i="12"/>
  <c r="C217" i="33"/>
  <c r="E217" i="33" s="1"/>
  <c r="G89" i="49"/>
  <c r="C88" i="39"/>
  <c r="C88" i="12"/>
  <c r="G91" i="49"/>
  <c r="C90" i="39"/>
  <c r="C90" i="12"/>
  <c r="C90" i="33"/>
  <c r="E90" i="33" s="1"/>
  <c r="G52" i="49"/>
  <c r="C51" i="39"/>
  <c r="C51" i="12"/>
  <c r="G130" i="49"/>
  <c r="C129" i="39"/>
  <c r="C129" i="12"/>
  <c r="C129" i="33"/>
  <c r="E129" i="33" s="1"/>
  <c r="G249" i="49"/>
  <c r="C248" i="39"/>
  <c r="C248" i="12"/>
  <c r="G41" i="49"/>
  <c r="C40" i="12"/>
  <c r="C40" i="39"/>
  <c r="C40" i="33"/>
  <c r="E40" i="33" s="1"/>
  <c r="G124" i="49"/>
  <c r="C123" i="39"/>
  <c r="C123" i="12"/>
  <c r="G311" i="49"/>
  <c r="C310" i="39"/>
  <c r="C310" i="12"/>
  <c r="C310" i="33"/>
  <c r="E310" i="33" s="1"/>
  <c r="G76" i="49"/>
  <c r="C75" i="39"/>
  <c r="C75" i="12"/>
  <c r="G71" i="49"/>
  <c r="C70" i="39"/>
  <c r="C70" i="12"/>
  <c r="C70" i="33"/>
  <c r="E70" i="33" s="1"/>
  <c r="G300" i="49"/>
  <c r="C299" i="39"/>
  <c r="C299" i="12"/>
  <c r="C299" i="33"/>
  <c r="E299" i="33" s="1"/>
  <c r="G271" i="49"/>
  <c r="C270" i="39"/>
  <c r="C270" i="12"/>
  <c r="C270" i="33"/>
  <c r="E270" i="33" s="1"/>
  <c r="G149" i="49"/>
  <c r="C148" i="39"/>
  <c r="C148" i="12"/>
  <c r="C148" i="33"/>
  <c r="E148" i="33" s="1"/>
  <c r="G301" i="49"/>
  <c r="C300" i="39"/>
  <c r="C300" i="12"/>
  <c r="C300" i="33"/>
  <c r="E300" i="33" s="1"/>
  <c r="C119" i="33"/>
  <c r="E119" i="33" s="1"/>
  <c r="G242" i="49"/>
  <c r="C241" i="39"/>
  <c r="C241" i="12"/>
  <c r="C241" i="33"/>
  <c r="E241" i="33" s="1"/>
  <c r="G280" i="49"/>
  <c r="C279" i="39"/>
  <c r="C279" i="12"/>
  <c r="C279" i="33"/>
  <c r="E279" i="33" s="1"/>
  <c r="G64" i="49"/>
  <c r="C63" i="39"/>
  <c r="C63" i="12"/>
  <c r="C63" i="33"/>
  <c r="E63" i="33" s="1"/>
  <c r="C189" i="33"/>
  <c r="E189" i="33" s="1"/>
  <c r="G33" i="49"/>
  <c r="C32" i="39"/>
  <c r="C32" i="12"/>
  <c r="C32" i="33"/>
  <c r="E32" i="33" s="1"/>
  <c r="G171" i="49"/>
  <c r="C170" i="39"/>
  <c r="C170" i="12"/>
  <c r="C170" i="33"/>
  <c r="E170" i="33" s="1"/>
  <c r="G196" i="49"/>
  <c r="C195" i="39"/>
  <c r="C195" i="12"/>
  <c r="C195" i="33"/>
  <c r="E195" i="33" s="1"/>
  <c r="C67" i="33"/>
  <c r="E67" i="33" s="1"/>
  <c r="G181" i="49"/>
  <c r="C180" i="39"/>
  <c r="C180" i="12"/>
  <c r="C180" i="33"/>
  <c r="E180" i="33" s="1"/>
  <c r="G70" i="49"/>
  <c r="C69" i="39"/>
  <c r="C69" i="12"/>
  <c r="C69" i="33"/>
  <c r="E69" i="33" s="1"/>
  <c r="G134" i="49"/>
  <c r="C133" i="39"/>
  <c r="C133" i="12"/>
  <c r="C133" i="33"/>
  <c r="E133" i="33" s="1"/>
  <c r="C281" i="33"/>
  <c r="E281" i="33" s="1"/>
  <c r="G211" i="49"/>
  <c r="C210" i="39"/>
  <c r="C210" i="12"/>
  <c r="C210" i="33"/>
  <c r="E210" i="33" s="1"/>
  <c r="F175" i="32"/>
  <c r="G175" i="32" s="1"/>
  <c r="F49" i="32"/>
  <c r="G49" i="32" s="1"/>
  <c r="F294" i="32"/>
  <c r="G294" i="32" s="1"/>
  <c r="F292" i="32"/>
  <c r="G292" i="32" s="1"/>
  <c r="F6" i="32"/>
  <c r="G6" i="32" s="1"/>
  <c r="F287" i="32"/>
  <c r="G287" i="32" s="1"/>
  <c r="F311" i="32"/>
  <c r="G311" i="32" s="1"/>
  <c r="F110" i="32"/>
  <c r="G110" i="32" s="1"/>
  <c r="F261" i="32"/>
  <c r="G261" i="32" s="1"/>
  <c r="F138" i="32"/>
  <c r="G138" i="32" s="1"/>
  <c r="F250" i="32"/>
  <c r="G250" i="32" s="1"/>
  <c r="F174" i="32"/>
  <c r="G174" i="32" s="1"/>
  <c r="F150" i="32"/>
  <c r="G150" i="32" s="1"/>
  <c r="F154" i="32"/>
  <c r="G154" i="32" s="1"/>
  <c r="F61" i="32"/>
  <c r="G61" i="32" s="1"/>
  <c r="F104" i="32"/>
  <c r="G104" i="32" s="1"/>
  <c r="F15" i="32"/>
  <c r="G15" i="32" s="1"/>
  <c r="F9" i="32"/>
  <c r="G9" i="32" s="1"/>
  <c r="F207" i="32"/>
  <c r="G207" i="32" s="1"/>
  <c r="F102" i="32"/>
  <c r="G102" i="32" s="1"/>
  <c r="F109" i="32"/>
  <c r="G109" i="32" s="1"/>
  <c r="F53" i="32"/>
  <c r="G53" i="32" s="1"/>
  <c r="F156" i="32"/>
  <c r="G156" i="32" s="1"/>
  <c r="F132" i="32"/>
  <c r="G132" i="32" s="1"/>
  <c r="F103" i="32"/>
  <c r="G103" i="32" s="1"/>
  <c r="F308" i="32"/>
  <c r="G308" i="32" s="1"/>
  <c r="F304" i="32"/>
  <c r="G304" i="32" s="1"/>
  <c r="F254" i="32"/>
  <c r="G254" i="32" s="1"/>
  <c r="F296" i="32"/>
  <c r="G296" i="32" s="1"/>
  <c r="F77" i="32"/>
  <c r="G77" i="32" s="1"/>
  <c r="F197" i="32"/>
  <c r="G197" i="32" s="1"/>
  <c r="F47" i="32"/>
  <c r="G47" i="32" s="1"/>
  <c r="F12" i="32"/>
  <c r="G12" i="32" s="1"/>
  <c r="F152" i="32"/>
  <c r="G152" i="32" s="1"/>
  <c r="F307" i="32"/>
  <c r="G307" i="32" s="1"/>
  <c r="F79" i="32"/>
  <c r="G79" i="32" s="1"/>
  <c r="F283" i="32"/>
  <c r="G283" i="32" s="1"/>
  <c r="F181" i="32"/>
  <c r="G181" i="32" s="1"/>
  <c r="F245" i="32"/>
  <c r="G245" i="32" s="1"/>
  <c r="F22" i="32"/>
  <c r="G22" i="32" s="1"/>
  <c r="F21" i="32"/>
  <c r="G21" i="32" s="1"/>
  <c r="F41" i="32"/>
  <c r="G41" i="32" s="1"/>
  <c r="F30" i="32"/>
  <c r="G30" i="32" s="1"/>
  <c r="F262" i="32"/>
  <c r="G262" i="32" s="1"/>
  <c r="F72" i="32"/>
  <c r="G72" i="32" s="1"/>
  <c r="F194" i="32"/>
  <c r="G194" i="32" s="1"/>
  <c r="F46" i="32"/>
  <c r="G46" i="32" s="1"/>
  <c r="F285" i="32"/>
  <c r="G285" i="32" s="1"/>
  <c r="F258" i="32"/>
  <c r="G258" i="32" s="1"/>
  <c r="F206" i="32"/>
  <c r="G206" i="32" s="1"/>
  <c r="F291" i="32"/>
  <c r="G291" i="32" s="1"/>
  <c r="F64" i="32"/>
  <c r="G64" i="32" s="1"/>
  <c r="F18" i="32"/>
  <c r="G18" i="32" s="1"/>
  <c r="F184" i="32"/>
  <c r="G184" i="32" s="1"/>
  <c r="F202" i="32"/>
  <c r="G202" i="32" s="1"/>
  <c r="F214" i="32"/>
  <c r="G214" i="32" s="1"/>
  <c r="F208" i="32"/>
  <c r="G208" i="32" s="1"/>
  <c r="F164" i="32"/>
  <c r="G164" i="32" s="1"/>
  <c r="F171" i="32"/>
  <c r="G171" i="32" s="1"/>
  <c r="F290" i="32"/>
  <c r="G290" i="32" s="1"/>
  <c r="F309" i="32"/>
  <c r="G309" i="32" s="1"/>
  <c r="F66" i="32"/>
  <c r="G66" i="32" s="1"/>
  <c r="F242" i="32"/>
  <c r="G242" i="32" s="1"/>
  <c r="F94" i="32"/>
  <c r="G94" i="32" s="1"/>
  <c r="F134" i="32"/>
  <c r="G134" i="32" s="1"/>
  <c r="F38" i="32"/>
  <c r="G38" i="32" s="1"/>
  <c r="F240" i="32"/>
  <c r="G240" i="32" s="1"/>
  <c r="F100" i="32"/>
  <c r="G100" i="32" s="1"/>
  <c r="F112" i="32"/>
  <c r="G112" i="32" s="1"/>
  <c r="F303" i="32"/>
  <c r="G303" i="32" s="1"/>
  <c r="F167" i="32"/>
  <c r="G167" i="32" s="1"/>
  <c r="F144" i="32"/>
  <c r="G144" i="32" s="1"/>
  <c r="F286" i="32"/>
  <c r="G286" i="32" s="1"/>
  <c r="F143" i="32"/>
  <c r="G143" i="32" s="1"/>
  <c r="F235" i="32"/>
  <c r="G235" i="32" s="1"/>
  <c r="F172" i="32"/>
  <c r="G172" i="32" s="1"/>
  <c r="F62" i="32"/>
  <c r="G62" i="32" s="1"/>
  <c r="F155" i="32"/>
  <c r="G155" i="32" s="1"/>
  <c r="F117" i="32"/>
  <c r="G117" i="32" s="1"/>
  <c r="F137" i="32"/>
  <c r="G137" i="32" s="1"/>
  <c r="F58" i="32"/>
  <c r="G58" i="32" s="1"/>
  <c r="F78" i="32"/>
  <c r="G78" i="32" s="1"/>
  <c r="F20" i="32"/>
  <c r="G20" i="32" s="1"/>
  <c r="F263" i="32"/>
  <c r="G263" i="32" s="1"/>
  <c r="F213" i="32"/>
  <c r="G213" i="32" s="1"/>
  <c r="F45" i="32"/>
  <c r="G45" i="32" s="1"/>
  <c r="F237" i="32"/>
  <c r="G237" i="32" s="1"/>
  <c r="F122" i="32"/>
  <c r="G122" i="32" s="1"/>
  <c r="F278" i="32"/>
  <c r="G278" i="32" s="1"/>
  <c r="F73" i="32"/>
  <c r="G73" i="32" s="1"/>
  <c r="F128" i="32"/>
  <c r="G128" i="32" s="1"/>
  <c r="F108" i="32"/>
  <c r="G108" i="32" s="1"/>
  <c r="F125" i="32"/>
  <c r="G125" i="32" s="1"/>
  <c r="F89" i="32"/>
  <c r="G89" i="32" s="1"/>
  <c r="F266" i="32"/>
  <c r="G266" i="32" s="1"/>
  <c r="F168" i="32"/>
  <c r="G168" i="32" s="1"/>
  <c r="F52" i="32"/>
  <c r="G52" i="32" s="1"/>
  <c r="F280" i="32"/>
  <c r="G280" i="32" s="1"/>
  <c r="F83" i="32"/>
  <c r="G83" i="32" s="1"/>
  <c r="F162" i="32"/>
  <c r="G162" i="32" s="1"/>
  <c r="F231" i="32"/>
  <c r="G231" i="32" s="1"/>
  <c r="F176" i="32"/>
  <c r="G176" i="32" s="1"/>
  <c r="F92" i="32"/>
  <c r="G92" i="32" s="1"/>
  <c r="F124" i="32"/>
  <c r="G124" i="32" s="1"/>
  <c r="F139" i="32"/>
  <c r="G139" i="32" s="1"/>
  <c r="F48" i="32"/>
  <c r="G48" i="32" s="1"/>
  <c r="F93" i="32"/>
  <c r="G93" i="32" s="1"/>
  <c r="F191" i="32"/>
  <c r="G191" i="32" s="1"/>
  <c r="F55" i="32"/>
  <c r="G55" i="32" s="1"/>
  <c r="F268" i="32"/>
  <c r="G268" i="32" s="1"/>
  <c r="F216" i="32"/>
  <c r="G216" i="32" s="1"/>
  <c r="F71" i="32"/>
  <c r="G71" i="32" s="1"/>
  <c r="F34" i="32"/>
  <c r="G34" i="32" s="1"/>
  <c r="F136" i="32"/>
  <c r="G136" i="32" s="1"/>
  <c r="F260" i="32"/>
  <c r="G260" i="32" s="1"/>
  <c r="F225" i="32"/>
  <c r="G225" i="32" s="1"/>
  <c r="F31" i="32"/>
  <c r="G31" i="32" s="1"/>
  <c r="F219" i="32"/>
  <c r="G219" i="32" s="1"/>
  <c r="F182" i="32"/>
  <c r="G182" i="32" s="1"/>
  <c r="F113" i="32"/>
  <c r="G113" i="32" s="1"/>
  <c r="F163" i="32"/>
  <c r="G163" i="32" s="1"/>
  <c r="F13" i="32"/>
  <c r="G13" i="32" s="1"/>
  <c r="F218" i="32"/>
  <c r="G218" i="32" s="1"/>
  <c r="F267" i="32"/>
  <c r="G267" i="32" s="1"/>
  <c r="F65" i="32"/>
  <c r="G65" i="32" s="1"/>
  <c r="F147" i="32"/>
  <c r="G147" i="32" s="1"/>
  <c r="F7" i="32"/>
  <c r="G7" i="32" s="1"/>
  <c r="F275" i="32"/>
  <c r="G275" i="32" s="1"/>
  <c r="F188" i="32"/>
  <c r="G188" i="32" s="1"/>
  <c r="F101" i="32"/>
  <c r="G101" i="32" s="1"/>
  <c r="F228" i="32"/>
  <c r="G228" i="32" s="1"/>
  <c r="F76" i="32"/>
  <c r="G76" i="32" s="1"/>
  <c r="F295" i="32"/>
  <c r="G295" i="32" s="1"/>
  <c r="F249" i="32"/>
  <c r="G249" i="32" s="1"/>
  <c r="F11" i="32"/>
  <c r="G11" i="32" s="1"/>
  <c r="F35" i="32"/>
  <c r="G35" i="32" s="1"/>
  <c r="F50" i="32"/>
  <c r="G50" i="32" s="1"/>
  <c r="F135" i="32"/>
  <c r="G135" i="32" s="1"/>
  <c r="F24" i="32"/>
  <c r="G24" i="32" s="1"/>
  <c r="F222" i="32"/>
  <c r="G222" i="32" s="1"/>
  <c r="F16" i="32"/>
  <c r="G16" i="32" s="1"/>
  <c r="F302" i="32"/>
  <c r="G302" i="32" s="1"/>
  <c r="F166" i="32"/>
  <c r="G166" i="32" s="1"/>
  <c r="F149" i="32"/>
  <c r="G149" i="32" s="1"/>
  <c r="F127" i="32"/>
  <c r="G127" i="32" s="1"/>
  <c r="F272" i="32"/>
  <c r="G272" i="32" s="1"/>
  <c r="F306" i="32"/>
  <c r="G306" i="32" s="1"/>
  <c r="F87" i="32"/>
  <c r="G87" i="32" s="1"/>
  <c r="F193" i="32"/>
  <c r="G193" i="32" s="1"/>
  <c r="F99" i="32"/>
  <c r="G99" i="32" s="1"/>
  <c r="F54" i="32"/>
  <c r="G54" i="32" s="1"/>
  <c r="F107" i="32"/>
  <c r="G107" i="32" s="1"/>
  <c r="F251" i="32"/>
  <c r="G251" i="32" s="1"/>
  <c r="F36" i="32"/>
  <c r="G36" i="32" s="1"/>
  <c r="F131" i="32"/>
  <c r="G131" i="32" s="1"/>
  <c r="F141" i="32"/>
  <c r="G141" i="32" s="1"/>
  <c r="F201" i="32"/>
  <c r="G201" i="32" s="1"/>
  <c r="F28" i="32"/>
  <c r="G28" i="32" s="1"/>
  <c r="F8" i="32"/>
  <c r="G8" i="32" s="1"/>
  <c r="F86" i="32"/>
  <c r="G86" i="32" s="1"/>
  <c r="F277" i="32"/>
  <c r="G277" i="32" s="1"/>
  <c r="F238" i="32"/>
  <c r="G238" i="32" s="1"/>
  <c r="F142" i="32"/>
  <c r="G142" i="32" s="1"/>
  <c r="F273" i="32"/>
  <c r="G273" i="32" s="1"/>
  <c r="F247" i="32"/>
  <c r="G247" i="32" s="1"/>
  <c r="F10" i="32"/>
  <c r="G10" i="32" s="1"/>
  <c r="F74" i="32"/>
  <c r="G74" i="32" s="1"/>
  <c r="F151" i="32"/>
  <c r="G151" i="32" s="1"/>
  <c r="F265" i="32"/>
  <c r="G265" i="32" s="1"/>
  <c r="F43" i="32"/>
  <c r="G43" i="32" s="1"/>
  <c r="F105" i="32"/>
  <c r="G105" i="32" s="1"/>
  <c r="F271" i="32"/>
  <c r="G271" i="32" s="1"/>
  <c r="F255" i="32"/>
  <c r="G255" i="32" s="1"/>
  <c r="F17" i="32"/>
  <c r="G17" i="32" s="1"/>
  <c r="F120" i="32"/>
  <c r="G120" i="32" s="1"/>
  <c r="F274" i="32"/>
  <c r="G274" i="32" s="1"/>
  <c r="F305" i="32"/>
  <c r="G305" i="32" s="1"/>
  <c r="F177" i="32"/>
  <c r="G177" i="32" s="1"/>
  <c r="F230" i="32"/>
  <c r="G230" i="32" s="1"/>
  <c r="F157" i="32"/>
  <c r="G157" i="32" s="1"/>
  <c r="F121" i="32"/>
  <c r="G121" i="32" s="1"/>
  <c r="F192" i="32"/>
  <c r="G192" i="32" s="1"/>
  <c r="F276" i="32"/>
  <c r="G276" i="32" s="1"/>
  <c r="F97" i="32"/>
  <c r="G97" i="32" s="1"/>
  <c r="F289" i="32"/>
  <c r="G289" i="32" s="1"/>
  <c r="F198" i="32"/>
  <c r="G198" i="32" s="1"/>
  <c r="F220" i="32"/>
  <c r="G220" i="32" s="1"/>
  <c r="F229" i="32"/>
  <c r="G229" i="32" s="1"/>
  <c r="F297" i="32"/>
  <c r="G297" i="32" s="1"/>
  <c r="F269" i="32"/>
  <c r="G269" i="32" s="1"/>
  <c r="F204" i="32"/>
  <c r="G204" i="32" s="1"/>
  <c r="F39" i="32"/>
  <c r="G39" i="32" s="1"/>
  <c r="F44" i="32"/>
  <c r="G44" i="32" s="1"/>
  <c r="F85" i="32"/>
  <c r="G85" i="32" s="1"/>
  <c r="F23" i="32"/>
  <c r="G23" i="32" s="1"/>
  <c r="F185" i="32"/>
  <c r="G185" i="32" s="1"/>
  <c r="F252" i="32"/>
  <c r="G252" i="32" s="1"/>
  <c r="F234" i="32"/>
  <c r="G234" i="32" s="1"/>
  <c r="F130" i="32"/>
  <c r="G130" i="32" s="1"/>
  <c r="F203" i="32"/>
  <c r="G203" i="32" s="1"/>
  <c r="F257" i="32"/>
  <c r="G257" i="32" s="1"/>
  <c r="F96" i="32"/>
  <c r="G96" i="32" s="1"/>
  <c r="F186" i="32"/>
  <c r="G186" i="32" s="1"/>
  <c r="F179" i="32"/>
  <c r="G179" i="32" s="1"/>
  <c r="F158" i="32"/>
  <c r="G158" i="32" s="1"/>
  <c r="F312" i="32"/>
  <c r="G312" i="32" s="1"/>
  <c r="F165" i="32"/>
  <c r="G165" i="32" s="1"/>
  <c r="F81" i="32"/>
  <c r="G81" i="32" s="1"/>
  <c r="F161" i="32"/>
  <c r="G161" i="32" s="1"/>
  <c r="F116" i="32"/>
  <c r="G116" i="32" s="1"/>
  <c r="F233" i="32"/>
  <c r="G233" i="32" s="1"/>
  <c r="F226" i="32"/>
  <c r="G226" i="32" s="1"/>
  <c r="F26" i="32"/>
  <c r="G26" i="32" s="1"/>
  <c r="F212" i="32"/>
  <c r="G212" i="32" s="1"/>
  <c r="F153" i="32"/>
  <c r="G153" i="32" s="1"/>
  <c r="F199" i="32"/>
  <c r="G199" i="32" s="1"/>
  <c r="F60" i="32"/>
  <c r="G60" i="32" s="1"/>
  <c r="F111" i="32"/>
  <c r="G111" i="32" s="1"/>
  <c r="F27" i="32"/>
  <c r="G27" i="32" s="1"/>
  <c r="F160" i="32"/>
  <c r="G160" i="32" s="1"/>
  <c r="F253" i="32"/>
  <c r="G253" i="32" s="1"/>
  <c r="F298" i="32"/>
  <c r="G298" i="32" s="1"/>
  <c r="F115" i="32"/>
  <c r="G115" i="32" s="1"/>
  <c r="F118" i="32"/>
  <c r="G118" i="32" s="1"/>
  <c r="F284" i="32"/>
  <c r="G284" i="32" s="1"/>
  <c r="F145" i="32"/>
  <c r="G145" i="32" s="1"/>
  <c r="F140" i="32"/>
  <c r="G140" i="32" s="1"/>
  <c r="F211" i="32"/>
  <c r="G211" i="32" s="1"/>
  <c r="F313" i="32"/>
  <c r="G313" i="32" s="1"/>
  <c r="F29" i="32"/>
  <c r="G29" i="32" s="1"/>
  <c r="F239" i="32"/>
  <c r="G239" i="32" s="1"/>
  <c r="F19" i="32"/>
  <c r="G19" i="32" s="1"/>
  <c r="F200" i="32"/>
  <c r="G200" i="32" s="1"/>
  <c r="F68" i="32"/>
  <c r="G68" i="32" s="1"/>
  <c r="F196" i="32"/>
  <c r="G196" i="32" s="1"/>
  <c r="F126" i="32"/>
  <c r="G126" i="32" s="1"/>
  <c r="F84" i="32"/>
  <c r="G84" i="32" s="1"/>
  <c r="F205" i="32"/>
  <c r="G205" i="32" s="1"/>
  <c r="F98" i="32"/>
  <c r="G98" i="32" s="1"/>
  <c r="F106" i="32"/>
  <c r="G106" i="32" s="1"/>
  <c r="F91" i="32"/>
  <c r="G91" i="32" s="1"/>
  <c r="F14" i="32"/>
  <c r="G14" i="32" s="1"/>
  <c r="F259" i="32"/>
  <c r="G259" i="32" s="1"/>
  <c r="F42" i="32"/>
  <c r="G42" i="32" s="1"/>
  <c r="F224" i="32"/>
  <c r="G224" i="32" s="1"/>
  <c r="F246" i="32"/>
  <c r="G246" i="32" s="1"/>
  <c r="F187" i="32"/>
  <c r="G187" i="32" s="1"/>
  <c r="F114" i="32"/>
  <c r="G114" i="32" s="1"/>
  <c r="F173" i="32"/>
  <c r="G173" i="32" s="1"/>
  <c r="F293" i="32"/>
  <c r="G293" i="32" s="1"/>
  <c r="F159" i="32"/>
  <c r="G159" i="32" s="1"/>
  <c r="F256" i="32"/>
  <c r="G256" i="32" s="1"/>
  <c r="F232" i="32"/>
  <c r="G232" i="32" s="1"/>
  <c r="F183" i="32"/>
  <c r="G183" i="32" s="1"/>
  <c r="F301" i="32"/>
  <c r="G301" i="32" s="1"/>
  <c r="F223" i="32"/>
  <c r="G223" i="32" s="1"/>
  <c r="F244" i="32"/>
  <c r="G244" i="32" s="1"/>
  <c r="F264" i="32"/>
  <c r="G264" i="32" s="1"/>
  <c r="F57" i="32"/>
  <c r="G57" i="32" s="1"/>
  <c r="F146" i="32"/>
  <c r="G146" i="32" s="1"/>
  <c r="F282" i="32"/>
  <c r="G282" i="32" s="1"/>
  <c r="F178" i="32"/>
  <c r="G178" i="32" s="1"/>
  <c r="F25" i="32"/>
  <c r="G25" i="32" s="1"/>
  <c r="F209" i="32"/>
  <c r="G209" i="32" s="1"/>
  <c r="F82" i="32"/>
  <c r="G82" i="32" s="1"/>
  <c r="F33" i="32"/>
  <c r="G33" i="32" s="1"/>
  <c r="F236" i="32"/>
  <c r="G236" i="32" s="1"/>
  <c r="F221" i="32"/>
  <c r="G221" i="32" s="1"/>
  <c r="F80" i="32"/>
  <c r="G80" i="32" s="1"/>
  <c r="F215" i="32"/>
  <c r="G215" i="32" s="1"/>
  <c r="F95" i="32"/>
  <c r="G95" i="32" s="1"/>
  <c r="F59" i="32"/>
  <c r="G59" i="32" s="1"/>
  <c r="F227" i="32"/>
  <c r="G227" i="32" s="1"/>
  <c r="F56" i="32"/>
  <c r="G56" i="32" s="1"/>
  <c r="F37" i="32"/>
  <c r="G37" i="32" s="1"/>
  <c r="F288" i="32"/>
  <c r="G288" i="32" s="1"/>
  <c r="F190" i="32"/>
  <c r="G190" i="32" s="1"/>
  <c r="F217" i="32"/>
  <c r="G217" i="32" s="1"/>
  <c r="F88" i="32"/>
  <c r="G88" i="32" s="1"/>
  <c r="F90" i="32"/>
  <c r="G90" i="32" s="1"/>
  <c r="F51" i="32"/>
  <c r="G51" i="32" s="1"/>
  <c r="F129" i="32"/>
  <c r="G129" i="32" s="1"/>
  <c r="F248" i="32"/>
  <c r="G248" i="32" s="1"/>
  <c r="F40" i="32"/>
  <c r="G40" i="32" s="1"/>
  <c r="F123" i="32"/>
  <c r="G123" i="32" s="1"/>
  <c r="F310" i="32"/>
  <c r="G310" i="32" s="1"/>
  <c r="F75" i="32"/>
  <c r="G75" i="32" s="1"/>
  <c r="F70" i="32"/>
  <c r="G70" i="32" s="1"/>
  <c r="F299" i="32"/>
  <c r="G299" i="32" s="1"/>
  <c r="F270" i="32"/>
  <c r="G270" i="32" s="1"/>
  <c r="F148" i="32"/>
  <c r="G148" i="32" s="1"/>
  <c r="F300" i="32"/>
  <c r="G300" i="32" s="1"/>
  <c r="F241" i="32"/>
  <c r="G241" i="32" s="1"/>
  <c r="F279" i="32"/>
  <c r="G279" i="32" s="1"/>
  <c r="F63" i="32"/>
  <c r="G63" i="32" s="1"/>
  <c r="F32" i="32"/>
  <c r="G32" i="32" s="1"/>
  <c r="F170" i="32"/>
  <c r="G170" i="32" s="1"/>
  <c r="F195" i="32"/>
  <c r="G195" i="32" s="1"/>
  <c r="F180" i="32"/>
  <c r="G180" i="32" s="1"/>
  <c r="F69" i="32"/>
  <c r="G69" i="32" s="1"/>
  <c r="F133" i="32"/>
  <c r="G133" i="32" s="1"/>
  <c r="F210" i="32"/>
  <c r="G210" i="32" s="1"/>
  <c r="U245" i="19"/>
  <c r="U171" i="19"/>
  <c r="J219" i="13"/>
  <c r="A219" i="49"/>
  <c r="B219" i="49"/>
  <c r="A170" i="49"/>
  <c r="B170" i="49"/>
  <c r="A219" i="13"/>
  <c r="B219" i="13"/>
  <c r="A170" i="13"/>
  <c r="B170" i="13"/>
  <c r="A218" i="39"/>
  <c r="B218" i="39"/>
  <c r="A169" i="39"/>
  <c r="B169" i="39"/>
  <c r="F67" i="32" l="1"/>
  <c r="G67" i="32" s="1"/>
  <c r="F119" i="32"/>
  <c r="G119" i="32" s="1"/>
  <c r="C281" i="12"/>
  <c r="C67" i="12"/>
  <c r="C189" i="12"/>
  <c r="C119" i="12"/>
  <c r="C281" i="39"/>
  <c r="C67" i="39"/>
  <c r="C189" i="39"/>
  <c r="C119" i="39"/>
  <c r="F281" i="32"/>
  <c r="G281" i="32" s="1"/>
  <c r="F189" i="32"/>
  <c r="G189" i="32" s="1"/>
  <c r="C26" i="12"/>
  <c r="C233" i="39"/>
  <c r="G162" i="49"/>
  <c r="C186" i="39"/>
  <c r="G258" i="49"/>
  <c r="C86" i="12"/>
  <c r="C28" i="39"/>
  <c r="G142" i="49"/>
  <c r="C249" i="12"/>
  <c r="C76" i="39"/>
  <c r="G102" i="49"/>
  <c r="G219" i="49"/>
  <c r="C13" i="12"/>
  <c r="C80" i="39"/>
  <c r="G164" i="49"/>
  <c r="C31" i="12"/>
  <c r="C209" i="39"/>
  <c r="C25" i="12"/>
  <c r="G199" i="49"/>
  <c r="C289" i="39"/>
  <c r="C146" i="12"/>
  <c r="G58" i="49"/>
  <c r="C264" i="39"/>
  <c r="C121" i="12"/>
  <c r="C223" i="12"/>
  <c r="G231" i="49"/>
  <c r="C183" i="39"/>
  <c r="C139" i="12"/>
  <c r="G306" i="49"/>
  <c r="C274" i="39"/>
  <c r="C92" i="12"/>
  <c r="G18" i="49"/>
  <c r="C173" i="39"/>
  <c r="C187" i="12"/>
  <c r="G106" i="49"/>
  <c r="C83" i="39"/>
  <c r="C280" i="12"/>
  <c r="G53" i="49"/>
  <c r="C45" i="12"/>
  <c r="C20" i="12"/>
  <c r="G59" i="49"/>
  <c r="C155" i="39"/>
  <c r="C235" i="12"/>
  <c r="G287" i="49"/>
  <c r="C303" i="39"/>
  <c r="C240" i="12"/>
  <c r="G135" i="49"/>
  <c r="C66" i="39"/>
  <c r="C171" i="12"/>
  <c r="G209" i="49"/>
  <c r="C184" i="39"/>
  <c r="C291" i="12"/>
  <c r="G15" i="49"/>
  <c r="C292" i="39"/>
  <c r="C285" i="12"/>
  <c r="C194" i="39"/>
  <c r="C30" i="39"/>
  <c r="C22" i="12"/>
  <c r="G182" i="49"/>
  <c r="C307" i="39"/>
  <c r="C47" i="12"/>
  <c r="G78" i="49"/>
  <c r="C304" i="39"/>
  <c r="C132" i="12"/>
  <c r="G54" i="49"/>
  <c r="C207" i="39"/>
  <c r="C104" i="12"/>
  <c r="G155" i="49"/>
  <c r="C250" i="39"/>
  <c r="C74" i="39"/>
  <c r="G7" i="49"/>
  <c r="C253" i="12"/>
  <c r="C27" i="39"/>
  <c r="G61" i="49"/>
  <c r="C158" i="12"/>
  <c r="C107" i="12"/>
  <c r="C99" i="39"/>
  <c r="G88" i="49"/>
  <c r="C302" i="12"/>
  <c r="C222" i="39"/>
  <c r="G136" i="49"/>
  <c r="C147" i="12"/>
  <c r="C267" i="39"/>
  <c r="C204" i="12"/>
  <c r="C182" i="39"/>
  <c r="G34" i="49"/>
  <c r="G226" i="49"/>
  <c r="C260" i="39"/>
  <c r="C136" i="12"/>
  <c r="G283" i="49"/>
  <c r="C34" i="39"/>
  <c r="C71" i="12"/>
  <c r="G193" i="49"/>
  <c r="G158" i="49"/>
  <c r="C191" i="39"/>
  <c r="C93" i="12"/>
  <c r="G49" i="49"/>
  <c r="C232" i="39"/>
  <c r="C124" i="12"/>
  <c r="G160" i="49"/>
  <c r="C293" i="39"/>
  <c r="C255" i="12"/>
  <c r="G115" i="49"/>
  <c r="C162" i="39"/>
  <c r="C43" i="12"/>
  <c r="G225" i="49"/>
  <c r="C42" i="39"/>
  <c r="C237" i="12"/>
  <c r="G214" i="49"/>
  <c r="C78" i="39"/>
  <c r="C117" i="12"/>
  <c r="G63" i="49"/>
  <c r="C143" i="39"/>
  <c r="C167" i="12"/>
  <c r="G113" i="49"/>
  <c r="C38" i="39"/>
  <c r="C242" i="12"/>
  <c r="G310" i="49"/>
  <c r="C164" i="39"/>
  <c r="C202" i="12"/>
  <c r="G19" i="49"/>
  <c r="C206" i="39"/>
  <c r="C287" i="12"/>
  <c r="G143" i="49"/>
  <c r="C46" i="39"/>
  <c r="C262" i="12"/>
  <c r="G42" i="49"/>
  <c r="C245" i="39"/>
  <c r="C79" i="12"/>
  <c r="G153" i="49"/>
  <c r="C197" i="39"/>
  <c r="C254" i="12"/>
  <c r="G309" i="49"/>
  <c r="C156" i="39"/>
  <c r="C102" i="12"/>
  <c r="G10" i="49"/>
  <c r="C61" i="39"/>
  <c r="C174" i="12"/>
  <c r="G139" i="49"/>
  <c r="C125" i="39"/>
  <c r="G180" i="49"/>
  <c r="C179" i="12"/>
  <c r="C179" i="39"/>
  <c r="C179" i="33"/>
  <c r="E179" i="33" s="1"/>
  <c r="C272" i="39"/>
  <c r="C272" i="12"/>
  <c r="G273" i="49"/>
  <c r="C272" i="33"/>
  <c r="E272" i="33" s="1"/>
  <c r="C271" i="39"/>
  <c r="G272" i="49"/>
  <c r="C271" i="12"/>
  <c r="C271" i="33"/>
  <c r="E271" i="33" s="1"/>
  <c r="C128" i="12"/>
  <c r="C128" i="33"/>
  <c r="E128" i="33" s="1"/>
  <c r="G129" i="49"/>
  <c r="C128" i="39"/>
  <c r="G170" i="49"/>
  <c r="C169" i="39"/>
  <c r="C169" i="12"/>
  <c r="C169" i="33"/>
  <c r="E169" i="33" s="1"/>
  <c r="G244" i="49"/>
  <c r="C243" i="39"/>
  <c r="C243" i="12"/>
  <c r="C243" i="33"/>
  <c r="E243" i="33" s="1"/>
  <c r="F169" i="32"/>
  <c r="G169" i="32" s="1"/>
  <c r="F243" i="32"/>
  <c r="G243" i="32" s="1"/>
  <c r="J244" i="13"/>
  <c r="J170" i="13"/>
  <c r="M4" i="11"/>
  <c r="I4" i="11"/>
  <c r="M8" i="42" l="1"/>
  <c r="X8" i="42" s="1"/>
  <c r="M9" i="42"/>
  <c r="X9" i="42" s="1"/>
  <c r="M10" i="42"/>
  <c r="X10" i="42" s="1"/>
  <c r="M11" i="42"/>
  <c r="X11" i="42" s="1"/>
  <c r="M12" i="42"/>
  <c r="X12" i="42" s="1"/>
  <c r="M13" i="42"/>
  <c r="X13" i="42" s="1"/>
  <c r="M14" i="42"/>
  <c r="X14" i="42" s="1"/>
  <c r="M15" i="42"/>
  <c r="X15" i="42" s="1"/>
  <c r="M16" i="42"/>
  <c r="X16" i="42" s="1"/>
  <c r="M17" i="42"/>
  <c r="X17" i="42" s="1"/>
  <c r="M18" i="42"/>
  <c r="X18" i="42" s="1"/>
  <c r="M19" i="42"/>
  <c r="X19" i="42" s="1"/>
  <c r="M20" i="42"/>
  <c r="X20" i="42" s="1"/>
  <c r="M21" i="42"/>
  <c r="X21" i="42" s="1"/>
  <c r="M22" i="42"/>
  <c r="X22" i="42" s="1"/>
  <c r="M23" i="42"/>
  <c r="X23" i="42" s="1"/>
  <c r="M24" i="42"/>
  <c r="X24" i="42" s="1"/>
  <c r="M25" i="42"/>
  <c r="X25" i="42" s="1"/>
  <c r="M26" i="42"/>
  <c r="X26" i="42" s="1"/>
  <c r="M27" i="42"/>
  <c r="X27" i="42" s="1"/>
  <c r="M28" i="42"/>
  <c r="X28" i="42" s="1"/>
  <c r="M29" i="42"/>
  <c r="X29" i="42" s="1"/>
  <c r="M30" i="42"/>
  <c r="X30" i="42" s="1"/>
  <c r="M31" i="42"/>
  <c r="X31" i="42" s="1"/>
  <c r="M32" i="42"/>
  <c r="X32" i="42" s="1"/>
  <c r="M33" i="42"/>
  <c r="X33" i="42" s="1"/>
  <c r="X34" i="42"/>
  <c r="M35" i="42"/>
  <c r="X35" i="42" s="1"/>
  <c r="M36" i="42"/>
  <c r="X36" i="42" s="1"/>
  <c r="M37" i="42"/>
  <c r="X37" i="42" s="1"/>
  <c r="M38" i="42"/>
  <c r="X38" i="42" s="1"/>
  <c r="M39" i="42"/>
  <c r="X39" i="42" s="1"/>
  <c r="M40" i="42"/>
  <c r="X40" i="42" s="1"/>
  <c r="M41" i="42"/>
  <c r="X41" i="42" s="1"/>
  <c r="M42" i="42"/>
  <c r="X42" i="42" s="1"/>
  <c r="M43" i="42"/>
  <c r="X43" i="42" s="1"/>
  <c r="M44" i="42"/>
  <c r="X44" i="42" s="1"/>
  <c r="M45" i="42"/>
  <c r="X45" i="42" s="1"/>
  <c r="M46" i="42"/>
  <c r="X46" i="42" s="1"/>
  <c r="M47" i="42"/>
  <c r="X47" i="42" s="1"/>
  <c r="M48" i="42"/>
  <c r="X48" i="42" s="1"/>
  <c r="M49" i="42"/>
  <c r="X49" i="42" s="1"/>
  <c r="M50" i="42"/>
  <c r="X50" i="42" s="1"/>
  <c r="M51" i="42"/>
  <c r="X51" i="42" s="1"/>
  <c r="M52" i="42"/>
  <c r="X52" i="42" s="1"/>
  <c r="M53" i="42"/>
  <c r="X53" i="42" s="1"/>
  <c r="M54" i="42"/>
  <c r="X54" i="42" s="1"/>
  <c r="M55" i="42"/>
  <c r="X55" i="42" s="1"/>
  <c r="M56" i="42"/>
  <c r="X56" i="42" s="1"/>
  <c r="M57" i="42"/>
  <c r="X57" i="42" s="1"/>
  <c r="M58" i="42"/>
  <c r="X58" i="42" s="1"/>
  <c r="M59" i="42"/>
  <c r="X59" i="42" s="1"/>
  <c r="M60" i="42"/>
  <c r="X60" i="42" s="1"/>
  <c r="M61" i="42"/>
  <c r="X61" i="42" s="1"/>
  <c r="M62" i="42"/>
  <c r="X62" i="42" s="1"/>
  <c r="M63" i="42"/>
  <c r="X63" i="42" s="1"/>
  <c r="M64" i="42"/>
  <c r="X64" i="42" s="1"/>
  <c r="M65" i="42"/>
  <c r="X65" i="42" s="1"/>
  <c r="M66" i="42"/>
  <c r="X66" i="42" s="1"/>
  <c r="M67" i="42"/>
  <c r="X67" i="42" s="1"/>
  <c r="M69" i="42"/>
  <c r="X69" i="42" s="1"/>
  <c r="M70" i="42"/>
  <c r="X70" i="42" s="1"/>
  <c r="M71" i="42"/>
  <c r="X71" i="42" s="1"/>
  <c r="M72" i="42"/>
  <c r="X72" i="42" s="1"/>
  <c r="M73" i="42"/>
  <c r="X73" i="42" s="1"/>
  <c r="M74" i="42"/>
  <c r="X74" i="42" s="1"/>
  <c r="M75" i="42"/>
  <c r="X75" i="42" s="1"/>
  <c r="M76" i="42"/>
  <c r="X76" i="42" s="1"/>
  <c r="M77" i="42"/>
  <c r="X77" i="42" s="1"/>
  <c r="M78" i="42"/>
  <c r="X78" i="42" s="1"/>
  <c r="M79" i="42"/>
  <c r="X79" i="42" s="1"/>
  <c r="M80" i="42"/>
  <c r="X80" i="42" s="1"/>
  <c r="M81" i="42"/>
  <c r="X81" i="42" s="1"/>
  <c r="M82" i="42"/>
  <c r="X82" i="42" s="1"/>
  <c r="M83" i="42"/>
  <c r="X83" i="42" s="1"/>
  <c r="M84" i="42"/>
  <c r="X84" i="42" s="1"/>
  <c r="M85" i="42"/>
  <c r="X85" i="42" s="1"/>
  <c r="M86" i="42"/>
  <c r="X86" i="42" s="1"/>
  <c r="M87" i="42"/>
  <c r="X87" i="42" s="1"/>
  <c r="M88" i="42"/>
  <c r="X88" i="42" s="1"/>
  <c r="M89" i="42"/>
  <c r="X89" i="42" s="1"/>
  <c r="M90" i="42"/>
  <c r="X90" i="42" s="1"/>
  <c r="M91" i="42"/>
  <c r="X91" i="42" s="1"/>
  <c r="M92" i="42"/>
  <c r="X92" i="42" s="1"/>
  <c r="M93" i="42"/>
  <c r="X93" i="42" s="1"/>
  <c r="M94" i="42"/>
  <c r="X94" i="42" s="1"/>
  <c r="M95" i="42"/>
  <c r="X95" i="42" s="1"/>
  <c r="M96" i="42"/>
  <c r="X96" i="42" s="1"/>
  <c r="M97" i="42"/>
  <c r="X97" i="42" s="1"/>
  <c r="M98" i="42"/>
  <c r="X98" i="42" s="1"/>
  <c r="M99" i="42"/>
  <c r="X99" i="42" s="1"/>
  <c r="M100" i="42"/>
  <c r="X100" i="42" s="1"/>
  <c r="M101" i="42"/>
  <c r="X101" i="42" s="1"/>
  <c r="M102" i="42"/>
  <c r="X102" i="42" s="1"/>
  <c r="M103" i="42"/>
  <c r="X103" i="42" s="1"/>
  <c r="M104" i="42"/>
  <c r="X104" i="42" s="1"/>
  <c r="M105" i="42"/>
  <c r="X105" i="42" s="1"/>
  <c r="M106" i="42"/>
  <c r="X106" i="42" s="1"/>
  <c r="M107" i="42"/>
  <c r="X107" i="42" s="1"/>
  <c r="M108" i="42"/>
  <c r="X108" i="42" s="1"/>
  <c r="M109" i="42"/>
  <c r="X109" i="42" s="1"/>
  <c r="M110" i="42"/>
  <c r="X110" i="42" s="1"/>
  <c r="M111" i="42"/>
  <c r="X111" i="42" s="1"/>
  <c r="M112" i="42"/>
  <c r="X112" i="42" s="1"/>
  <c r="M113" i="42"/>
  <c r="X113" i="42" s="1"/>
  <c r="M114" i="42"/>
  <c r="X114" i="42" s="1"/>
  <c r="M115" i="42"/>
  <c r="X115" i="42" s="1"/>
  <c r="M116" i="42"/>
  <c r="X116" i="42" s="1"/>
  <c r="M117" i="42"/>
  <c r="X117" i="42" s="1"/>
  <c r="M118" i="42"/>
  <c r="X118" i="42" s="1"/>
  <c r="M119" i="42"/>
  <c r="X119" i="42" s="1"/>
  <c r="M120" i="42"/>
  <c r="X120" i="42" s="1"/>
  <c r="M121" i="42"/>
  <c r="X121" i="42" s="1"/>
  <c r="M122" i="42"/>
  <c r="X122" i="42" s="1"/>
  <c r="M123" i="42"/>
  <c r="X123" i="42" s="1"/>
  <c r="M124" i="42"/>
  <c r="X124" i="42" s="1"/>
  <c r="M125" i="42"/>
  <c r="X125" i="42" s="1"/>
  <c r="M126" i="42"/>
  <c r="X126" i="42" s="1"/>
  <c r="M127" i="42"/>
  <c r="X127" i="42" s="1"/>
  <c r="M128" i="42"/>
  <c r="X128" i="42" s="1"/>
  <c r="M129" i="42"/>
  <c r="X129" i="42" s="1"/>
  <c r="M130" i="42"/>
  <c r="X130" i="42" s="1"/>
  <c r="M131" i="42"/>
  <c r="X131" i="42" s="1"/>
  <c r="M132" i="42"/>
  <c r="X132" i="42" s="1"/>
  <c r="M133" i="42"/>
  <c r="X133" i="42" s="1"/>
  <c r="M134" i="42"/>
  <c r="X134" i="42" s="1"/>
  <c r="M135" i="42"/>
  <c r="X135" i="42" s="1"/>
  <c r="M137" i="42"/>
  <c r="X137" i="42" s="1"/>
  <c r="M138" i="42"/>
  <c r="X138" i="42" s="1"/>
  <c r="M139" i="42"/>
  <c r="X139" i="42" s="1"/>
  <c r="M140" i="42"/>
  <c r="X140" i="42" s="1"/>
  <c r="M141" i="42"/>
  <c r="X141" i="42" s="1"/>
  <c r="M142" i="42"/>
  <c r="X142" i="42" s="1"/>
  <c r="M143" i="42"/>
  <c r="X143" i="42" s="1"/>
  <c r="M144" i="42"/>
  <c r="X144" i="42" s="1"/>
  <c r="M145" i="42"/>
  <c r="X145" i="42" s="1"/>
  <c r="M146" i="42"/>
  <c r="X146" i="42" s="1"/>
  <c r="M147" i="42"/>
  <c r="X147" i="42" s="1"/>
  <c r="M148" i="42"/>
  <c r="X148" i="42" s="1"/>
  <c r="M149" i="42"/>
  <c r="X149" i="42" s="1"/>
  <c r="M150" i="42"/>
  <c r="X150" i="42" s="1"/>
  <c r="M151" i="42"/>
  <c r="X151" i="42" s="1"/>
  <c r="M152" i="42"/>
  <c r="X152" i="42" s="1"/>
  <c r="M153" i="42"/>
  <c r="X153" i="42" s="1"/>
  <c r="M154" i="42"/>
  <c r="X154" i="42" s="1"/>
  <c r="M155" i="42"/>
  <c r="X155" i="42" s="1"/>
  <c r="M156" i="42"/>
  <c r="X156" i="42" s="1"/>
  <c r="M157" i="42"/>
  <c r="X157" i="42" s="1"/>
  <c r="M158" i="42"/>
  <c r="X158" i="42" s="1"/>
  <c r="M159" i="42"/>
  <c r="X159" i="42" s="1"/>
  <c r="M160" i="42"/>
  <c r="X160" i="42" s="1"/>
  <c r="M161" i="42"/>
  <c r="X161" i="42" s="1"/>
  <c r="M162" i="42"/>
  <c r="X162" i="42" s="1"/>
  <c r="M163" i="42"/>
  <c r="X163" i="42" s="1"/>
  <c r="M164" i="42"/>
  <c r="X164" i="42" s="1"/>
  <c r="M165" i="42"/>
  <c r="X165" i="42" s="1"/>
  <c r="M166" i="42"/>
  <c r="X166" i="42" s="1"/>
  <c r="M167" i="42"/>
  <c r="X167" i="42" s="1"/>
  <c r="M168" i="42"/>
  <c r="X168" i="42" s="1"/>
  <c r="M169" i="42"/>
  <c r="X169" i="42" s="1"/>
  <c r="X170" i="42"/>
  <c r="M172" i="42"/>
  <c r="X172" i="42" s="1"/>
  <c r="M173" i="42"/>
  <c r="X173" i="42" s="1"/>
  <c r="M174" i="42"/>
  <c r="X174" i="42" s="1"/>
  <c r="M175" i="42"/>
  <c r="X175" i="42" s="1"/>
  <c r="M176" i="42"/>
  <c r="X176" i="42" s="1"/>
  <c r="M177" i="42"/>
  <c r="X177" i="42" s="1"/>
  <c r="M178" i="42"/>
  <c r="X178" i="42" s="1"/>
  <c r="M179" i="42"/>
  <c r="X179" i="42" s="1"/>
  <c r="M180" i="42"/>
  <c r="X180" i="42" s="1"/>
  <c r="M181" i="42"/>
  <c r="X181" i="42" s="1"/>
  <c r="M182" i="42"/>
  <c r="X182" i="42" s="1"/>
  <c r="M183" i="42"/>
  <c r="X183" i="42" s="1"/>
  <c r="M184" i="42"/>
  <c r="X184" i="42" s="1"/>
  <c r="M185" i="42"/>
  <c r="X185" i="42" s="1"/>
  <c r="M186" i="42"/>
  <c r="X186" i="42" s="1"/>
  <c r="M187" i="42"/>
  <c r="X187" i="42" s="1"/>
  <c r="M188" i="42"/>
  <c r="X188" i="42" s="1"/>
  <c r="M189" i="42"/>
  <c r="X189" i="42" s="1"/>
  <c r="M190" i="42"/>
  <c r="X190" i="42" s="1"/>
  <c r="M191" i="42"/>
  <c r="X191" i="42" s="1"/>
  <c r="M192" i="42"/>
  <c r="X192" i="42" s="1"/>
  <c r="M193" i="42"/>
  <c r="X193" i="42" s="1"/>
  <c r="M194" i="42"/>
  <c r="X194" i="42" s="1"/>
  <c r="M195" i="42"/>
  <c r="X195" i="42" s="1"/>
  <c r="M196" i="42"/>
  <c r="X196" i="42" s="1"/>
  <c r="M197" i="42"/>
  <c r="X197" i="42" s="1"/>
  <c r="M198" i="42"/>
  <c r="X198" i="42" s="1"/>
  <c r="M199" i="42"/>
  <c r="X199" i="42" s="1"/>
  <c r="M200" i="42"/>
  <c r="X200" i="42" s="1"/>
  <c r="M201" i="42"/>
  <c r="X201" i="42" s="1"/>
  <c r="M202" i="42"/>
  <c r="X202" i="42" s="1"/>
  <c r="M203" i="42"/>
  <c r="X203" i="42" s="1"/>
  <c r="M204" i="42"/>
  <c r="X204" i="42" s="1"/>
  <c r="M205" i="42"/>
  <c r="X205" i="42" s="1"/>
  <c r="M206" i="42"/>
  <c r="X206" i="42" s="1"/>
  <c r="M207" i="42"/>
  <c r="X207" i="42" s="1"/>
  <c r="M208" i="42"/>
  <c r="X208" i="42" s="1"/>
  <c r="M209" i="42"/>
  <c r="X209" i="42" s="1"/>
  <c r="M210" i="42"/>
  <c r="X210" i="42" s="1"/>
  <c r="M211" i="42"/>
  <c r="X211" i="42" s="1"/>
  <c r="M212" i="42"/>
  <c r="X212" i="42" s="1"/>
  <c r="M213" i="42"/>
  <c r="X213" i="42" s="1"/>
  <c r="M214" i="42"/>
  <c r="X214" i="42" s="1"/>
  <c r="M215" i="42"/>
  <c r="X215" i="42" s="1"/>
  <c r="M216" i="42"/>
  <c r="X216" i="42" s="1"/>
  <c r="M217" i="42"/>
  <c r="X217" i="42" s="1"/>
  <c r="M218" i="42"/>
  <c r="X218" i="42" s="1"/>
  <c r="M219" i="42"/>
  <c r="X219" i="42" s="1"/>
  <c r="M221" i="42"/>
  <c r="X221" i="42" s="1"/>
  <c r="M222" i="42"/>
  <c r="X222" i="42" s="1"/>
  <c r="M223" i="42"/>
  <c r="X223" i="42" s="1"/>
  <c r="M224" i="42"/>
  <c r="X224" i="42" s="1"/>
  <c r="M225" i="42"/>
  <c r="X225" i="42" s="1"/>
  <c r="M226" i="42"/>
  <c r="X226" i="42" s="1"/>
  <c r="M227" i="42"/>
  <c r="X227" i="42" s="1"/>
  <c r="M228" i="42"/>
  <c r="X228" i="42" s="1"/>
  <c r="M229" i="42"/>
  <c r="X229" i="42" s="1"/>
  <c r="M230" i="42"/>
  <c r="X230" i="42" s="1"/>
  <c r="M231" i="42"/>
  <c r="X231" i="42" s="1"/>
  <c r="M232" i="42"/>
  <c r="X232" i="42" s="1"/>
  <c r="M233" i="42"/>
  <c r="X233" i="42" s="1"/>
  <c r="M234" i="42"/>
  <c r="X234" i="42" s="1"/>
  <c r="M235" i="42"/>
  <c r="X235" i="42" s="1"/>
  <c r="M236" i="42"/>
  <c r="X236" i="42" s="1"/>
  <c r="M237" i="42"/>
  <c r="X237" i="42" s="1"/>
  <c r="M238" i="42"/>
  <c r="X238" i="42" s="1"/>
  <c r="M240" i="42"/>
  <c r="X240" i="42" s="1"/>
  <c r="M241" i="42"/>
  <c r="X241" i="42" s="1"/>
  <c r="M242" i="42"/>
  <c r="X242" i="42" s="1"/>
  <c r="M243" i="42"/>
  <c r="X243" i="42" s="1"/>
  <c r="M244" i="42"/>
  <c r="X244" i="42" s="1"/>
  <c r="M247" i="42"/>
  <c r="X247" i="42" s="1"/>
  <c r="M248" i="42"/>
  <c r="X248" i="42" s="1"/>
  <c r="M249" i="42"/>
  <c r="X249" i="42" s="1"/>
  <c r="M250" i="42"/>
  <c r="X250" i="42" s="1"/>
  <c r="M251" i="42"/>
  <c r="X251" i="42" s="1"/>
  <c r="M252" i="42"/>
  <c r="X252" i="42" s="1"/>
  <c r="M253" i="42"/>
  <c r="X253" i="42" s="1"/>
  <c r="M254" i="42"/>
  <c r="X254" i="42" s="1"/>
  <c r="M255" i="42"/>
  <c r="X255" i="42" s="1"/>
  <c r="M256" i="42"/>
  <c r="X256" i="42" s="1"/>
  <c r="M257" i="42"/>
  <c r="X257" i="42" s="1"/>
  <c r="M258" i="42"/>
  <c r="X258" i="42" s="1"/>
  <c r="M259" i="42"/>
  <c r="X259" i="42" s="1"/>
  <c r="M260" i="42"/>
  <c r="X260" i="42" s="1"/>
  <c r="M261" i="42"/>
  <c r="X261" i="42" s="1"/>
  <c r="M263" i="42"/>
  <c r="X263" i="42" s="1"/>
  <c r="M264" i="42"/>
  <c r="X264" i="42" s="1"/>
  <c r="M265" i="42"/>
  <c r="X265" i="42" s="1"/>
  <c r="M266" i="42"/>
  <c r="X266" i="42" s="1"/>
  <c r="M267" i="42"/>
  <c r="X267" i="42" s="1"/>
  <c r="M268" i="42"/>
  <c r="X268" i="42" s="1"/>
  <c r="M269" i="42"/>
  <c r="X269" i="42" s="1"/>
  <c r="M270" i="42"/>
  <c r="X270" i="42" s="1"/>
  <c r="M271" i="42"/>
  <c r="X271" i="42" s="1"/>
  <c r="M272" i="42"/>
  <c r="X272" i="42" s="1"/>
  <c r="M273" i="42"/>
  <c r="X273" i="42" s="1"/>
  <c r="M275" i="42"/>
  <c r="X275" i="42" s="1"/>
  <c r="M276" i="42"/>
  <c r="X276" i="42" s="1"/>
  <c r="M277" i="42"/>
  <c r="X277" i="42" s="1"/>
  <c r="M278" i="42"/>
  <c r="X278" i="42" s="1"/>
  <c r="M279" i="42"/>
  <c r="X279" i="42" s="1"/>
  <c r="M280" i="42"/>
  <c r="X280" i="42" s="1"/>
  <c r="M281" i="42"/>
  <c r="X281" i="42" s="1"/>
  <c r="M282" i="42"/>
  <c r="X282" i="42" s="1"/>
  <c r="M283" i="42"/>
  <c r="X283" i="42" s="1"/>
  <c r="M284" i="42"/>
  <c r="X284" i="42" s="1"/>
  <c r="M285" i="42"/>
  <c r="X285" i="42" s="1"/>
  <c r="M286" i="42"/>
  <c r="X286" i="42" s="1"/>
  <c r="M287" i="42"/>
  <c r="X287" i="42" s="1"/>
  <c r="M288" i="42"/>
  <c r="X288" i="42" s="1"/>
  <c r="M289" i="42"/>
  <c r="X289" i="42" s="1"/>
  <c r="M290" i="42"/>
  <c r="X290" i="42" s="1"/>
  <c r="M291" i="42"/>
  <c r="X291" i="42" s="1"/>
  <c r="M292" i="42"/>
  <c r="X292" i="42" s="1"/>
  <c r="M293" i="42"/>
  <c r="X293" i="42" s="1"/>
  <c r="M294" i="42"/>
  <c r="X294" i="42" s="1"/>
  <c r="M295" i="42"/>
  <c r="X295" i="42" s="1"/>
  <c r="M296" i="42"/>
  <c r="X296" i="42" s="1"/>
  <c r="M297" i="42"/>
  <c r="X297" i="42" s="1"/>
  <c r="M298" i="42"/>
  <c r="X298" i="42" s="1"/>
  <c r="M299" i="42"/>
  <c r="X299" i="42" s="1"/>
  <c r="M300" i="42"/>
  <c r="X300" i="42" s="1"/>
  <c r="M301" i="42"/>
  <c r="X301" i="42" s="1"/>
  <c r="M302" i="42"/>
  <c r="X302" i="42" s="1"/>
  <c r="M303" i="42"/>
  <c r="X303" i="42" s="1"/>
  <c r="M304" i="42"/>
  <c r="X304" i="42" s="1"/>
  <c r="M305" i="42"/>
  <c r="X305" i="42" s="1"/>
  <c r="M306" i="42"/>
  <c r="X306" i="42" s="1"/>
  <c r="M307" i="42"/>
  <c r="X307" i="42" s="1"/>
  <c r="M308" i="42"/>
  <c r="X308" i="42" s="1"/>
  <c r="M309" i="42"/>
  <c r="X309" i="42" s="1"/>
  <c r="M310" i="42"/>
  <c r="X310" i="42" s="1"/>
  <c r="M311" i="42"/>
  <c r="X311" i="42" s="1"/>
  <c r="M312" i="42"/>
  <c r="X312" i="42" s="1"/>
  <c r="M313" i="42"/>
  <c r="X313" i="42" s="1"/>
  <c r="M314" i="42"/>
  <c r="X314" i="42" s="1"/>
  <c r="M315" i="42"/>
  <c r="X315" i="42" s="1"/>
  <c r="M136" i="42" l="1"/>
  <c r="X136" i="42" s="1"/>
  <c r="B6" i="48" l="1"/>
  <c r="B29" i="40" l="1"/>
  <c r="M7" i="42" l="1"/>
  <c r="X7" i="42" s="1"/>
  <c r="M262" i="42" l="1"/>
  <c r="X262" i="42" s="1"/>
  <c r="M68" i="42" l="1"/>
  <c r="X68" i="42" s="1"/>
  <c r="M274" i="42" l="1"/>
  <c r="X274" i="42" s="1"/>
  <c r="I5" i="13" l="1"/>
  <c r="AR6" i="19" l="1"/>
  <c r="S6" i="19"/>
  <c r="B61" i="40" l="1"/>
  <c r="K6" i="49" l="1"/>
  <c r="I5" i="49"/>
  <c r="A2" i="49"/>
  <c r="C315" i="49"/>
  <c r="A7" i="49"/>
  <c r="B7" i="49"/>
  <c r="A8" i="49"/>
  <c r="B8" i="49"/>
  <c r="A9" i="49"/>
  <c r="B9" i="49"/>
  <c r="A10" i="49"/>
  <c r="B10" i="49"/>
  <c r="A11" i="49"/>
  <c r="B11" i="49"/>
  <c r="A12" i="49"/>
  <c r="B12" i="49"/>
  <c r="A13" i="49"/>
  <c r="B13" i="49"/>
  <c r="A14" i="49"/>
  <c r="B14" i="49"/>
  <c r="A15" i="49"/>
  <c r="B15" i="49"/>
  <c r="A16" i="49"/>
  <c r="B16" i="49"/>
  <c r="A17" i="49"/>
  <c r="B17" i="49"/>
  <c r="A18" i="49"/>
  <c r="B18" i="49"/>
  <c r="A19" i="49"/>
  <c r="B19" i="49"/>
  <c r="A20" i="49"/>
  <c r="B20" i="49"/>
  <c r="A21" i="49"/>
  <c r="B21" i="49"/>
  <c r="A22" i="49"/>
  <c r="B22" i="49"/>
  <c r="A23" i="49"/>
  <c r="B23" i="49"/>
  <c r="A24" i="49"/>
  <c r="B24" i="49"/>
  <c r="A25" i="49"/>
  <c r="B25" i="49"/>
  <c r="A26" i="49"/>
  <c r="B26" i="49"/>
  <c r="A27" i="49"/>
  <c r="B27" i="49"/>
  <c r="A28" i="49"/>
  <c r="B28" i="49"/>
  <c r="A29" i="49"/>
  <c r="B29" i="49"/>
  <c r="A30" i="49"/>
  <c r="B30" i="49"/>
  <c r="A31" i="49"/>
  <c r="B31" i="49"/>
  <c r="A32" i="49"/>
  <c r="B32" i="49"/>
  <c r="A33" i="49"/>
  <c r="B33" i="49"/>
  <c r="A34" i="49"/>
  <c r="B34" i="49"/>
  <c r="A35" i="49"/>
  <c r="B35" i="49"/>
  <c r="A36" i="49"/>
  <c r="B36" i="49"/>
  <c r="A37" i="49"/>
  <c r="B37" i="49"/>
  <c r="A38" i="49"/>
  <c r="B38" i="49"/>
  <c r="A39" i="49"/>
  <c r="B39" i="49"/>
  <c r="A40" i="49"/>
  <c r="B40" i="49"/>
  <c r="A41" i="49"/>
  <c r="B41" i="49"/>
  <c r="A42" i="49"/>
  <c r="B42" i="49"/>
  <c r="A43" i="49"/>
  <c r="B43" i="49"/>
  <c r="A44" i="49"/>
  <c r="B44" i="49"/>
  <c r="A45" i="49"/>
  <c r="B45" i="49"/>
  <c r="A46" i="49"/>
  <c r="B46" i="49"/>
  <c r="A47" i="49"/>
  <c r="B47" i="49"/>
  <c r="A48" i="49"/>
  <c r="B48" i="49"/>
  <c r="A49" i="49"/>
  <c r="B49" i="49"/>
  <c r="A50" i="49"/>
  <c r="B50" i="49"/>
  <c r="A51" i="49"/>
  <c r="B51" i="49"/>
  <c r="A52" i="49"/>
  <c r="B52" i="49"/>
  <c r="A53" i="49"/>
  <c r="B53" i="49"/>
  <c r="A54" i="49"/>
  <c r="B54" i="49"/>
  <c r="A55" i="49"/>
  <c r="B55" i="49"/>
  <c r="A56" i="49"/>
  <c r="B56" i="49"/>
  <c r="A57" i="49"/>
  <c r="B57" i="49"/>
  <c r="A58" i="49"/>
  <c r="B58" i="49"/>
  <c r="A59" i="49"/>
  <c r="B59" i="49"/>
  <c r="A60" i="49"/>
  <c r="B60" i="49"/>
  <c r="A61" i="49"/>
  <c r="B61" i="49"/>
  <c r="A62" i="49"/>
  <c r="B62" i="49"/>
  <c r="A63" i="49"/>
  <c r="B63" i="49"/>
  <c r="A64" i="49"/>
  <c r="B64" i="49"/>
  <c r="A65" i="49"/>
  <c r="B65" i="49"/>
  <c r="A66" i="49"/>
  <c r="B66" i="49"/>
  <c r="A67" i="49"/>
  <c r="B67" i="49"/>
  <c r="A68" i="49"/>
  <c r="B68" i="49"/>
  <c r="A69" i="49"/>
  <c r="B69" i="49"/>
  <c r="A70" i="49"/>
  <c r="B70" i="49"/>
  <c r="A71" i="49"/>
  <c r="B71" i="49"/>
  <c r="A72" i="49"/>
  <c r="B72" i="49"/>
  <c r="A73" i="49"/>
  <c r="B73" i="49"/>
  <c r="A74" i="49"/>
  <c r="B74" i="49"/>
  <c r="A75" i="49"/>
  <c r="B75" i="49"/>
  <c r="A76" i="49"/>
  <c r="B76" i="49"/>
  <c r="A77" i="49"/>
  <c r="B77" i="49"/>
  <c r="A78" i="49"/>
  <c r="B78" i="49"/>
  <c r="A79" i="49"/>
  <c r="B79" i="49"/>
  <c r="A80" i="49"/>
  <c r="B80" i="49"/>
  <c r="A81" i="49"/>
  <c r="B81" i="49"/>
  <c r="A82" i="49"/>
  <c r="B82" i="49"/>
  <c r="A83" i="49"/>
  <c r="B83" i="49"/>
  <c r="A84" i="49"/>
  <c r="B84" i="49"/>
  <c r="A85" i="49"/>
  <c r="B85" i="49"/>
  <c r="A86" i="49"/>
  <c r="B86" i="49"/>
  <c r="A87" i="49"/>
  <c r="B87" i="49"/>
  <c r="A88" i="49"/>
  <c r="B88" i="49"/>
  <c r="A89" i="49"/>
  <c r="B89" i="49"/>
  <c r="A90" i="49"/>
  <c r="B90" i="49"/>
  <c r="A91" i="49"/>
  <c r="B91" i="49"/>
  <c r="A92" i="49"/>
  <c r="B92" i="49"/>
  <c r="A93" i="49"/>
  <c r="B93" i="49"/>
  <c r="A94" i="49"/>
  <c r="B94" i="49"/>
  <c r="A95" i="49"/>
  <c r="B95" i="49"/>
  <c r="A96" i="49"/>
  <c r="B96" i="49"/>
  <c r="A97" i="49"/>
  <c r="B97" i="49"/>
  <c r="A98" i="49"/>
  <c r="B98" i="49"/>
  <c r="A99" i="49"/>
  <c r="B99" i="49"/>
  <c r="A100" i="49"/>
  <c r="B100" i="49"/>
  <c r="A101" i="49"/>
  <c r="B101" i="49"/>
  <c r="A102" i="49"/>
  <c r="B102" i="49"/>
  <c r="A103" i="49"/>
  <c r="B103" i="49"/>
  <c r="A104" i="49"/>
  <c r="B104" i="49"/>
  <c r="A105" i="49"/>
  <c r="B105" i="49"/>
  <c r="A106" i="49"/>
  <c r="B106" i="49"/>
  <c r="A107" i="49"/>
  <c r="B107" i="49"/>
  <c r="A108" i="49"/>
  <c r="B108" i="49"/>
  <c r="A109" i="49"/>
  <c r="B109" i="49"/>
  <c r="A110" i="49"/>
  <c r="B110" i="49"/>
  <c r="A111" i="49"/>
  <c r="B111" i="49"/>
  <c r="A112" i="49"/>
  <c r="B112" i="49"/>
  <c r="A113" i="49"/>
  <c r="B113" i="49"/>
  <c r="A114" i="49"/>
  <c r="B114" i="49"/>
  <c r="A115" i="49"/>
  <c r="B115" i="49"/>
  <c r="A116" i="49"/>
  <c r="B116" i="49"/>
  <c r="A117" i="49"/>
  <c r="B117" i="49"/>
  <c r="A118" i="49"/>
  <c r="B118" i="49"/>
  <c r="A119" i="49"/>
  <c r="B119" i="49"/>
  <c r="A120" i="49"/>
  <c r="B120" i="49"/>
  <c r="A121" i="49"/>
  <c r="B121" i="49"/>
  <c r="A122" i="49"/>
  <c r="B122" i="49"/>
  <c r="A123" i="49"/>
  <c r="B123" i="49"/>
  <c r="A124" i="49"/>
  <c r="B124" i="49"/>
  <c r="A125" i="49"/>
  <c r="B125" i="49"/>
  <c r="A126" i="49"/>
  <c r="B126" i="49"/>
  <c r="A127" i="49"/>
  <c r="B127" i="49"/>
  <c r="A128" i="49"/>
  <c r="B128" i="49"/>
  <c r="A129" i="49"/>
  <c r="B129" i="49"/>
  <c r="A130" i="49"/>
  <c r="B130" i="49"/>
  <c r="A131" i="49"/>
  <c r="B131" i="49"/>
  <c r="A132" i="49"/>
  <c r="B132" i="49"/>
  <c r="A133" i="49"/>
  <c r="B133" i="49"/>
  <c r="A134" i="49"/>
  <c r="B134" i="49"/>
  <c r="A135" i="49"/>
  <c r="B135" i="49"/>
  <c r="A136" i="49"/>
  <c r="B136" i="49"/>
  <c r="A137" i="49"/>
  <c r="B137" i="49"/>
  <c r="A138" i="49"/>
  <c r="B138" i="49"/>
  <c r="A139" i="49"/>
  <c r="B139" i="49"/>
  <c r="A140" i="49"/>
  <c r="B140" i="49"/>
  <c r="A141" i="49"/>
  <c r="B141" i="49"/>
  <c r="A142" i="49"/>
  <c r="B142" i="49"/>
  <c r="A143" i="49"/>
  <c r="B143" i="49"/>
  <c r="A144" i="49"/>
  <c r="B144" i="49"/>
  <c r="A145" i="49"/>
  <c r="B145" i="49"/>
  <c r="A146" i="49"/>
  <c r="B146" i="49"/>
  <c r="A147" i="49"/>
  <c r="B147" i="49"/>
  <c r="A148" i="49"/>
  <c r="B148" i="49"/>
  <c r="A149" i="49"/>
  <c r="B149" i="49"/>
  <c r="A150" i="49"/>
  <c r="B150" i="49"/>
  <c r="A151" i="49"/>
  <c r="B151" i="49"/>
  <c r="A152" i="49"/>
  <c r="B152" i="49"/>
  <c r="A153" i="49"/>
  <c r="B153" i="49"/>
  <c r="A154" i="49"/>
  <c r="B154" i="49"/>
  <c r="A155" i="49"/>
  <c r="B155" i="49"/>
  <c r="A156" i="49"/>
  <c r="B156" i="49"/>
  <c r="A157" i="49"/>
  <c r="B157" i="49"/>
  <c r="A158" i="49"/>
  <c r="B158" i="49"/>
  <c r="A159" i="49"/>
  <c r="B159" i="49"/>
  <c r="A160" i="49"/>
  <c r="B160" i="49"/>
  <c r="A161" i="49"/>
  <c r="B161" i="49"/>
  <c r="A162" i="49"/>
  <c r="B162" i="49"/>
  <c r="A163" i="49"/>
  <c r="B163" i="49"/>
  <c r="A164" i="49"/>
  <c r="B164" i="49"/>
  <c r="A165" i="49"/>
  <c r="B165" i="49"/>
  <c r="A166" i="49"/>
  <c r="B166" i="49"/>
  <c r="A167" i="49"/>
  <c r="B167" i="49"/>
  <c r="A168" i="49"/>
  <c r="B168" i="49"/>
  <c r="A169" i="49"/>
  <c r="B169" i="49"/>
  <c r="A171" i="49"/>
  <c r="B171" i="49"/>
  <c r="A172" i="49"/>
  <c r="B172" i="49"/>
  <c r="A173" i="49"/>
  <c r="B173" i="49"/>
  <c r="A174" i="49"/>
  <c r="B174" i="49"/>
  <c r="A175" i="49"/>
  <c r="B175" i="49"/>
  <c r="A176" i="49"/>
  <c r="B176" i="49"/>
  <c r="A177" i="49"/>
  <c r="B177" i="49"/>
  <c r="A178" i="49"/>
  <c r="B178" i="49"/>
  <c r="A179" i="49"/>
  <c r="B179" i="49"/>
  <c r="A180" i="49"/>
  <c r="B180" i="49"/>
  <c r="A181" i="49"/>
  <c r="B181" i="49"/>
  <c r="A182" i="49"/>
  <c r="B182" i="49"/>
  <c r="A183" i="49"/>
  <c r="B183" i="49"/>
  <c r="A184" i="49"/>
  <c r="B184" i="49"/>
  <c r="A185" i="49"/>
  <c r="B185" i="49"/>
  <c r="A186" i="49"/>
  <c r="B186" i="49"/>
  <c r="A187" i="49"/>
  <c r="B187" i="49"/>
  <c r="A188" i="49"/>
  <c r="B188" i="49"/>
  <c r="A189" i="49"/>
  <c r="B189" i="49"/>
  <c r="A190" i="49"/>
  <c r="B190" i="49"/>
  <c r="A191" i="49"/>
  <c r="B191" i="49"/>
  <c r="A192" i="49"/>
  <c r="B192" i="49"/>
  <c r="A193" i="49"/>
  <c r="B193" i="49"/>
  <c r="A194" i="49"/>
  <c r="B194" i="49"/>
  <c r="A195" i="49"/>
  <c r="B195" i="49"/>
  <c r="A196" i="49"/>
  <c r="B196" i="49"/>
  <c r="A197" i="49"/>
  <c r="B197" i="49"/>
  <c r="A198" i="49"/>
  <c r="B198" i="49"/>
  <c r="A199" i="49"/>
  <c r="B199" i="49"/>
  <c r="A200" i="49"/>
  <c r="B200" i="49"/>
  <c r="A201" i="49"/>
  <c r="B201" i="49"/>
  <c r="A202" i="49"/>
  <c r="B202" i="49"/>
  <c r="A203" i="49"/>
  <c r="B203" i="49"/>
  <c r="A204" i="49"/>
  <c r="B204" i="49"/>
  <c r="A205" i="49"/>
  <c r="B205" i="49"/>
  <c r="A206" i="49"/>
  <c r="B206" i="49"/>
  <c r="A207" i="49"/>
  <c r="B207" i="49"/>
  <c r="A208" i="49"/>
  <c r="B208" i="49"/>
  <c r="A209" i="49"/>
  <c r="B209" i="49"/>
  <c r="A210" i="49"/>
  <c r="B210" i="49"/>
  <c r="A211" i="49"/>
  <c r="B211" i="49"/>
  <c r="A212" i="49"/>
  <c r="B212" i="49"/>
  <c r="A213" i="49"/>
  <c r="B213" i="49"/>
  <c r="A214" i="49"/>
  <c r="B214" i="49"/>
  <c r="A215" i="49"/>
  <c r="B215" i="49"/>
  <c r="A216" i="49"/>
  <c r="B216" i="49"/>
  <c r="A217" i="49"/>
  <c r="B217" i="49"/>
  <c r="A218" i="49"/>
  <c r="B218" i="49"/>
  <c r="A220" i="49"/>
  <c r="B220" i="49"/>
  <c r="A221" i="49"/>
  <c r="B221" i="49"/>
  <c r="A222" i="49"/>
  <c r="B222" i="49"/>
  <c r="A223" i="49"/>
  <c r="B223" i="49"/>
  <c r="A224" i="49"/>
  <c r="B224" i="49"/>
  <c r="A225" i="49"/>
  <c r="B225" i="49"/>
  <c r="A226" i="49"/>
  <c r="B226" i="49"/>
  <c r="A227" i="49"/>
  <c r="B227" i="49"/>
  <c r="A228" i="49"/>
  <c r="B228" i="49"/>
  <c r="A229" i="49"/>
  <c r="B229" i="49"/>
  <c r="A230" i="49"/>
  <c r="B230" i="49"/>
  <c r="A231" i="49"/>
  <c r="B231" i="49"/>
  <c r="A232" i="49"/>
  <c r="B232" i="49"/>
  <c r="A233" i="49"/>
  <c r="B233" i="49"/>
  <c r="A234" i="49"/>
  <c r="B234" i="49"/>
  <c r="A235" i="49"/>
  <c r="B235" i="49"/>
  <c r="A236" i="49"/>
  <c r="B236" i="49"/>
  <c r="A237" i="49"/>
  <c r="B237" i="49"/>
  <c r="A238" i="49"/>
  <c r="B238" i="49"/>
  <c r="A239" i="49"/>
  <c r="B239" i="49"/>
  <c r="A240" i="49"/>
  <c r="B240" i="49"/>
  <c r="A241" i="49"/>
  <c r="B241" i="49"/>
  <c r="A242" i="49"/>
  <c r="B242" i="49"/>
  <c r="B243" i="49"/>
  <c r="B245" i="49"/>
  <c r="B246" i="49"/>
  <c r="B247" i="49"/>
  <c r="A248" i="49"/>
  <c r="B248" i="49"/>
  <c r="A249" i="49"/>
  <c r="B249" i="49"/>
  <c r="A250" i="49"/>
  <c r="B250" i="49"/>
  <c r="A251" i="49"/>
  <c r="B251" i="49"/>
  <c r="A252" i="49"/>
  <c r="B252" i="49"/>
  <c r="A253" i="49"/>
  <c r="B253" i="49"/>
  <c r="A254" i="49"/>
  <c r="B254" i="49"/>
  <c r="A255" i="49"/>
  <c r="B255" i="49"/>
  <c r="A256" i="49"/>
  <c r="B256" i="49"/>
  <c r="A257" i="49"/>
  <c r="B257" i="49"/>
  <c r="A258" i="49"/>
  <c r="B258" i="49"/>
  <c r="A259" i="49"/>
  <c r="B259" i="49"/>
  <c r="A260" i="49"/>
  <c r="B260" i="49"/>
  <c r="A261" i="49"/>
  <c r="B261" i="49"/>
  <c r="A262" i="49"/>
  <c r="B262" i="49"/>
  <c r="A263" i="49"/>
  <c r="B263" i="49"/>
  <c r="A264" i="49"/>
  <c r="B264" i="49"/>
  <c r="A265" i="49"/>
  <c r="B265" i="49"/>
  <c r="A266" i="49"/>
  <c r="B266" i="49"/>
  <c r="A267" i="49"/>
  <c r="B267" i="49"/>
  <c r="A268" i="49"/>
  <c r="B268" i="49"/>
  <c r="A269" i="49"/>
  <c r="B269" i="49"/>
  <c r="A270" i="49"/>
  <c r="B270" i="49"/>
  <c r="A271" i="49"/>
  <c r="B271" i="49"/>
  <c r="A272" i="49"/>
  <c r="B272" i="49"/>
  <c r="A273" i="49"/>
  <c r="B273" i="49"/>
  <c r="A274" i="49"/>
  <c r="B274" i="49"/>
  <c r="A275" i="49"/>
  <c r="B275" i="49"/>
  <c r="A276" i="49"/>
  <c r="B276" i="49"/>
  <c r="A277" i="49"/>
  <c r="B277" i="49"/>
  <c r="A278" i="49"/>
  <c r="B278" i="49"/>
  <c r="A279" i="49"/>
  <c r="B279" i="49"/>
  <c r="A280" i="49"/>
  <c r="B280" i="49"/>
  <c r="A281" i="49"/>
  <c r="B281" i="49"/>
  <c r="A282" i="49"/>
  <c r="B282" i="49"/>
  <c r="A283" i="49"/>
  <c r="B283" i="49"/>
  <c r="A284" i="49"/>
  <c r="B284" i="49"/>
  <c r="A285" i="49"/>
  <c r="B285" i="49"/>
  <c r="A286" i="49"/>
  <c r="B286" i="49"/>
  <c r="A287" i="49"/>
  <c r="B287" i="49"/>
  <c r="A288" i="49"/>
  <c r="B288" i="49"/>
  <c r="A289" i="49"/>
  <c r="B289" i="49"/>
  <c r="A290" i="49"/>
  <c r="B290" i="49"/>
  <c r="A291" i="49"/>
  <c r="B291" i="49"/>
  <c r="A292" i="49"/>
  <c r="B292" i="49"/>
  <c r="A293" i="49"/>
  <c r="B293" i="49"/>
  <c r="A294" i="49"/>
  <c r="B294" i="49"/>
  <c r="A295" i="49"/>
  <c r="B295" i="49"/>
  <c r="A296" i="49"/>
  <c r="B296" i="49"/>
  <c r="A297" i="49"/>
  <c r="B297" i="49"/>
  <c r="A298" i="49"/>
  <c r="B298" i="49"/>
  <c r="A299" i="49"/>
  <c r="B299" i="49"/>
  <c r="A300" i="49"/>
  <c r="B300" i="49"/>
  <c r="A301" i="49"/>
  <c r="B301" i="49"/>
  <c r="A302" i="49"/>
  <c r="B302" i="49"/>
  <c r="A303" i="49"/>
  <c r="B303" i="49"/>
  <c r="A304" i="49"/>
  <c r="B304" i="49"/>
  <c r="A305" i="49"/>
  <c r="B305" i="49"/>
  <c r="A306" i="49"/>
  <c r="B306" i="49"/>
  <c r="A307" i="49"/>
  <c r="B307" i="49"/>
  <c r="A308" i="49"/>
  <c r="B308" i="49"/>
  <c r="A309" i="49"/>
  <c r="B309" i="49"/>
  <c r="A310" i="49"/>
  <c r="B310" i="49"/>
  <c r="A311" i="49"/>
  <c r="B311" i="49"/>
  <c r="A312" i="49"/>
  <c r="B312" i="49"/>
  <c r="A313" i="49"/>
  <c r="B313" i="49"/>
  <c r="A314" i="49"/>
  <c r="B314" i="49"/>
  <c r="B6" i="49"/>
  <c r="A6" i="49"/>
  <c r="I10" i="49" l="1"/>
  <c r="I16" i="49"/>
  <c r="I64" i="49"/>
  <c r="I73" i="49"/>
  <c r="I115" i="49"/>
  <c r="I258" i="49"/>
  <c r="I278" i="49"/>
  <c r="I300" i="49"/>
  <c r="I308" i="49"/>
  <c r="I314" i="49"/>
  <c r="I78" i="49"/>
  <c r="I113" i="49"/>
  <c r="I121" i="49"/>
  <c r="I229" i="49"/>
  <c r="I234" i="49"/>
  <c r="I266" i="49"/>
  <c r="I292" i="49"/>
  <c r="I312" i="49"/>
  <c r="I35" i="49"/>
  <c r="I77" i="49"/>
  <c r="I119" i="49"/>
  <c r="I131" i="49"/>
  <c r="I228" i="49"/>
  <c r="I238" i="49"/>
  <c r="I270" i="49"/>
  <c r="I298" i="49"/>
  <c r="I304" i="49"/>
  <c r="I264" i="49"/>
  <c r="I54" i="49"/>
  <c r="I139" i="49"/>
  <c r="I306" i="49"/>
  <c r="I103" i="49"/>
  <c r="I62" i="49"/>
  <c r="I76" i="49"/>
  <c r="I254" i="49"/>
  <c r="I135" i="49"/>
  <c r="I36" i="49"/>
  <c r="I46" i="49"/>
  <c r="I281" i="49"/>
  <c r="I183" i="49"/>
  <c r="I143" i="49"/>
  <c r="I31" i="49"/>
  <c r="I240" i="49"/>
  <c r="I200" i="49"/>
  <c r="I96" i="49"/>
  <c r="I265" i="49"/>
  <c r="I172" i="49"/>
  <c r="I65" i="49"/>
  <c r="I261" i="49"/>
  <c r="I201" i="49"/>
  <c r="I107" i="49"/>
  <c r="I33" i="49"/>
  <c r="I185" i="49"/>
  <c r="I150" i="49"/>
  <c r="I311" i="49"/>
  <c r="I235" i="49"/>
  <c r="I194" i="49"/>
  <c r="I90" i="49"/>
  <c r="I252" i="49"/>
  <c r="I170" i="49"/>
  <c r="I58" i="49"/>
  <c r="I276" i="49"/>
  <c r="I208" i="49"/>
  <c r="I91" i="49"/>
  <c r="I137" i="49"/>
  <c r="I290" i="49"/>
  <c r="I87" i="49"/>
  <c r="I50" i="49"/>
  <c r="I60" i="49"/>
  <c r="I250" i="49"/>
  <c r="I101" i="49"/>
  <c r="I32" i="49"/>
  <c r="I34" i="49"/>
  <c r="I273" i="49"/>
  <c r="I179" i="49"/>
  <c r="I126" i="49"/>
  <c r="I15" i="49"/>
  <c r="I237" i="49"/>
  <c r="I196" i="49"/>
  <c r="I69" i="49"/>
  <c r="I247" i="49"/>
  <c r="I168" i="49"/>
  <c r="I38" i="49"/>
  <c r="I243" i="49"/>
  <c r="I197" i="49"/>
  <c r="I102" i="49"/>
  <c r="I17" i="49"/>
  <c r="I181" i="49"/>
  <c r="I141" i="49"/>
  <c r="I303" i="49"/>
  <c r="I223" i="49"/>
  <c r="I157" i="49"/>
  <c r="I84" i="49"/>
  <c r="I249" i="49"/>
  <c r="I166" i="49"/>
  <c r="I47" i="49"/>
  <c r="I259" i="49"/>
  <c r="I204" i="49"/>
  <c r="I74" i="49"/>
  <c r="I127" i="49"/>
  <c r="I262" i="49"/>
  <c r="I75" i="49"/>
  <c r="I30" i="49"/>
  <c r="I48" i="49"/>
  <c r="I242" i="49"/>
  <c r="I61" i="49"/>
  <c r="I24" i="49"/>
  <c r="I26" i="49"/>
  <c r="I255" i="49"/>
  <c r="I175" i="49"/>
  <c r="I110" i="49"/>
  <c r="I9" i="49"/>
  <c r="I231" i="49"/>
  <c r="I192" i="49"/>
  <c r="I49" i="49"/>
  <c r="I236" i="49"/>
  <c r="I164" i="49"/>
  <c r="I27" i="49"/>
  <c r="I225" i="49"/>
  <c r="I193" i="49"/>
  <c r="I97" i="49"/>
  <c r="I11" i="49"/>
  <c r="I177" i="49"/>
  <c r="I122" i="49"/>
  <c r="I297" i="49"/>
  <c r="I219" i="49"/>
  <c r="I151" i="49"/>
  <c r="I71" i="49"/>
  <c r="I203" i="49"/>
  <c r="I162" i="49"/>
  <c r="I41" i="49"/>
  <c r="I248" i="49"/>
  <c r="I199" i="49"/>
  <c r="I68" i="49"/>
  <c r="I125" i="49"/>
  <c r="I246" i="49"/>
  <c r="I39" i="49"/>
  <c r="I22" i="49"/>
  <c r="I40" i="49"/>
  <c r="I99" i="49"/>
  <c r="I57" i="49"/>
  <c r="I310" i="49"/>
  <c r="I18" i="49"/>
  <c r="I244" i="49"/>
  <c r="I171" i="49"/>
  <c r="I100" i="49"/>
  <c r="I287" i="49"/>
  <c r="I221" i="49"/>
  <c r="I148" i="49"/>
  <c r="I21" i="49"/>
  <c r="I233" i="49"/>
  <c r="I160" i="49"/>
  <c r="I222" i="49"/>
  <c r="I155" i="49"/>
  <c r="I93" i="49"/>
  <c r="I271" i="49"/>
  <c r="I173" i="49"/>
  <c r="I92" i="49"/>
  <c r="I284" i="49"/>
  <c r="I215" i="49"/>
  <c r="I146" i="49"/>
  <c r="I67" i="49"/>
  <c r="I190" i="49"/>
  <c r="I152" i="49"/>
  <c r="I19" i="49"/>
  <c r="I245" i="49"/>
  <c r="I63" i="49"/>
  <c r="I295" i="49"/>
  <c r="I195" i="49"/>
  <c r="I109" i="49"/>
  <c r="I230" i="49"/>
  <c r="I282" i="49"/>
  <c r="I302" i="49"/>
  <c r="I28" i="49"/>
  <c r="I59" i="49"/>
  <c r="I45" i="49"/>
  <c r="I286" i="49"/>
  <c r="I8" i="49"/>
  <c r="I241" i="49"/>
  <c r="I167" i="49"/>
  <c r="I79" i="49"/>
  <c r="I283" i="49"/>
  <c r="I217" i="49"/>
  <c r="I134" i="49"/>
  <c r="I309" i="49"/>
  <c r="I188" i="49"/>
  <c r="I154" i="49"/>
  <c r="I289" i="49"/>
  <c r="I218" i="49"/>
  <c r="I149" i="49"/>
  <c r="I89" i="49"/>
  <c r="I260" i="49"/>
  <c r="I169" i="49"/>
  <c r="I72" i="49"/>
  <c r="I277" i="49"/>
  <c r="I211" i="49"/>
  <c r="I114" i="49"/>
  <c r="I29" i="49"/>
  <c r="I186" i="49"/>
  <c r="I142" i="49"/>
  <c r="I13" i="49"/>
  <c r="I224" i="49"/>
  <c r="I158" i="49"/>
  <c r="I25" i="49"/>
  <c r="I105" i="49"/>
  <c r="I226" i="49"/>
  <c r="I129" i="49"/>
  <c r="I227" i="49"/>
  <c r="I20" i="49"/>
  <c r="I43" i="49"/>
  <c r="I136" i="49"/>
  <c r="I133" i="49"/>
  <c r="I313" i="49"/>
  <c r="I232" i="49"/>
  <c r="I163" i="49"/>
  <c r="I53" i="49"/>
  <c r="I272" i="49"/>
  <c r="I213" i="49"/>
  <c r="I128" i="49"/>
  <c r="I301" i="49"/>
  <c r="I184" i="49"/>
  <c r="I144" i="49"/>
  <c r="I285" i="49"/>
  <c r="I214" i="49"/>
  <c r="I145" i="49"/>
  <c r="I81" i="49"/>
  <c r="I257" i="49"/>
  <c r="I165" i="49"/>
  <c r="I55" i="49"/>
  <c r="I267" i="49"/>
  <c r="I207" i="49"/>
  <c r="I108" i="49"/>
  <c r="I291" i="49"/>
  <c r="I182" i="49"/>
  <c r="I132" i="49"/>
  <c r="I7" i="49"/>
  <c r="I220" i="49"/>
  <c r="I147" i="49"/>
  <c r="I70" i="49"/>
  <c r="I85" i="49"/>
  <c r="I138" i="49"/>
  <c r="I123" i="49"/>
  <c r="I117" i="49"/>
  <c r="I296" i="49"/>
  <c r="I12" i="49"/>
  <c r="I80" i="49"/>
  <c r="I82" i="49"/>
  <c r="I307" i="49"/>
  <c r="I191" i="49"/>
  <c r="I159" i="49"/>
  <c r="I42" i="49"/>
  <c r="I269" i="49"/>
  <c r="I209" i="49"/>
  <c r="I118" i="49"/>
  <c r="I280" i="49"/>
  <c r="I180" i="49"/>
  <c r="I140" i="49"/>
  <c r="I275" i="49"/>
  <c r="I210" i="49"/>
  <c r="I120" i="49"/>
  <c r="I56" i="49"/>
  <c r="I239" i="49"/>
  <c r="I161" i="49"/>
  <c r="I51" i="49"/>
  <c r="I256" i="49"/>
  <c r="I202" i="49"/>
  <c r="I98" i="49"/>
  <c r="I279" i="49"/>
  <c r="I178" i="49"/>
  <c r="I124" i="49"/>
  <c r="I305" i="49"/>
  <c r="I216" i="49"/>
  <c r="I116" i="49"/>
  <c r="I83" i="49"/>
  <c r="I294" i="49"/>
  <c r="I14" i="49"/>
  <c r="I111" i="49"/>
  <c r="I86" i="49"/>
  <c r="I88" i="49"/>
  <c r="I274" i="49"/>
  <c r="I288" i="49"/>
  <c r="I44" i="49"/>
  <c r="I66" i="49"/>
  <c r="I293" i="49"/>
  <c r="I187" i="49"/>
  <c r="I153" i="49"/>
  <c r="I37" i="49"/>
  <c r="I251" i="49"/>
  <c r="I205" i="49"/>
  <c r="I106" i="49"/>
  <c r="I268" i="49"/>
  <c r="I176" i="49"/>
  <c r="I130" i="49"/>
  <c r="I206" i="49"/>
  <c r="I112" i="49"/>
  <c r="I52" i="49"/>
  <c r="I189" i="49"/>
  <c r="I156" i="49"/>
  <c r="I23" i="49"/>
  <c r="I253" i="49"/>
  <c r="I198" i="49"/>
  <c r="I94" i="49"/>
  <c r="I263" i="49"/>
  <c r="I174" i="49"/>
  <c r="I104" i="49"/>
  <c r="I299" i="49"/>
  <c r="I212" i="49"/>
  <c r="I95" i="49"/>
  <c r="B315" i="49"/>
  <c r="B7" i="48"/>
  <c r="B9" i="48" l="1"/>
  <c r="B8" i="48"/>
  <c r="F8" i="48"/>
  <c r="C8" i="34"/>
  <c r="U6" i="19" l="1"/>
  <c r="C29" i="40" l="1"/>
  <c r="A2" i="25"/>
  <c r="J5" i="13"/>
  <c r="A7" i="13"/>
  <c r="B7" i="13"/>
  <c r="A8" i="13"/>
  <c r="B8" i="13"/>
  <c r="A9" i="13"/>
  <c r="B9" i="13"/>
  <c r="A10" i="13"/>
  <c r="B10" i="13"/>
  <c r="A11" i="13"/>
  <c r="B11" i="13"/>
  <c r="A12" i="13"/>
  <c r="B12" i="13"/>
  <c r="A13" i="13"/>
  <c r="B13" i="13"/>
  <c r="A14" i="13"/>
  <c r="B14" i="13"/>
  <c r="A15" i="13"/>
  <c r="B15" i="13"/>
  <c r="A16" i="13"/>
  <c r="B16" i="13"/>
  <c r="A17" i="13"/>
  <c r="B17" i="13"/>
  <c r="A18" i="13"/>
  <c r="B18" i="13"/>
  <c r="A19" i="13"/>
  <c r="B19" i="13"/>
  <c r="A20" i="13"/>
  <c r="B20" i="13"/>
  <c r="A21" i="13"/>
  <c r="B21" i="13"/>
  <c r="A22" i="13"/>
  <c r="B22" i="13"/>
  <c r="A23" i="13"/>
  <c r="B23" i="13"/>
  <c r="A24" i="13"/>
  <c r="B24" i="13"/>
  <c r="A25" i="13"/>
  <c r="B25" i="13"/>
  <c r="A26" i="13"/>
  <c r="B26" i="13"/>
  <c r="A27" i="13"/>
  <c r="B27" i="13"/>
  <c r="A28" i="13"/>
  <c r="B28" i="13"/>
  <c r="A29" i="13"/>
  <c r="B29" i="13"/>
  <c r="A30" i="13"/>
  <c r="B30" i="13"/>
  <c r="A31" i="13"/>
  <c r="B31" i="13"/>
  <c r="A32" i="13"/>
  <c r="B32" i="13"/>
  <c r="A33" i="13"/>
  <c r="B33" i="13"/>
  <c r="A34" i="13"/>
  <c r="B34" i="13"/>
  <c r="A35" i="13"/>
  <c r="B35" i="13"/>
  <c r="A36" i="13"/>
  <c r="B36" i="13"/>
  <c r="A37" i="13"/>
  <c r="B37" i="13"/>
  <c r="A38" i="13"/>
  <c r="B38" i="13"/>
  <c r="A39" i="13"/>
  <c r="B39" i="13"/>
  <c r="A40" i="13"/>
  <c r="B40" i="13"/>
  <c r="A41" i="13"/>
  <c r="B41" i="13"/>
  <c r="A42" i="13"/>
  <c r="B42" i="13"/>
  <c r="A43" i="13"/>
  <c r="B43" i="13"/>
  <c r="A44" i="13"/>
  <c r="B44" i="13"/>
  <c r="A45" i="13"/>
  <c r="B45" i="13"/>
  <c r="A46" i="13"/>
  <c r="B46" i="13"/>
  <c r="A47" i="13"/>
  <c r="B47" i="13"/>
  <c r="A48" i="13"/>
  <c r="B48" i="13"/>
  <c r="A49" i="13"/>
  <c r="B49" i="13"/>
  <c r="A50" i="13"/>
  <c r="B50" i="13"/>
  <c r="A51" i="13"/>
  <c r="B51" i="13"/>
  <c r="A52" i="13"/>
  <c r="B52" i="13"/>
  <c r="A53" i="13"/>
  <c r="B53" i="13"/>
  <c r="A54" i="13"/>
  <c r="B54" i="13"/>
  <c r="A55" i="13"/>
  <c r="B55" i="13"/>
  <c r="A56" i="13"/>
  <c r="B56" i="13"/>
  <c r="A57" i="13"/>
  <c r="B57" i="13"/>
  <c r="A58" i="13"/>
  <c r="B58" i="13"/>
  <c r="A59" i="13"/>
  <c r="B59" i="13"/>
  <c r="A60" i="13"/>
  <c r="B60" i="13"/>
  <c r="A61" i="13"/>
  <c r="B61" i="13"/>
  <c r="A62" i="13"/>
  <c r="B62" i="13"/>
  <c r="A63" i="13"/>
  <c r="B63" i="13"/>
  <c r="A64" i="13"/>
  <c r="B64" i="13"/>
  <c r="A65" i="13"/>
  <c r="B65" i="13"/>
  <c r="A66" i="13"/>
  <c r="B66" i="13"/>
  <c r="A67" i="13"/>
  <c r="B67" i="13"/>
  <c r="A68" i="13"/>
  <c r="B68" i="13"/>
  <c r="A69" i="13"/>
  <c r="B69" i="13"/>
  <c r="A70" i="13"/>
  <c r="B70" i="13"/>
  <c r="A71" i="13"/>
  <c r="B71" i="13"/>
  <c r="A72" i="13"/>
  <c r="B72" i="13"/>
  <c r="A73" i="13"/>
  <c r="B73" i="13"/>
  <c r="A74" i="13"/>
  <c r="B74" i="13"/>
  <c r="A75" i="13"/>
  <c r="B75" i="13"/>
  <c r="A76" i="13"/>
  <c r="B76" i="13"/>
  <c r="A77" i="13"/>
  <c r="B77" i="13"/>
  <c r="A78" i="13"/>
  <c r="B78" i="13"/>
  <c r="A79" i="13"/>
  <c r="B79" i="13"/>
  <c r="A80" i="13"/>
  <c r="B80" i="13"/>
  <c r="A81" i="13"/>
  <c r="B81" i="13"/>
  <c r="A82" i="13"/>
  <c r="B82" i="13"/>
  <c r="A83" i="13"/>
  <c r="B83" i="13"/>
  <c r="A84" i="13"/>
  <c r="B84" i="13"/>
  <c r="A85" i="13"/>
  <c r="B85" i="13"/>
  <c r="A86" i="13"/>
  <c r="B86" i="13"/>
  <c r="A87" i="13"/>
  <c r="B87" i="13"/>
  <c r="A88" i="13"/>
  <c r="B88" i="13"/>
  <c r="A89" i="13"/>
  <c r="B89" i="13"/>
  <c r="A90" i="13"/>
  <c r="B90" i="13"/>
  <c r="A91" i="13"/>
  <c r="B91" i="13"/>
  <c r="A92" i="13"/>
  <c r="B92" i="13"/>
  <c r="A93" i="13"/>
  <c r="B93" i="13"/>
  <c r="A94" i="13"/>
  <c r="B94" i="13"/>
  <c r="A95" i="13"/>
  <c r="B95" i="13"/>
  <c r="A96" i="13"/>
  <c r="B96" i="13"/>
  <c r="A97" i="13"/>
  <c r="B97" i="13"/>
  <c r="A98" i="13"/>
  <c r="B98" i="13"/>
  <c r="A99" i="13"/>
  <c r="B99" i="13"/>
  <c r="A100" i="13"/>
  <c r="B100" i="13"/>
  <c r="A101" i="13"/>
  <c r="B101" i="13"/>
  <c r="A102" i="13"/>
  <c r="B102" i="13"/>
  <c r="A103" i="13"/>
  <c r="B103" i="13"/>
  <c r="A104" i="13"/>
  <c r="B104" i="13"/>
  <c r="A105" i="13"/>
  <c r="B105" i="13"/>
  <c r="A106" i="13"/>
  <c r="B106" i="13"/>
  <c r="A107" i="13"/>
  <c r="B107" i="13"/>
  <c r="A108" i="13"/>
  <c r="B108" i="13"/>
  <c r="A109" i="13"/>
  <c r="B109" i="13"/>
  <c r="A110" i="13"/>
  <c r="B110" i="13"/>
  <c r="A111" i="13"/>
  <c r="B111" i="13"/>
  <c r="A112" i="13"/>
  <c r="B112" i="13"/>
  <c r="A113" i="13"/>
  <c r="B113" i="13"/>
  <c r="A114" i="13"/>
  <c r="B114" i="13"/>
  <c r="A115" i="13"/>
  <c r="B115" i="13"/>
  <c r="A116" i="13"/>
  <c r="B116" i="13"/>
  <c r="A117" i="13"/>
  <c r="B117" i="13"/>
  <c r="A118" i="13"/>
  <c r="B118" i="13"/>
  <c r="A119" i="13"/>
  <c r="B119" i="13"/>
  <c r="A120" i="13"/>
  <c r="B120" i="13"/>
  <c r="A121" i="13"/>
  <c r="B121" i="13"/>
  <c r="A122" i="13"/>
  <c r="B122" i="13"/>
  <c r="A123" i="13"/>
  <c r="B123" i="13"/>
  <c r="A124" i="13"/>
  <c r="B124" i="13"/>
  <c r="A125" i="13"/>
  <c r="B125" i="13"/>
  <c r="A126" i="13"/>
  <c r="B126" i="13"/>
  <c r="A127" i="13"/>
  <c r="B127" i="13"/>
  <c r="A128" i="13"/>
  <c r="B128" i="13"/>
  <c r="A129" i="13"/>
  <c r="B129" i="13"/>
  <c r="A130" i="13"/>
  <c r="B130" i="13"/>
  <c r="A131" i="13"/>
  <c r="B131" i="13"/>
  <c r="A132" i="13"/>
  <c r="B132" i="13"/>
  <c r="A133" i="13"/>
  <c r="B133" i="13"/>
  <c r="A134" i="13"/>
  <c r="B134" i="13"/>
  <c r="A135" i="13"/>
  <c r="B135" i="13"/>
  <c r="A136" i="13"/>
  <c r="B136" i="13"/>
  <c r="A137" i="13"/>
  <c r="B137" i="13"/>
  <c r="A138" i="13"/>
  <c r="B138" i="13"/>
  <c r="A139" i="13"/>
  <c r="B139" i="13"/>
  <c r="A140" i="13"/>
  <c r="B140" i="13"/>
  <c r="A141" i="13"/>
  <c r="B141" i="13"/>
  <c r="A142" i="13"/>
  <c r="B142" i="13"/>
  <c r="A143" i="13"/>
  <c r="B143" i="13"/>
  <c r="A144" i="13"/>
  <c r="B144" i="13"/>
  <c r="A145" i="13"/>
  <c r="B145" i="13"/>
  <c r="A146" i="13"/>
  <c r="B146" i="13"/>
  <c r="A147" i="13"/>
  <c r="B147" i="13"/>
  <c r="A148" i="13"/>
  <c r="B148" i="13"/>
  <c r="A149" i="13"/>
  <c r="B149" i="13"/>
  <c r="A150" i="13"/>
  <c r="B150" i="13"/>
  <c r="A151" i="13"/>
  <c r="B151" i="13"/>
  <c r="A152" i="13"/>
  <c r="B152" i="13"/>
  <c r="A153" i="13"/>
  <c r="B153" i="13"/>
  <c r="A154" i="13"/>
  <c r="B154" i="13"/>
  <c r="A155" i="13"/>
  <c r="B155" i="13"/>
  <c r="A156" i="13"/>
  <c r="B156" i="13"/>
  <c r="A157" i="13"/>
  <c r="B157" i="13"/>
  <c r="A158" i="13"/>
  <c r="B158" i="13"/>
  <c r="A159" i="13"/>
  <c r="B159" i="13"/>
  <c r="A160" i="13"/>
  <c r="B160" i="13"/>
  <c r="A161" i="13"/>
  <c r="B161" i="13"/>
  <c r="A162" i="13"/>
  <c r="B162" i="13"/>
  <c r="A163" i="13"/>
  <c r="B163" i="13"/>
  <c r="A164" i="13"/>
  <c r="B164" i="13"/>
  <c r="A165" i="13"/>
  <c r="B165" i="13"/>
  <c r="A166" i="13"/>
  <c r="B166" i="13"/>
  <c r="A167" i="13"/>
  <c r="B167" i="13"/>
  <c r="A168" i="13"/>
  <c r="B168" i="13"/>
  <c r="A169" i="13"/>
  <c r="B169" i="13"/>
  <c r="A171" i="13"/>
  <c r="B171" i="13"/>
  <c r="A172" i="13"/>
  <c r="B172" i="13"/>
  <c r="A173" i="13"/>
  <c r="B173" i="13"/>
  <c r="A174" i="13"/>
  <c r="B174" i="13"/>
  <c r="A175" i="13"/>
  <c r="B175" i="13"/>
  <c r="A176" i="13"/>
  <c r="B176" i="13"/>
  <c r="A177" i="13"/>
  <c r="B177" i="13"/>
  <c r="A178" i="13"/>
  <c r="B178" i="13"/>
  <c r="A179" i="13"/>
  <c r="B179" i="13"/>
  <c r="A180" i="13"/>
  <c r="B180" i="13"/>
  <c r="A181" i="13"/>
  <c r="B181" i="13"/>
  <c r="A182" i="13"/>
  <c r="B182" i="13"/>
  <c r="A183" i="13"/>
  <c r="B183" i="13"/>
  <c r="A184" i="13"/>
  <c r="B184" i="13"/>
  <c r="A185" i="13"/>
  <c r="B185" i="13"/>
  <c r="A186" i="13"/>
  <c r="B186" i="13"/>
  <c r="A187" i="13"/>
  <c r="B187" i="13"/>
  <c r="A188" i="13"/>
  <c r="B188" i="13"/>
  <c r="A189" i="13"/>
  <c r="B189" i="13"/>
  <c r="A190" i="13"/>
  <c r="B190" i="13"/>
  <c r="A191" i="13"/>
  <c r="B191" i="13"/>
  <c r="A192" i="13"/>
  <c r="B192" i="13"/>
  <c r="A193" i="13"/>
  <c r="B193" i="13"/>
  <c r="A194" i="13"/>
  <c r="B194" i="13"/>
  <c r="A195" i="13"/>
  <c r="B195" i="13"/>
  <c r="A196" i="13"/>
  <c r="B196" i="13"/>
  <c r="A197" i="13"/>
  <c r="B197" i="13"/>
  <c r="A198" i="13"/>
  <c r="B198" i="13"/>
  <c r="A199" i="13"/>
  <c r="B199" i="13"/>
  <c r="A200" i="13"/>
  <c r="B200" i="13"/>
  <c r="A201" i="13"/>
  <c r="B201" i="13"/>
  <c r="A202" i="13"/>
  <c r="B202" i="13"/>
  <c r="A203" i="13"/>
  <c r="B203" i="13"/>
  <c r="A204" i="13"/>
  <c r="B204" i="13"/>
  <c r="A205" i="13"/>
  <c r="B205" i="13"/>
  <c r="A206" i="13"/>
  <c r="B206" i="13"/>
  <c r="A207" i="13"/>
  <c r="B207" i="13"/>
  <c r="A208" i="13"/>
  <c r="B208" i="13"/>
  <c r="A209" i="13"/>
  <c r="B209" i="13"/>
  <c r="A210" i="13"/>
  <c r="B210" i="13"/>
  <c r="A211" i="13"/>
  <c r="B211" i="13"/>
  <c r="A212" i="13"/>
  <c r="B212" i="13"/>
  <c r="A213" i="13"/>
  <c r="B213" i="13"/>
  <c r="A214" i="13"/>
  <c r="B214" i="13"/>
  <c r="A215" i="13"/>
  <c r="B215" i="13"/>
  <c r="A216" i="13"/>
  <c r="B216" i="13"/>
  <c r="A217" i="13"/>
  <c r="B217" i="13"/>
  <c r="A218" i="13"/>
  <c r="B218" i="13"/>
  <c r="A220" i="13"/>
  <c r="B220" i="13"/>
  <c r="A221" i="13"/>
  <c r="B221" i="13"/>
  <c r="A222" i="13"/>
  <c r="B222" i="13"/>
  <c r="A223" i="13"/>
  <c r="B223" i="13"/>
  <c r="A224" i="13"/>
  <c r="B224" i="13"/>
  <c r="A225" i="13"/>
  <c r="B225" i="13"/>
  <c r="A226" i="13"/>
  <c r="B226" i="13"/>
  <c r="A227" i="13"/>
  <c r="B227" i="13"/>
  <c r="A228" i="13"/>
  <c r="B228" i="13"/>
  <c r="A229" i="13"/>
  <c r="B229" i="13"/>
  <c r="A230" i="13"/>
  <c r="B230" i="13"/>
  <c r="A231" i="13"/>
  <c r="B231" i="13"/>
  <c r="A232" i="13"/>
  <c r="B232" i="13"/>
  <c r="A233" i="13"/>
  <c r="B233" i="13"/>
  <c r="A234" i="13"/>
  <c r="B234" i="13"/>
  <c r="A235" i="13"/>
  <c r="B235" i="13"/>
  <c r="A236" i="13"/>
  <c r="B236" i="13"/>
  <c r="A237" i="13"/>
  <c r="B237" i="13"/>
  <c r="A238" i="13"/>
  <c r="B238" i="13"/>
  <c r="A239" i="13"/>
  <c r="B239" i="13"/>
  <c r="A240" i="13"/>
  <c r="B240" i="13"/>
  <c r="A241" i="13"/>
  <c r="B241" i="13"/>
  <c r="A242" i="13"/>
  <c r="B242" i="13"/>
  <c r="A243" i="13"/>
  <c r="B243" i="13"/>
  <c r="A245" i="13"/>
  <c r="B245" i="13"/>
  <c r="A246" i="13"/>
  <c r="B246" i="13"/>
  <c r="A247" i="13"/>
  <c r="B247" i="13"/>
  <c r="A248" i="13"/>
  <c r="B248" i="13"/>
  <c r="A249" i="13"/>
  <c r="B249" i="13"/>
  <c r="A250" i="13"/>
  <c r="B250" i="13"/>
  <c r="A251" i="13"/>
  <c r="B251" i="13"/>
  <c r="A252" i="13"/>
  <c r="B252" i="13"/>
  <c r="A253" i="13"/>
  <c r="B253" i="13"/>
  <c r="A254" i="13"/>
  <c r="B254" i="13"/>
  <c r="A255" i="13"/>
  <c r="B255" i="13"/>
  <c r="A256" i="13"/>
  <c r="B256" i="13"/>
  <c r="A257" i="13"/>
  <c r="B257" i="13"/>
  <c r="A258" i="13"/>
  <c r="B258" i="13"/>
  <c r="A259" i="13"/>
  <c r="B259" i="13"/>
  <c r="A260" i="13"/>
  <c r="B260" i="13"/>
  <c r="A261" i="13"/>
  <c r="B261" i="13"/>
  <c r="A262" i="13"/>
  <c r="B262" i="13"/>
  <c r="A263" i="13"/>
  <c r="B263" i="13"/>
  <c r="A264" i="13"/>
  <c r="B264" i="13"/>
  <c r="A265" i="13"/>
  <c r="B265" i="13"/>
  <c r="A266" i="13"/>
  <c r="B266" i="13"/>
  <c r="A267" i="13"/>
  <c r="B267" i="13"/>
  <c r="A268" i="13"/>
  <c r="B268" i="13"/>
  <c r="A269" i="13"/>
  <c r="B269" i="13"/>
  <c r="A270" i="13"/>
  <c r="B270" i="13"/>
  <c r="A271" i="13"/>
  <c r="B271" i="13"/>
  <c r="A272" i="13"/>
  <c r="B272" i="13"/>
  <c r="A273" i="13"/>
  <c r="B273" i="13"/>
  <c r="A274" i="13"/>
  <c r="B274" i="13"/>
  <c r="A275" i="13"/>
  <c r="B275" i="13"/>
  <c r="A276" i="13"/>
  <c r="B276" i="13"/>
  <c r="A277" i="13"/>
  <c r="B277" i="13"/>
  <c r="A278" i="13"/>
  <c r="B278" i="13"/>
  <c r="A279" i="13"/>
  <c r="B279" i="13"/>
  <c r="A280" i="13"/>
  <c r="B280" i="13"/>
  <c r="A281" i="13"/>
  <c r="B281" i="13"/>
  <c r="A282" i="13"/>
  <c r="B282" i="13"/>
  <c r="A283" i="13"/>
  <c r="B283" i="13"/>
  <c r="A284" i="13"/>
  <c r="B284" i="13"/>
  <c r="A285" i="13"/>
  <c r="B285" i="13"/>
  <c r="A286" i="13"/>
  <c r="B286" i="13"/>
  <c r="A287" i="13"/>
  <c r="B287" i="13"/>
  <c r="A288" i="13"/>
  <c r="B288" i="13"/>
  <c r="A289" i="13"/>
  <c r="B289" i="13"/>
  <c r="A290" i="13"/>
  <c r="B290" i="13"/>
  <c r="A291" i="13"/>
  <c r="B291" i="13"/>
  <c r="A292" i="13"/>
  <c r="B292" i="13"/>
  <c r="A293" i="13"/>
  <c r="B293" i="13"/>
  <c r="A294" i="13"/>
  <c r="B294" i="13"/>
  <c r="A295" i="13"/>
  <c r="B295" i="13"/>
  <c r="A296" i="13"/>
  <c r="B296" i="13"/>
  <c r="A297" i="13"/>
  <c r="B297" i="13"/>
  <c r="A298" i="13"/>
  <c r="B298" i="13"/>
  <c r="A299" i="13"/>
  <c r="B299" i="13"/>
  <c r="A300" i="13"/>
  <c r="B300" i="13"/>
  <c r="A301" i="13"/>
  <c r="B301" i="13"/>
  <c r="A302" i="13"/>
  <c r="B302" i="13"/>
  <c r="A303" i="13"/>
  <c r="B303" i="13"/>
  <c r="A304" i="13"/>
  <c r="B304" i="13"/>
  <c r="A305" i="13"/>
  <c r="B305" i="13"/>
  <c r="A306" i="13"/>
  <c r="B306" i="13"/>
  <c r="A307" i="13"/>
  <c r="B307" i="13"/>
  <c r="A308" i="13"/>
  <c r="B308" i="13"/>
  <c r="A309" i="13"/>
  <c r="B309" i="13"/>
  <c r="A310" i="13"/>
  <c r="B310" i="13"/>
  <c r="A311" i="13"/>
  <c r="B311" i="13"/>
  <c r="A312" i="13"/>
  <c r="B312" i="13"/>
  <c r="A313" i="13"/>
  <c r="B313" i="13"/>
  <c r="A314" i="13"/>
  <c r="B314" i="13"/>
  <c r="B6" i="13"/>
  <c r="A6" i="13"/>
  <c r="A6" i="39"/>
  <c r="B6" i="39"/>
  <c r="A7" i="39"/>
  <c r="B7" i="39"/>
  <c r="A8" i="39"/>
  <c r="B8" i="39"/>
  <c r="A9" i="39"/>
  <c r="B9" i="39"/>
  <c r="A10" i="39"/>
  <c r="B10" i="39"/>
  <c r="A11" i="39"/>
  <c r="B11" i="39"/>
  <c r="A12" i="39"/>
  <c r="B12" i="39"/>
  <c r="A13" i="39"/>
  <c r="B13" i="39"/>
  <c r="A14" i="39"/>
  <c r="B14" i="39"/>
  <c r="A15" i="39"/>
  <c r="B15" i="39"/>
  <c r="A16" i="39"/>
  <c r="B16" i="39"/>
  <c r="A17" i="39"/>
  <c r="B17" i="39"/>
  <c r="A18" i="39"/>
  <c r="B18" i="39"/>
  <c r="A19" i="39"/>
  <c r="B19" i="39"/>
  <c r="A20" i="39"/>
  <c r="B20" i="39"/>
  <c r="A21" i="39"/>
  <c r="B21" i="39"/>
  <c r="A22" i="39"/>
  <c r="B22" i="39"/>
  <c r="A23" i="39"/>
  <c r="B23" i="39"/>
  <c r="A24" i="39"/>
  <c r="B24" i="39"/>
  <c r="A25" i="39"/>
  <c r="B25" i="39"/>
  <c r="A26" i="39"/>
  <c r="B26" i="39"/>
  <c r="A27" i="39"/>
  <c r="B27" i="39"/>
  <c r="A28" i="39"/>
  <c r="B28" i="39"/>
  <c r="A29" i="39"/>
  <c r="B29" i="39"/>
  <c r="A30" i="39"/>
  <c r="B30" i="39"/>
  <c r="A31" i="39"/>
  <c r="B31" i="39"/>
  <c r="A32" i="39"/>
  <c r="B32" i="39"/>
  <c r="A33" i="39"/>
  <c r="B33" i="39"/>
  <c r="A34" i="39"/>
  <c r="B34" i="39"/>
  <c r="A35" i="39"/>
  <c r="B35" i="39"/>
  <c r="A36" i="39"/>
  <c r="B36" i="39"/>
  <c r="A37" i="39"/>
  <c r="B37" i="39"/>
  <c r="A38" i="39"/>
  <c r="B38" i="39"/>
  <c r="A39" i="39"/>
  <c r="B39" i="39"/>
  <c r="A40" i="39"/>
  <c r="B40" i="39"/>
  <c r="A41" i="39"/>
  <c r="B41" i="39"/>
  <c r="A42" i="39"/>
  <c r="B42" i="39"/>
  <c r="A43" i="39"/>
  <c r="B43" i="39"/>
  <c r="A44" i="39"/>
  <c r="B44" i="39"/>
  <c r="A45" i="39"/>
  <c r="B45" i="39"/>
  <c r="A46" i="39"/>
  <c r="B46" i="39"/>
  <c r="A47" i="39"/>
  <c r="B47" i="39"/>
  <c r="A48" i="39"/>
  <c r="B48" i="39"/>
  <c r="A49" i="39"/>
  <c r="B49" i="39"/>
  <c r="A50" i="39"/>
  <c r="B50" i="39"/>
  <c r="A51" i="39"/>
  <c r="B51" i="39"/>
  <c r="A52" i="39"/>
  <c r="B52" i="39"/>
  <c r="A53" i="39"/>
  <c r="B53" i="39"/>
  <c r="A54" i="39"/>
  <c r="B54" i="39"/>
  <c r="A55" i="39"/>
  <c r="B55" i="39"/>
  <c r="A56" i="39"/>
  <c r="B56" i="39"/>
  <c r="A57" i="39"/>
  <c r="B57" i="39"/>
  <c r="A58" i="39"/>
  <c r="B58" i="39"/>
  <c r="A59" i="39"/>
  <c r="B59" i="39"/>
  <c r="A60" i="39"/>
  <c r="B60" i="39"/>
  <c r="A61" i="39"/>
  <c r="B61" i="39"/>
  <c r="A62" i="39"/>
  <c r="B62" i="39"/>
  <c r="A63" i="39"/>
  <c r="B63" i="39"/>
  <c r="A64" i="39"/>
  <c r="B64" i="39"/>
  <c r="A65" i="39"/>
  <c r="B65" i="39"/>
  <c r="A66" i="39"/>
  <c r="B66" i="39"/>
  <c r="A67" i="39"/>
  <c r="B67" i="39"/>
  <c r="A68" i="39"/>
  <c r="B68" i="39"/>
  <c r="A69" i="39"/>
  <c r="B69" i="39"/>
  <c r="A70" i="39"/>
  <c r="B70" i="39"/>
  <c r="A71" i="39"/>
  <c r="B71" i="39"/>
  <c r="A72" i="39"/>
  <c r="B72" i="39"/>
  <c r="A73" i="39"/>
  <c r="B73" i="39"/>
  <c r="A74" i="39"/>
  <c r="B74" i="39"/>
  <c r="A75" i="39"/>
  <c r="B75" i="39"/>
  <c r="A76" i="39"/>
  <c r="B76" i="39"/>
  <c r="A77" i="39"/>
  <c r="B77" i="39"/>
  <c r="A78" i="39"/>
  <c r="B78" i="39"/>
  <c r="A79" i="39"/>
  <c r="B79" i="39"/>
  <c r="A80" i="39"/>
  <c r="B80" i="39"/>
  <c r="A81" i="39"/>
  <c r="B81" i="39"/>
  <c r="A82" i="39"/>
  <c r="B82" i="39"/>
  <c r="A83" i="39"/>
  <c r="B83" i="39"/>
  <c r="A84" i="39"/>
  <c r="B84" i="39"/>
  <c r="A85" i="39"/>
  <c r="B85" i="39"/>
  <c r="A86" i="39"/>
  <c r="B86" i="39"/>
  <c r="A87" i="39"/>
  <c r="B87" i="39"/>
  <c r="A88" i="39"/>
  <c r="B88" i="39"/>
  <c r="A89" i="39"/>
  <c r="B89" i="39"/>
  <c r="A90" i="39"/>
  <c r="B90" i="39"/>
  <c r="A91" i="39"/>
  <c r="B91" i="39"/>
  <c r="A92" i="39"/>
  <c r="B92" i="39"/>
  <c r="A93" i="39"/>
  <c r="B93" i="39"/>
  <c r="A94" i="39"/>
  <c r="B94" i="39"/>
  <c r="A95" i="39"/>
  <c r="B95" i="39"/>
  <c r="A96" i="39"/>
  <c r="B96" i="39"/>
  <c r="A97" i="39"/>
  <c r="B97" i="39"/>
  <c r="A98" i="39"/>
  <c r="B98" i="39"/>
  <c r="A99" i="39"/>
  <c r="B99" i="39"/>
  <c r="A100" i="39"/>
  <c r="B100" i="39"/>
  <c r="A101" i="39"/>
  <c r="B101" i="39"/>
  <c r="A102" i="39"/>
  <c r="B102" i="39"/>
  <c r="A103" i="39"/>
  <c r="B103" i="39"/>
  <c r="A104" i="39"/>
  <c r="B104" i="39"/>
  <c r="A105" i="39"/>
  <c r="B105" i="39"/>
  <c r="A106" i="39"/>
  <c r="B106" i="39"/>
  <c r="A107" i="39"/>
  <c r="B107" i="39"/>
  <c r="A108" i="39"/>
  <c r="B108" i="39"/>
  <c r="A109" i="39"/>
  <c r="B109" i="39"/>
  <c r="A110" i="39"/>
  <c r="B110" i="39"/>
  <c r="A111" i="39"/>
  <c r="B111" i="39"/>
  <c r="A112" i="39"/>
  <c r="B112" i="39"/>
  <c r="A113" i="39"/>
  <c r="B113" i="39"/>
  <c r="A114" i="39"/>
  <c r="B114" i="39"/>
  <c r="A115" i="39"/>
  <c r="B115" i="39"/>
  <c r="A116" i="39"/>
  <c r="B116" i="39"/>
  <c r="A117" i="39"/>
  <c r="B117" i="39"/>
  <c r="A118" i="39"/>
  <c r="B118" i="39"/>
  <c r="A119" i="39"/>
  <c r="B119" i="39"/>
  <c r="A120" i="39"/>
  <c r="B120" i="39"/>
  <c r="A121" i="39"/>
  <c r="B121" i="39"/>
  <c r="A122" i="39"/>
  <c r="B122" i="39"/>
  <c r="A123" i="39"/>
  <c r="B123" i="39"/>
  <c r="A124" i="39"/>
  <c r="B124" i="39"/>
  <c r="A125" i="39"/>
  <c r="B125" i="39"/>
  <c r="A126" i="39"/>
  <c r="B126" i="39"/>
  <c r="A127" i="39"/>
  <c r="B127" i="39"/>
  <c r="A128" i="39"/>
  <c r="B128" i="39"/>
  <c r="A129" i="39"/>
  <c r="B129" i="39"/>
  <c r="A130" i="39"/>
  <c r="B130" i="39"/>
  <c r="A131" i="39"/>
  <c r="B131" i="39"/>
  <c r="A132" i="39"/>
  <c r="B132" i="39"/>
  <c r="A133" i="39"/>
  <c r="B133" i="39"/>
  <c r="A134" i="39"/>
  <c r="B134" i="39"/>
  <c r="A135" i="39"/>
  <c r="B135" i="39"/>
  <c r="A136" i="39"/>
  <c r="B136" i="39"/>
  <c r="A137" i="39"/>
  <c r="B137" i="39"/>
  <c r="A138" i="39"/>
  <c r="B138" i="39"/>
  <c r="A139" i="39"/>
  <c r="B139" i="39"/>
  <c r="A140" i="39"/>
  <c r="B140" i="39"/>
  <c r="A141" i="39"/>
  <c r="B141" i="39"/>
  <c r="A142" i="39"/>
  <c r="B142" i="39"/>
  <c r="A143" i="39"/>
  <c r="B143" i="39"/>
  <c r="A144" i="39"/>
  <c r="B144" i="39"/>
  <c r="A145" i="39"/>
  <c r="B145" i="39"/>
  <c r="A146" i="39"/>
  <c r="B146" i="39"/>
  <c r="A147" i="39"/>
  <c r="B147" i="39"/>
  <c r="A148" i="39"/>
  <c r="B148" i="39"/>
  <c r="A149" i="39"/>
  <c r="B149" i="39"/>
  <c r="A150" i="39"/>
  <c r="B150" i="39"/>
  <c r="A151" i="39"/>
  <c r="B151" i="39"/>
  <c r="A152" i="39"/>
  <c r="B152" i="39"/>
  <c r="A153" i="39"/>
  <c r="B153" i="39"/>
  <c r="A154" i="39"/>
  <c r="B154" i="39"/>
  <c r="A155" i="39"/>
  <c r="B155" i="39"/>
  <c r="A156" i="39"/>
  <c r="B156" i="39"/>
  <c r="A157" i="39"/>
  <c r="B157" i="39"/>
  <c r="A158" i="39"/>
  <c r="B158" i="39"/>
  <c r="A159" i="39"/>
  <c r="B159" i="39"/>
  <c r="A160" i="39"/>
  <c r="B160" i="39"/>
  <c r="A161" i="39"/>
  <c r="B161" i="39"/>
  <c r="A162" i="39"/>
  <c r="B162" i="39"/>
  <c r="A163" i="39"/>
  <c r="B163" i="39"/>
  <c r="A164" i="39"/>
  <c r="B164" i="39"/>
  <c r="A165" i="39"/>
  <c r="B165" i="39"/>
  <c r="A166" i="39"/>
  <c r="B166" i="39"/>
  <c r="A167" i="39"/>
  <c r="B167" i="39"/>
  <c r="A168" i="39"/>
  <c r="B168" i="39"/>
  <c r="A170" i="39"/>
  <c r="B170" i="39"/>
  <c r="A171" i="39"/>
  <c r="B171" i="39"/>
  <c r="A172" i="39"/>
  <c r="B172" i="39"/>
  <c r="A173" i="39"/>
  <c r="B173" i="39"/>
  <c r="A174" i="39"/>
  <c r="B174" i="39"/>
  <c r="A175" i="39"/>
  <c r="B175" i="39"/>
  <c r="A176" i="39"/>
  <c r="B176" i="39"/>
  <c r="A177" i="39"/>
  <c r="B177" i="39"/>
  <c r="A178" i="39"/>
  <c r="B178" i="39"/>
  <c r="A179" i="39"/>
  <c r="B179" i="39"/>
  <c r="A180" i="39"/>
  <c r="B180" i="39"/>
  <c r="A181" i="39"/>
  <c r="B181" i="39"/>
  <c r="A182" i="39"/>
  <c r="B182" i="39"/>
  <c r="A183" i="39"/>
  <c r="B183" i="39"/>
  <c r="A184" i="39"/>
  <c r="B184" i="39"/>
  <c r="A185" i="39"/>
  <c r="B185" i="39"/>
  <c r="A186" i="39"/>
  <c r="B186" i="39"/>
  <c r="A187" i="39"/>
  <c r="B187" i="39"/>
  <c r="A188" i="39"/>
  <c r="B188" i="39"/>
  <c r="A189" i="39"/>
  <c r="B189" i="39"/>
  <c r="A190" i="39"/>
  <c r="B190" i="39"/>
  <c r="A191" i="39"/>
  <c r="B191" i="39"/>
  <c r="A192" i="39"/>
  <c r="B192" i="39"/>
  <c r="A193" i="39"/>
  <c r="B193" i="39"/>
  <c r="A194" i="39"/>
  <c r="B194" i="39"/>
  <c r="A195" i="39"/>
  <c r="B195" i="39"/>
  <c r="A196" i="39"/>
  <c r="B196" i="39"/>
  <c r="A197" i="39"/>
  <c r="B197" i="39"/>
  <c r="A198" i="39"/>
  <c r="B198" i="39"/>
  <c r="A199" i="39"/>
  <c r="B199" i="39"/>
  <c r="A200" i="39"/>
  <c r="B200" i="39"/>
  <c r="A201" i="39"/>
  <c r="B201" i="39"/>
  <c r="A202" i="39"/>
  <c r="B202" i="39"/>
  <c r="A203" i="39"/>
  <c r="B203" i="39"/>
  <c r="A204" i="39"/>
  <c r="B204" i="39"/>
  <c r="A205" i="39"/>
  <c r="B205" i="39"/>
  <c r="A206" i="39"/>
  <c r="B206" i="39"/>
  <c r="A207" i="39"/>
  <c r="B207" i="39"/>
  <c r="A208" i="39"/>
  <c r="B208" i="39"/>
  <c r="A209" i="39"/>
  <c r="B209" i="39"/>
  <c r="A210" i="39"/>
  <c r="B210" i="39"/>
  <c r="A211" i="39"/>
  <c r="B211" i="39"/>
  <c r="A212" i="39"/>
  <c r="B212" i="39"/>
  <c r="A213" i="39"/>
  <c r="B213" i="39"/>
  <c r="A214" i="39"/>
  <c r="B214" i="39"/>
  <c r="A215" i="39"/>
  <c r="B215" i="39"/>
  <c r="A216" i="39"/>
  <c r="B216" i="39"/>
  <c r="A217" i="39"/>
  <c r="B217" i="39"/>
  <c r="A219" i="39"/>
  <c r="B219" i="39"/>
  <c r="A220" i="39"/>
  <c r="B220" i="39"/>
  <c r="A221" i="39"/>
  <c r="B221" i="39"/>
  <c r="A222" i="39"/>
  <c r="B222" i="39"/>
  <c r="A223" i="39"/>
  <c r="B223" i="39"/>
  <c r="A224" i="39"/>
  <c r="B224" i="39"/>
  <c r="A225" i="39"/>
  <c r="B225" i="39"/>
  <c r="A226" i="39"/>
  <c r="B226" i="39"/>
  <c r="A227" i="39"/>
  <c r="B227" i="39"/>
  <c r="A228" i="39"/>
  <c r="B228" i="39"/>
  <c r="A229" i="39"/>
  <c r="B229" i="39"/>
  <c r="A230" i="39"/>
  <c r="B230" i="39"/>
  <c r="A231" i="39"/>
  <c r="B231" i="39"/>
  <c r="A232" i="39"/>
  <c r="B232" i="39"/>
  <c r="A233" i="39"/>
  <c r="B233" i="39"/>
  <c r="A234" i="39"/>
  <c r="B234" i="39"/>
  <c r="A235" i="39"/>
  <c r="B235" i="39"/>
  <c r="A236" i="39"/>
  <c r="B236" i="39"/>
  <c r="A237" i="39"/>
  <c r="B237" i="39"/>
  <c r="A238" i="39"/>
  <c r="B238" i="39"/>
  <c r="A239" i="39"/>
  <c r="B239" i="39"/>
  <c r="A240" i="39"/>
  <c r="B240" i="39"/>
  <c r="A241" i="39"/>
  <c r="B241" i="39"/>
  <c r="A242" i="39"/>
  <c r="B242" i="39"/>
  <c r="A245" i="39"/>
  <c r="B245" i="39"/>
  <c r="A246" i="39"/>
  <c r="B246" i="39"/>
  <c r="A247" i="39"/>
  <c r="B247" i="39"/>
  <c r="A248" i="39"/>
  <c r="B248" i="39"/>
  <c r="A249" i="39"/>
  <c r="B249" i="39"/>
  <c r="A250" i="39"/>
  <c r="B250" i="39"/>
  <c r="A251" i="39"/>
  <c r="B251" i="39"/>
  <c r="A252" i="39"/>
  <c r="B252" i="39"/>
  <c r="A253" i="39"/>
  <c r="B253" i="39"/>
  <c r="A254" i="39"/>
  <c r="B254" i="39"/>
  <c r="A255" i="39"/>
  <c r="B255" i="39"/>
  <c r="A256" i="39"/>
  <c r="B256" i="39"/>
  <c r="A257" i="39"/>
  <c r="B257" i="39"/>
  <c r="A258" i="39"/>
  <c r="B258" i="39"/>
  <c r="A259" i="39"/>
  <c r="B259" i="39"/>
  <c r="A260" i="39"/>
  <c r="B260" i="39"/>
  <c r="A261" i="39"/>
  <c r="B261" i="39"/>
  <c r="A262" i="39"/>
  <c r="B262" i="39"/>
  <c r="A263" i="39"/>
  <c r="B263" i="39"/>
  <c r="A264" i="39"/>
  <c r="B264" i="39"/>
  <c r="A265" i="39"/>
  <c r="B265" i="39"/>
  <c r="A266" i="39"/>
  <c r="B266" i="39"/>
  <c r="A267" i="39"/>
  <c r="B267" i="39"/>
  <c r="A268" i="39"/>
  <c r="B268" i="39"/>
  <c r="A269" i="39"/>
  <c r="B269" i="39"/>
  <c r="A270" i="39"/>
  <c r="B270" i="39"/>
  <c r="A271" i="39"/>
  <c r="B271" i="39"/>
  <c r="A272" i="39"/>
  <c r="B272" i="39"/>
  <c r="A273" i="39"/>
  <c r="B273" i="39"/>
  <c r="A274" i="39"/>
  <c r="B274" i="39"/>
  <c r="A275" i="39"/>
  <c r="B275" i="39"/>
  <c r="A276" i="39"/>
  <c r="B276" i="39"/>
  <c r="A277" i="39"/>
  <c r="B277" i="39"/>
  <c r="A278" i="39"/>
  <c r="B278" i="39"/>
  <c r="A279" i="39"/>
  <c r="B279" i="39"/>
  <c r="A280" i="39"/>
  <c r="B280" i="39"/>
  <c r="A281" i="39"/>
  <c r="B281" i="39"/>
  <c r="A282" i="39"/>
  <c r="B282" i="39"/>
  <c r="A283" i="39"/>
  <c r="B283" i="39"/>
  <c r="A284" i="39"/>
  <c r="B284" i="39"/>
  <c r="A285" i="39"/>
  <c r="B285" i="39"/>
  <c r="A286" i="39"/>
  <c r="B286" i="39"/>
  <c r="A287" i="39"/>
  <c r="B287" i="39"/>
  <c r="A288" i="39"/>
  <c r="B288" i="39"/>
  <c r="A289" i="39"/>
  <c r="B289" i="39"/>
  <c r="A290" i="39"/>
  <c r="B290" i="39"/>
  <c r="A291" i="39"/>
  <c r="B291" i="39"/>
  <c r="A292" i="39"/>
  <c r="B292" i="39"/>
  <c r="A293" i="39"/>
  <c r="B293" i="39"/>
  <c r="A294" i="39"/>
  <c r="B294" i="39"/>
  <c r="A295" i="39"/>
  <c r="B295" i="39"/>
  <c r="A296" i="39"/>
  <c r="B296" i="39"/>
  <c r="A297" i="39"/>
  <c r="B297" i="39"/>
  <c r="A298" i="39"/>
  <c r="B298" i="39"/>
  <c r="A299" i="39"/>
  <c r="B299" i="39"/>
  <c r="A300" i="39"/>
  <c r="B300" i="39"/>
  <c r="A301" i="39"/>
  <c r="B301" i="39"/>
  <c r="A302" i="39"/>
  <c r="B302" i="39"/>
  <c r="A303" i="39"/>
  <c r="B303" i="39"/>
  <c r="A304" i="39"/>
  <c r="B304" i="39"/>
  <c r="A305" i="39"/>
  <c r="B305" i="39"/>
  <c r="A306" i="39"/>
  <c r="B306" i="39"/>
  <c r="A307" i="39"/>
  <c r="B307" i="39"/>
  <c r="A308" i="39"/>
  <c r="B308" i="39"/>
  <c r="A309" i="39"/>
  <c r="B309" i="39"/>
  <c r="A310" i="39"/>
  <c r="B310" i="39"/>
  <c r="A311" i="39"/>
  <c r="B311" i="39"/>
  <c r="A312" i="39"/>
  <c r="B312" i="39"/>
  <c r="A313" i="39"/>
  <c r="B313" i="39"/>
  <c r="B5" i="39"/>
  <c r="A5" i="39"/>
  <c r="B5" i="12"/>
  <c r="A5" i="12"/>
  <c r="K314" i="11"/>
  <c r="F314" i="11"/>
  <c r="E314" i="11"/>
  <c r="D314" i="11"/>
  <c r="D16" i="34"/>
  <c r="B16" i="34"/>
  <c r="A16" i="34"/>
  <c r="C5" i="37"/>
  <c r="B5" i="37"/>
  <c r="A5" i="37"/>
  <c r="C8" i="36"/>
  <c r="B8" i="36"/>
  <c r="A8" i="36"/>
  <c r="C11" i="9"/>
  <c r="C320" i="9" s="1"/>
  <c r="B11" i="9"/>
  <c r="A11" i="9"/>
  <c r="D325" i="34" l="1"/>
  <c r="B314" i="37"/>
  <c r="C314" i="37"/>
  <c r="C317" i="36"/>
  <c r="B317" i="36"/>
  <c r="B314" i="12"/>
  <c r="B314" i="39"/>
  <c r="B315" i="13"/>
  <c r="B325" i="34"/>
  <c r="B320" i="9"/>
  <c r="T183" i="13" l="1"/>
  <c r="T155" i="13"/>
  <c r="T224" i="13"/>
  <c r="T33" i="13"/>
  <c r="T97" i="13"/>
  <c r="T23" i="13"/>
  <c r="T39" i="13"/>
  <c r="T55" i="13"/>
  <c r="T63" i="13"/>
  <c r="T101" i="13"/>
  <c r="T103" i="13"/>
  <c r="T107" i="13"/>
  <c r="T109" i="13"/>
  <c r="T117" i="13"/>
  <c r="T123" i="13"/>
  <c r="T125" i="13"/>
  <c r="T135" i="13"/>
  <c r="T137" i="13"/>
  <c r="T143" i="13"/>
  <c r="T145" i="13"/>
  <c r="T147" i="13"/>
  <c r="T151" i="13"/>
  <c r="T153" i="13"/>
  <c r="T159" i="13"/>
  <c r="T161" i="13"/>
  <c r="T163" i="13"/>
  <c r="T172" i="13"/>
  <c r="T188" i="13"/>
  <c r="T192" i="13"/>
  <c r="T204" i="13"/>
  <c r="T210" i="13"/>
  <c r="T218" i="13"/>
  <c r="T221" i="13"/>
  <c r="T223" i="13"/>
  <c r="T229" i="13"/>
  <c r="T254" i="13"/>
  <c r="T256" i="13"/>
  <c r="T264" i="13"/>
  <c r="T266" i="13"/>
  <c r="T270" i="13"/>
  <c r="T272" i="13"/>
  <c r="T274" i="13"/>
  <c r="T282" i="13"/>
  <c r="T314" i="13"/>
  <c r="E315" i="13"/>
  <c r="T18" i="13"/>
  <c r="T28" i="13"/>
  <c r="T30" i="13"/>
  <c r="T32" i="13"/>
  <c r="T36" i="13"/>
  <c r="T44" i="13"/>
  <c r="T70" i="13"/>
  <c r="T78" i="13"/>
  <c r="T80" i="13"/>
  <c r="T82" i="13"/>
  <c r="T84" i="13"/>
  <c r="T88" i="13"/>
  <c r="T90" i="13"/>
  <c r="T92" i="13"/>
  <c r="T96" i="13"/>
  <c r="T98" i="13"/>
  <c r="T100" i="13"/>
  <c r="T112" i="13"/>
  <c r="T116" i="13"/>
  <c r="T118" i="13"/>
  <c r="T120" i="13"/>
  <c r="T124" i="13"/>
  <c r="T126" i="13"/>
  <c r="T128" i="13"/>
  <c r="T132" i="13"/>
  <c r="T140" i="13"/>
  <c r="T156" i="13"/>
  <c r="T160" i="13"/>
  <c r="T209" i="13"/>
  <c r="T213" i="13"/>
  <c r="T217" i="13"/>
  <c r="T226" i="13"/>
  <c r="T242" i="13"/>
  <c r="T247" i="13"/>
  <c r="T251" i="13"/>
  <c r="T255" i="13"/>
  <c r="T259" i="13"/>
  <c r="T261" i="13"/>
  <c r="T279" i="13"/>
  <c r="T283" i="13"/>
  <c r="T285" i="13"/>
  <c r="T287" i="13"/>
  <c r="T303" i="13"/>
  <c r="T307" i="13"/>
  <c r="T309" i="13"/>
  <c r="T311" i="13"/>
  <c r="T29" i="13"/>
  <c r="T41" i="13"/>
  <c r="T43" i="13"/>
  <c r="T47" i="13"/>
  <c r="T81" i="13"/>
  <c r="T91" i="13"/>
  <c r="T49" i="13"/>
  <c r="T53" i="13"/>
  <c r="T59" i="13"/>
  <c r="T61" i="13"/>
  <c r="T75" i="13"/>
  <c r="T165" i="13"/>
  <c r="T167" i="13"/>
  <c r="T169" i="13"/>
  <c r="T176" i="13"/>
  <c r="T178" i="13"/>
  <c r="T182" i="13"/>
  <c r="T184" i="13"/>
  <c r="T186" i="13"/>
  <c r="T190" i="13"/>
  <c r="T194" i="13"/>
  <c r="T198" i="13"/>
  <c r="T208" i="13"/>
  <c r="T212" i="13"/>
  <c r="T233" i="13"/>
  <c r="T237" i="13"/>
  <c r="T239" i="13"/>
  <c r="T243" i="13"/>
  <c r="T248" i="13"/>
  <c r="T252" i="13"/>
  <c r="T276" i="13"/>
  <c r="T280" i="13"/>
  <c r="T288" i="13"/>
  <c r="T304" i="13"/>
  <c r="T308" i="13"/>
  <c r="F315" i="13"/>
  <c r="T8" i="13"/>
  <c r="T12" i="13"/>
  <c r="T20" i="13"/>
  <c r="T26" i="13"/>
  <c r="T38" i="13"/>
  <c r="T42" i="13"/>
  <c r="T46" i="13"/>
  <c r="T48" i="13"/>
  <c r="T56" i="13"/>
  <c r="T64" i="13"/>
  <c r="T102" i="13"/>
  <c r="T104" i="13"/>
  <c r="T106" i="13"/>
  <c r="T108" i="13"/>
  <c r="T134" i="13"/>
  <c r="T138" i="13"/>
  <c r="T142" i="13"/>
  <c r="T146" i="13"/>
  <c r="T148" i="13"/>
  <c r="T150" i="13"/>
  <c r="T154" i="13"/>
  <c r="T158" i="13"/>
  <c r="T162" i="13"/>
  <c r="T168" i="13"/>
  <c r="T173" i="13"/>
  <c r="T175" i="13"/>
  <c r="T177" i="13"/>
  <c r="T185" i="13"/>
  <c r="T193" i="13"/>
  <c r="T201" i="13"/>
  <c r="T207" i="13"/>
  <c r="T211" i="13"/>
  <c r="T222" i="13"/>
  <c r="T228" i="13"/>
  <c r="T232" i="13"/>
  <c r="T236" i="13"/>
  <c r="T263" i="13"/>
  <c r="T265" i="13"/>
  <c r="T269" i="13"/>
  <c r="T271" i="13"/>
  <c r="T273" i="13"/>
  <c r="T291" i="13"/>
  <c r="T293" i="13"/>
  <c r="T295" i="13"/>
  <c r="T297" i="13"/>
  <c r="T299" i="13"/>
  <c r="T301" i="13"/>
  <c r="T19" i="13"/>
  <c r="T17" i="13"/>
  <c r="T25" i="13"/>
  <c r="T51" i="13"/>
  <c r="T57" i="13"/>
  <c r="T67" i="13"/>
  <c r="T71" i="13"/>
  <c r="T73" i="13"/>
  <c r="T79" i="13"/>
  <c r="T85" i="13"/>
  <c r="T89" i="13"/>
  <c r="T105" i="13"/>
  <c r="T113" i="13"/>
  <c r="T121" i="13"/>
  <c r="T129" i="13"/>
  <c r="T139" i="13"/>
  <c r="T180" i="13"/>
  <c r="T196" i="13"/>
  <c r="T200" i="13"/>
  <c r="T202" i="13"/>
  <c r="T206" i="13"/>
  <c r="T227" i="13"/>
  <c r="T231" i="13"/>
  <c r="T235" i="13"/>
  <c r="T241" i="13"/>
  <c r="T246" i="13"/>
  <c r="T250" i="13"/>
  <c r="T268" i="13"/>
  <c r="T278" i="13"/>
  <c r="T292" i="13"/>
  <c r="T294" i="13"/>
  <c r="T296" i="13"/>
  <c r="T298" i="13"/>
  <c r="T300" i="13"/>
  <c r="T302" i="13"/>
  <c r="T306" i="13"/>
  <c r="T312" i="13"/>
  <c r="T6" i="13"/>
  <c r="G315" i="13"/>
  <c r="T16" i="13"/>
  <c r="T22" i="13"/>
  <c r="T40" i="13"/>
  <c r="T50" i="13"/>
  <c r="T52" i="13"/>
  <c r="T54" i="13"/>
  <c r="T58" i="13"/>
  <c r="T60" i="13"/>
  <c r="T62" i="13"/>
  <c r="T66" i="13"/>
  <c r="T74" i="13"/>
  <c r="T110" i="13"/>
  <c r="T136" i="13"/>
  <c r="T144" i="13"/>
  <c r="T152" i="13"/>
  <c r="T164" i="13"/>
  <c r="T166" i="13"/>
  <c r="T179" i="13"/>
  <c r="T181" i="13"/>
  <c r="T187" i="13"/>
  <c r="T189" i="13"/>
  <c r="T191" i="13"/>
  <c r="T195" i="13"/>
  <c r="T197" i="13"/>
  <c r="T203" i="13"/>
  <c r="T205" i="13"/>
  <c r="T230" i="13"/>
  <c r="T234" i="13"/>
  <c r="T238" i="13"/>
  <c r="T249" i="13"/>
  <c r="T257" i="13"/>
  <c r="T267" i="13"/>
  <c r="T275" i="13"/>
  <c r="T277" i="13"/>
  <c r="T281" i="13"/>
  <c r="T289" i="13"/>
  <c r="T9" i="13"/>
  <c r="T13" i="13"/>
  <c r="T21" i="13"/>
  <c r="T65" i="13"/>
  <c r="T69" i="13"/>
  <c r="T77" i="13"/>
  <c r="T7" i="13"/>
  <c r="T11" i="13"/>
  <c r="T15" i="13"/>
  <c r="T27" i="13"/>
  <c r="T31" i="13"/>
  <c r="T35" i="13"/>
  <c r="T37" i="13"/>
  <c r="T45" i="13"/>
  <c r="T83" i="13"/>
  <c r="T87" i="13"/>
  <c r="T93" i="13"/>
  <c r="T95" i="13"/>
  <c r="T99" i="13"/>
  <c r="T111" i="13"/>
  <c r="T115" i="13"/>
  <c r="T119" i="13"/>
  <c r="T127" i="13"/>
  <c r="T131" i="13"/>
  <c r="T133" i="13"/>
  <c r="T141" i="13"/>
  <c r="T149" i="13"/>
  <c r="T157" i="13"/>
  <c r="T174" i="13"/>
  <c r="T214" i="13"/>
  <c r="T216" i="13"/>
  <c r="T225" i="13"/>
  <c r="T258" i="13"/>
  <c r="T260" i="13"/>
  <c r="T262" i="13"/>
  <c r="T284" i="13"/>
  <c r="T286" i="13"/>
  <c r="T290" i="13"/>
  <c r="T310" i="13"/>
  <c r="D315" i="13"/>
  <c r="I315" i="13"/>
  <c r="T10" i="13"/>
  <c r="T14" i="13"/>
  <c r="T24" i="13"/>
  <c r="T34" i="13"/>
  <c r="T68" i="13"/>
  <c r="T72" i="13"/>
  <c r="T76" i="13"/>
  <c r="T86" i="13"/>
  <c r="T94" i="13"/>
  <c r="T114" i="13"/>
  <c r="T122" i="13"/>
  <c r="T130" i="13"/>
  <c r="T171" i="13"/>
  <c r="T199" i="13"/>
  <c r="T215" i="13"/>
  <c r="T220" i="13"/>
  <c r="T240" i="13"/>
  <c r="T245" i="13"/>
  <c r="T253" i="13"/>
  <c r="T305" i="13"/>
  <c r="T313" i="13"/>
  <c r="H3" i="33"/>
  <c r="I3" i="33"/>
  <c r="J3" i="33"/>
  <c r="G3" i="33"/>
  <c r="J4" i="33"/>
  <c r="H4" i="33"/>
  <c r="I4" i="33"/>
  <c r="G4" i="33"/>
  <c r="H315" i="13" l="1"/>
  <c r="K6" i="13"/>
  <c r="C4" i="32"/>
  <c r="B5" i="33"/>
  <c r="A5" i="33"/>
  <c r="B5" i="32"/>
  <c r="A5" i="32"/>
  <c r="B7" i="19"/>
  <c r="B6" i="54" s="1"/>
  <c r="A7" i="19"/>
  <c r="A6" i="54" s="1"/>
  <c r="A2" i="19"/>
  <c r="A2" i="42"/>
  <c r="O7" i="19"/>
  <c r="R316" i="42"/>
  <c r="Q316" i="42"/>
  <c r="P316" i="42"/>
  <c r="O316" i="42"/>
  <c r="N316" i="42"/>
  <c r="J316" i="42"/>
  <c r="K316" i="42"/>
  <c r="L316" i="42"/>
  <c r="I316" i="42"/>
  <c r="F316" i="42"/>
  <c r="G316" i="42"/>
  <c r="H316" i="42"/>
  <c r="E316" i="42"/>
  <c r="D316" i="42"/>
  <c r="B316" i="42"/>
  <c r="D16" i="53" s="1"/>
  <c r="B315" i="54" l="1"/>
  <c r="D59" i="48"/>
  <c r="F59" i="48"/>
  <c r="E59" i="48"/>
  <c r="B314" i="32"/>
  <c r="B316" i="19"/>
  <c r="B314" i="33"/>
  <c r="C59" i="48" l="1"/>
  <c r="E4" i="37"/>
  <c r="E7" i="36"/>
  <c r="D29" i="40"/>
  <c r="F7" i="36" s="1"/>
  <c r="E29" i="40"/>
  <c r="G7" i="36" s="1"/>
  <c r="F29" i="40"/>
  <c r="H7" i="36" s="1"/>
  <c r="G29" i="40"/>
  <c r="I7" i="36" s="1"/>
  <c r="H29" i="40"/>
  <c r="J7" i="36" s="1"/>
  <c r="D7" i="36"/>
  <c r="C4" i="9" l="1"/>
  <c r="N316" i="19"/>
  <c r="C7" i="19"/>
  <c r="D7" i="19"/>
  <c r="E7" i="19"/>
  <c r="F7" i="19"/>
  <c r="D4" i="32"/>
  <c r="AR7" i="19"/>
  <c r="D6" i="49" s="1"/>
  <c r="K14" i="13"/>
  <c r="K88" i="13"/>
  <c r="E4" i="36"/>
  <c r="G4" i="36"/>
  <c r="I4" i="36"/>
  <c r="H4" i="36"/>
  <c r="G5" i="36"/>
  <c r="C6" i="34"/>
  <c r="D4" i="36"/>
  <c r="D5" i="36"/>
  <c r="E5" i="36"/>
  <c r="F4" i="36"/>
  <c r="F5" i="36"/>
  <c r="H5" i="36"/>
  <c r="J4" i="36"/>
  <c r="I5" i="36"/>
  <c r="I4" i="39"/>
  <c r="K8" i="13"/>
  <c r="K9" i="13"/>
  <c r="K10" i="13"/>
  <c r="K11" i="13"/>
  <c r="K12" i="13"/>
  <c r="K13" i="13"/>
  <c r="K15" i="13"/>
  <c r="K16" i="13"/>
  <c r="K17" i="13"/>
  <c r="K18" i="13"/>
  <c r="K19" i="13"/>
  <c r="K20" i="13"/>
  <c r="K21" i="13"/>
  <c r="K22" i="13"/>
  <c r="K23" i="13"/>
  <c r="K24" i="13"/>
  <c r="K25" i="13"/>
  <c r="K26" i="13"/>
  <c r="K27" i="13"/>
  <c r="K28" i="13"/>
  <c r="K29" i="13"/>
  <c r="K30" i="13"/>
  <c r="K31" i="13"/>
  <c r="K32" i="13"/>
  <c r="K33" i="13"/>
  <c r="K34" i="13"/>
  <c r="K35" i="13"/>
  <c r="K36" i="13"/>
  <c r="K37" i="13"/>
  <c r="K38" i="13"/>
  <c r="K39" i="13"/>
  <c r="K40" i="13"/>
  <c r="K41" i="13"/>
  <c r="K42" i="13"/>
  <c r="K43" i="13"/>
  <c r="K44" i="13"/>
  <c r="K45" i="13"/>
  <c r="K46" i="13"/>
  <c r="K47" i="13"/>
  <c r="K48" i="13"/>
  <c r="K49" i="13"/>
  <c r="K50" i="13"/>
  <c r="K51" i="13"/>
  <c r="K52" i="13"/>
  <c r="K53" i="13"/>
  <c r="K54" i="13"/>
  <c r="K55" i="13"/>
  <c r="K56" i="13"/>
  <c r="K57" i="13"/>
  <c r="K58" i="13"/>
  <c r="K59" i="13"/>
  <c r="K60" i="13"/>
  <c r="K61" i="13"/>
  <c r="K62" i="13"/>
  <c r="K63" i="13"/>
  <c r="K64" i="13"/>
  <c r="K65" i="13"/>
  <c r="K66" i="13"/>
  <c r="K67" i="13"/>
  <c r="K68" i="13"/>
  <c r="K69" i="13"/>
  <c r="K70" i="13"/>
  <c r="K71" i="13"/>
  <c r="K72" i="13"/>
  <c r="K73" i="13"/>
  <c r="K74" i="13"/>
  <c r="K75" i="13"/>
  <c r="K76" i="13"/>
  <c r="K77" i="13"/>
  <c r="K78" i="13"/>
  <c r="K79" i="13"/>
  <c r="K80" i="13"/>
  <c r="K81" i="13"/>
  <c r="K82" i="13"/>
  <c r="K83" i="13"/>
  <c r="K84" i="13"/>
  <c r="K85" i="13"/>
  <c r="K86" i="13"/>
  <c r="K87" i="13"/>
  <c r="K89" i="13"/>
  <c r="K90" i="13"/>
  <c r="K91" i="13"/>
  <c r="K92" i="13"/>
  <c r="K93" i="13"/>
  <c r="K94" i="13"/>
  <c r="K95" i="13"/>
  <c r="K96" i="13"/>
  <c r="K97" i="13"/>
  <c r="K98" i="13"/>
  <c r="K99" i="13"/>
  <c r="K100" i="13"/>
  <c r="K101" i="13"/>
  <c r="K102" i="13"/>
  <c r="K103" i="13"/>
  <c r="K104" i="13"/>
  <c r="K105" i="13"/>
  <c r="K106" i="13"/>
  <c r="K107" i="13"/>
  <c r="K108" i="13"/>
  <c r="K109" i="13"/>
  <c r="K110" i="13"/>
  <c r="K111" i="13"/>
  <c r="K112" i="13"/>
  <c r="K113" i="13"/>
  <c r="K114" i="13"/>
  <c r="K115" i="13"/>
  <c r="K116" i="13"/>
  <c r="K117" i="13"/>
  <c r="K118" i="13"/>
  <c r="K119" i="13"/>
  <c r="K120" i="13"/>
  <c r="K121" i="13"/>
  <c r="K122" i="13"/>
  <c r="K123" i="13"/>
  <c r="K124" i="13"/>
  <c r="K125" i="13"/>
  <c r="K126" i="13"/>
  <c r="K127" i="13"/>
  <c r="K128" i="13"/>
  <c r="K129" i="13"/>
  <c r="K130" i="13"/>
  <c r="K131" i="13"/>
  <c r="K132" i="13"/>
  <c r="K133" i="13"/>
  <c r="K134" i="13"/>
  <c r="K135" i="13"/>
  <c r="K136" i="13"/>
  <c r="K137" i="13"/>
  <c r="K138" i="13"/>
  <c r="K139" i="13"/>
  <c r="K140" i="13"/>
  <c r="K141" i="13"/>
  <c r="K142" i="13"/>
  <c r="K143" i="13"/>
  <c r="K144" i="13"/>
  <c r="K145" i="13"/>
  <c r="K146" i="13"/>
  <c r="K147" i="13"/>
  <c r="K148" i="13"/>
  <c r="K149" i="13"/>
  <c r="K150" i="13"/>
  <c r="K151" i="13"/>
  <c r="K152" i="13"/>
  <c r="K153" i="13"/>
  <c r="K154" i="13"/>
  <c r="K155" i="13"/>
  <c r="K156" i="13"/>
  <c r="K157" i="13"/>
  <c r="K158" i="13"/>
  <c r="K159" i="13"/>
  <c r="K160" i="13"/>
  <c r="K161" i="13"/>
  <c r="K162" i="13"/>
  <c r="K163" i="13"/>
  <c r="K164" i="13"/>
  <c r="K165" i="13"/>
  <c r="K166" i="13"/>
  <c r="K167" i="13"/>
  <c r="K168" i="13"/>
  <c r="K169" i="13"/>
  <c r="K171" i="13"/>
  <c r="K172" i="13"/>
  <c r="K173" i="13"/>
  <c r="K174" i="13"/>
  <c r="K175" i="13"/>
  <c r="K176" i="13"/>
  <c r="K177" i="13"/>
  <c r="K178" i="13"/>
  <c r="K179" i="13"/>
  <c r="K180" i="13"/>
  <c r="K181" i="13"/>
  <c r="K182" i="13"/>
  <c r="K183" i="13"/>
  <c r="K184" i="13"/>
  <c r="K185" i="13"/>
  <c r="K186" i="13"/>
  <c r="K187" i="13"/>
  <c r="K188" i="13"/>
  <c r="K189" i="13"/>
  <c r="K190" i="13"/>
  <c r="K191" i="13"/>
  <c r="K192" i="13"/>
  <c r="K193" i="13"/>
  <c r="K194" i="13"/>
  <c r="K195" i="13"/>
  <c r="K196" i="13"/>
  <c r="K197" i="13"/>
  <c r="K198" i="13"/>
  <c r="K199" i="13"/>
  <c r="K200" i="13"/>
  <c r="K201" i="13"/>
  <c r="K202" i="13"/>
  <c r="K203" i="13"/>
  <c r="K204" i="13"/>
  <c r="K205" i="13"/>
  <c r="K206" i="13"/>
  <c r="K207" i="13"/>
  <c r="K208" i="13"/>
  <c r="K209" i="13"/>
  <c r="K210" i="13"/>
  <c r="K211" i="13"/>
  <c r="K212" i="13"/>
  <c r="K213" i="13"/>
  <c r="K214" i="13"/>
  <c r="K215" i="13"/>
  <c r="K216" i="13"/>
  <c r="K217" i="13"/>
  <c r="K218" i="13"/>
  <c r="K220" i="13"/>
  <c r="K221" i="13"/>
  <c r="K222" i="13"/>
  <c r="K223" i="13"/>
  <c r="K224" i="13"/>
  <c r="K225" i="13"/>
  <c r="K226" i="13"/>
  <c r="K227" i="13"/>
  <c r="K228" i="13"/>
  <c r="K229" i="13"/>
  <c r="K230" i="13"/>
  <c r="K231" i="13"/>
  <c r="K232" i="13"/>
  <c r="K233" i="13"/>
  <c r="K234" i="13"/>
  <c r="K235" i="13"/>
  <c r="K236" i="13"/>
  <c r="K237" i="13"/>
  <c r="K238" i="13"/>
  <c r="K239" i="13"/>
  <c r="K240" i="13"/>
  <c r="K241" i="13"/>
  <c r="K242" i="13"/>
  <c r="K243" i="13"/>
  <c r="K245" i="13"/>
  <c r="K246" i="13"/>
  <c r="K247" i="13"/>
  <c r="K248" i="13"/>
  <c r="K249" i="13"/>
  <c r="K250" i="13"/>
  <c r="K251" i="13"/>
  <c r="K252" i="13"/>
  <c r="K253" i="13"/>
  <c r="K254" i="13"/>
  <c r="K255" i="13"/>
  <c r="K256" i="13"/>
  <c r="K257" i="13"/>
  <c r="K258" i="13"/>
  <c r="K259" i="13"/>
  <c r="K260" i="13"/>
  <c r="K261" i="13"/>
  <c r="K262" i="13"/>
  <c r="K263" i="13"/>
  <c r="K264" i="13"/>
  <c r="K265" i="13"/>
  <c r="K266" i="13"/>
  <c r="K267" i="13"/>
  <c r="K268" i="13"/>
  <c r="K269" i="13"/>
  <c r="K270" i="13"/>
  <c r="K271" i="13"/>
  <c r="K272" i="13"/>
  <c r="K273" i="13"/>
  <c r="K274" i="13"/>
  <c r="K275" i="13"/>
  <c r="K276" i="13"/>
  <c r="K277" i="13"/>
  <c r="K278" i="13"/>
  <c r="K279" i="13"/>
  <c r="K280" i="13"/>
  <c r="K281" i="13"/>
  <c r="K282" i="13"/>
  <c r="K283" i="13"/>
  <c r="K284" i="13"/>
  <c r="K285" i="13"/>
  <c r="K286" i="13"/>
  <c r="K287" i="13"/>
  <c r="K288" i="13"/>
  <c r="K289" i="13"/>
  <c r="K290" i="13"/>
  <c r="K291" i="13"/>
  <c r="K292" i="13"/>
  <c r="K293" i="13"/>
  <c r="K294" i="13"/>
  <c r="K295" i="13"/>
  <c r="K296" i="13"/>
  <c r="K297" i="13"/>
  <c r="K298" i="13"/>
  <c r="K299" i="13"/>
  <c r="K300" i="13"/>
  <c r="K301" i="13"/>
  <c r="K302" i="13"/>
  <c r="K303" i="13"/>
  <c r="K304" i="13"/>
  <c r="K305" i="13"/>
  <c r="K306" i="13"/>
  <c r="K307" i="13"/>
  <c r="K308" i="13"/>
  <c r="K309" i="13"/>
  <c r="K310" i="13"/>
  <c r="K311" i="13"/>
  <c r="K312" i="13"/>
  <c r="K313" i="13"/>
  <c r="K314" i="13"/>
  <c r="A6" i="25"/>
  <c r="B6" i="25"/>
  <c r="AN316" i="42" l="1"/>
  <c r="H12" i="32"/>
  <c r="D18" i="9" s="1"/>
  <c r="H24" i="32"/>
  <c r="D30" i="9" s="1"/>
  <c r="H26" i="32"/>
  <c r="D32" i="9" s="1"/>
  <c r="H28" i="32"/>
  <c r="D34" i="9" s="1"/>
  <c r="H30" i="32"/>
  <c r="D36" i="9" s="1"/>
  <c r="H32" i="32"/>
  <c r="D38" i="9" s="1"/>
  <c r="H34" i="32"/>
  <c r="D40" i="9" s="1"/>
  <c r="H36" i="32"/>
  <c r="D42" i="9" s="1"/>
  <c r="H38" i="32"/>
  <c r="D44" i="9" s="1"/>
  <c r="H40" i="32"/>
  <c r="D46" i="9" s="1"/>
  <c r="H42" i="32"/>
  <c r="D48" i="9" s="1"/>
  <c r="H44" i="32"/>
  <c r="D50" i="9" s="1"/>
  <c r="H46" i="32"/>
  <c r="D52" i="9" s="1"/>
  <c r="H48" i="32"/>
  <c r="D54" i="9" s="1"/>
  <c r="H50" i="32"/>
  <c r="D56" i="9" s="1"/>
  <c r="H52" i="32"/>
  <c r="D58" i="9" s="1"/>
  <c r="H54" i="32"/>
  <c r="D60" i="9" s="1"/>
  <c r="H65" i="32"/>
  <c r="D71" i="9" s="1"/>
  <c r="H67" i="32"/>
  <c r="D73" i="9" s="1"/>
  <c r="H69" i="32"/>
  <c r="D75" i="9" s="1"/>
  <c r="H71" i="32"/>
  <c r="D77" i="9" s="1"/>
  <c r="H73" i="32"/>
  <c r="D79" i="9" s="1"/>
  <c r="H75" i="32"/>
  <c r="D81" i="9" s="1"/>
  <c r="H77" i="32"/>
  <c r="D83" i="9" s="1"/>
  <c r="H79" i="32"/>
  <c r="D85" i="9" s="1"/>
  <c r="H7" i="32"/>
  <c r="D13" i="9" s="1"/>
  <c r="H9" i="32"/>
  <c r="D15" i="9" s="1"/>
  <c r="H11" i="32"/>
  <c r="D17" i="9" s="1"/>
  <c r="H15" i="32"/>
  <c r="D21" i="9" s="1"/>
  <c r="H17" i="32"/>
  <c r="D23" i="9" s="1"/>
  <c r="H19" i="32"/>
  <c r="D25" i="9" s="1"/>
  <c r="H21" i="32"/>
  <c r="D27" i="9" s="1"/>
  <c r="H57" i="32"/>
  <c r="D63" i="9" s="1"/>
  <c r="H60" i="32"/>
  <c r="D66" i="9" s="1"/>
  <c r="H62" i="32"/>
  <c r="D68" i="9" s="1"/>
  <c r="H64" i="32"/>
  <c r="D70" i="9" s="1"/>
  <c r="H81" i="32"/>
  <c r="D87" i="9" s="1"/>
  <c r="H83" i="32"/>
  <c r="D89" i="9" s="1"/>
  <c r="H85" i="32"/>
  <c r="D91" i="9" s="1"/>
  <c r="H87" i="32"/>
  <c r="D93" i="9" s="1"/>
  <c r="H89" i="32"/>
  <c r="D95" i="9" s="1"/>
  <c r="H91" i="32"/>
  <c r="D97" i="9" s="1"/>
  <c r="H93" i="32"/>
  <c r="D99" i="9" s="1"/>
  <c r="H95" i="32"/>
  <c r="D101" i="9" s="1"/>
  <c r="H310" i="32"/>
  <c r="D316" i="9" s="1"/>
  <c r="H302" i="32"/>
  <c r="D308" i="9" s="1"/>
  <c r="H294" i="32"/>
  <c r="D300" i="9" s="1"/>
  <c r="H286" i="32"/>
  <c r="D292" i="9" s="1"/>
  <c r="H278" i="32"/>
  <c r="D284" i="9" s="1"/>
  <c r="H270" i="32"/>
  <c r="D276" i="9" s="1"/>
  <c r="H262" i="32"/>
  <c r="D268" i="9" s="1"/>
  <c r="H254" i="32"/>
  <c r="D260" i="9" s="1"/>
  <c r="H246" i="32"/>
  <c r="D252" i="9" s="1"/>
  <c r="H238" i="32"/>
  <c r="D244" i="9" s="1"/>
  <c r="H230" i="32"/>
  <c r="D236" i="9" s="1"/>
  <c r="H222" i="32"/>
  <c r="D228" i="9" s="1"/>
  <c r="H214" i="32"/>
  <c r="D220" i="9" s="1"/>
  <c r="H206" i="32"/>
  <c r="D212" i="9" s="1"/>
  <c r="H198" i="32"/>
  <c r="D204" i="9" s="1"/>
  <c r="H190" i="32"/>
  <c r="D196" i="9" s="1"/>
  <c r="H182" i="32"/>
  <c r="D188" i="9" s="1"/>
  <c r="H174" i="32"/>
  <c r="D180" i="9" s="1"/>
  <c r="H166" i="32"/>
  <c r="D172" i="9" s="1"/>
  <c r="H158" i="32"/>
  <c r="D164" i="9" s="1"/>
  <c r="H150" i="32"/>
  <c r="D156" i="9" s="1"/>
  <c r="H141" i="32"/>
  <c r="D147" i="9" s="1"/>
  <c r="H133" i="32"/>
  <c r="D139" i="9" s="1"/>
  <c r="H124" i="32"/>
  <c r="D130" i="9" s="1"/>
  <c r="H116" i="32"/>
  <c r="D122" i="9" s="1"/>
  <c r="H108" i="32"/>
  <c r="D114" i="9" s="1"/>
  <c r="H100" i="32"/>
  <c r="D106" i="9" s="1"/>
  <c r="H311" i="32"/>
  <c r="D317" i="9" s="1"/>
  <c r="H303" i="32"/>
  <c r="D309" i="9" s="1"/>
  <c r="H295" i="32"/>
  <c r="D301" i="9" s="1"/>
  <c r="H287" i="32"/>
  <c r="D293" i="9" s="1"/>
  <c r="H279" i="32"/>
  <c r="D285" i="9" s="1"/>
  <c r="H271" i="32"/>
  <c r="D277" i="9" s="1"/>
  <c r="H263" i="32"/>
  <c r="D269" i="9" s="1"/>
  <c r="H255" i="32"/>
  <c r="D261" i="9" s="1"/>
  <c r="H247" i="32"/>
  <c r="D253" i="9" s="1"/>
  <c r="H239" i="32"/>
  <c r="D245" i="9" s="1"/>
  <c r="H231" i="32"/>
  <c r="D237" i="9" s="1"/>
  <c r="H223" i="32"/>
  <c r="D229" i="9" s="1"/>
  <c r="H215" i="32"/>
  <c r="D221" i="9" s="1"/>
  <c r="H207" i="32"/>
  <c r="D213" i="9" s="1"/>
  <c r="H199" i="32"/>
  <c r="D205" i="9" s="1"/>
  <c r="H191" i="32"/>
  <c r="D197" i="9" s="1"/>
  <c r="H183" i="32"/>
  <c r="D189" i="9" s="1"/>
  <c r="H175" i="32"/>
  <c r="D181" i="9" s="1"/>
  <c r="H167" i="32"/>
  <c r="D173" i="9" s="1"/>
  <c r="H159" i="32"/>
  <c r="D165" i="9" s="1"/>
  <c r="H151" i="32"/>
  <c r="D157" i="9" s="1"/>
  <c r="H142" i="32"/>
  <c r="D148" i="9" s="1"/>
  <c r="H134" i="32"/>
  <c r="D140" i="9" s="1"/>
  <c r="H125" i="32"/>
  <c r="D131" i="9" s="1"/>
  <c r="H117" i="32"/>
  <c r="D123" i="9" s="1"/>
  <c r="H109" i="32"/>
  <c r="D115" i="9" s="1"/>
  <c r="H101" i="32"/>
  <c r="D107" i="9" s="1"/>
  <c r="H149" i="32"/>
  <c r="D155" i="9" s="1"/>
  <c r="H308" i="32"/>
  <c r="D314" i="9" s="1"/>
  <c r="H300" i="32"/>
  <c r="D306" i="9" s="1"/>
  <c r="H292" i="32"/>
  <c r="D298" i="9" s="1"/>
  <c r="H284" i="32"/>
  <c r="D290" i="9" s="1"/>
  <c r="H276" i="32"/>
  <c r="D282" i="9" s="1"/>
  <c r="H268" i="32"/>
  <c r="D274" i="9" s="1"/>
  <c r="H260" i="32"/>
  <c r="D266" i="9" s="1"/>
  <c r="H252" i="32"/>
  <c r="D258" i="9" s="1"/>
  <c r="H244" i="32"/>
  <c r="D250" i="9" s="1"/>
  <c r="H236" i="32"/>
  <c r="D242" i="9" s="1"/>
  <c r="H228" i="32"/>
  <c r="D234" i="9" s="1"/>
  <c r="H220" i="32"/>
  <c r="D226" i="9" s="1"/>
  <c r="H212" i="32"/>
  <c r="D218" i="9" s="1"/>
  <c r="H204" i="32"/>
  <c r="D210" i="9" s="1"/>
  <c r="H196" i="32"/>
  <c r="D202" i="9" s="1"/>
  <c r="H188" i="32"/>
  <c r="D194" i="9" s="1"/>
  <c r="H180" i="32"/>
  <c r="D186" i="9" s="1"/>
  <c r="H172" i="32"/>
  <c r="D178" i="9" s="1"/>
  <c r="H164" i="32"/>
  <c r="D170" i="9" s="1"/>
  <c r="H156" i="32"/>
  <c r="D162" i="9" s="1"/>
  <c r="H147" i="32"/>
  <c r="D153" i="9" s="1"/>
  <c r="H139" i="32"/>
  <c r="D145" i="9" s="1"/>
  <c r="H131" i="32"/>
  <c r="D137" i="9" s="1"/>
  <c r="H122" i="32"/>
  <c r="D128" i="9" s="1"/>
  <c r="H114" i="32"/>
  <c r="D120" i="9" s="1"/>
  <c r="H106" i="32"/>
  <c r="D112" i="9" s="1"/>
  <c r="H98" i="32"/>
  <c r="D104" i="9" s="1"/>
  <c r="H309" i="32"/>
  <c r="D315" i="9" s="1"/>
  <c r="H301" i="32"/>
  <c r="D307" i="9" s="1"/>
  <c r="H293" i="32"/>
  <c r="D299" i="9" s="1"/>
  <c r="H285" i="32"/>
  <c r="D291" i="9" s="1"/>
  <c r="H277" i="32"/>
  <c r="D283" i="9" s="1"/>
  <c r="H269" i="32"/>
  <c r="D275" i="9" s="1"/>
  <c r="H261" i="32"/>
  <c r="D267" i="9" s="1"/>
  <c r="H253" i="32"/>
  <c r="D259" i="9" s="1"/>
  <c r="H245" i="32"/>
  <c r="D251" i="9" s="1"/>
  <c r="H237" i="32"/>
  <c r="D243" i="9" s="1"/>
  <c r="H229" i="32"/>
  <c r="D235" i="9" s="1"/>
  <c r="H221" i="32"/>
  <c r="D227" i="9" s="1"/>
  <c r="H213" i="32"/>
  <c r="D219" i="9" s="1"/>
  <c r="H205" i="32"/>
  <c r="D211" i="9" s="1"/>
  <c r="H197" i="32"/>
  <c r="D203" i="9" s="1"/>
  <c r="H189" i="32"/>
  <c r="D195" i="9" s="1"/>
  <c r="H181" i="32"/>
  <c r="D187" i="9" s="1"/>
  <c r="H173" i="32"/>
  <c r="D179" i="9" s="1"/>
  <c r="H165" i="32"/>
  <c r="D171" i="9" s="1"/>
  <c r="H157" i="32"/>
  <c r="D163" i="9" s="1"/>
  <c r="H148" i="32"/>
  <c r="D154" i="9" s="1"/>
  <c r="H140" i="32"/>
  <c r="D146" i="9" s="1"/>
  <c r="H132" i="32"/>
  <c r="D138" i="9" s="1"/>
  <c r="H123" i="32"/>
  <c r="D129" i="9" s="1"/>
  <c r="H115" i="32"/>
  <c r="D121" i="9" s="1"/>
  <c r="H107" i="32"/>
  <c r="D113" i="9" s="1"/>
  <c r="H96" i="32"/>
  <c r="D102" i="9" s="1"/>
  <c r="H23" i="32"/>
  <c r="D29" i="9" s="1"/>
  <c r="H25" i="32"/>
  <c r="D31" i="9" s="1"/>
  <c r="H27" i="32"/>
  <c r="D33" i="9" s="1"/>
  <c r="H29" i="32"/>
  <c r="D35" i="9" s="1"/>
  <c r="H31" i="32"/>
  <c r="D37" i="9" s="1"/>
  <c r="H33" i="32"/>
  <c r="D39" i="9" s="1"/>
  <c r="H35" i="32"/>
  <c r="D41" i="9" s="1"/>
  <c r="H37" i="32"/>
  <c r="D43" i="9" s="1"/>
  <c r="H39" i="32"/>
  <c r="D45" i="9" s="1"/>
  <c r="H41" i="32"/>
  <c r="D47" i="9" s="1"/>
  <c r="H43" i="32"/>
  <c r="D49" i="9" s="1"/>
  <c r="H45" i="32"/>
  <c r="D51" i="9" s="1"/>
  <c r="H47" i="32"/>
  <c r="D53" i="9" s="1"/>
  <c r="H49" i="32"/>
  <c r="D55" i="9" s="1"/>
  <c r="H51" i="32"/>
  <c r="D57" i="9" s="1"/>
  <c r="H53" i="32"/>
  <c r="D59" i="9" s="1"/>
  <c r="H55" i="32"/>
  <c r="D61" i="9" s="1"/>
  <c r="H66" i="32"/>
  <c r="D72" i="9" s="1"/>
  <c r="H68" i="32"/>
  <c r="D74" i="9" s="1"/>
  <c r="H70" i="32"/>
  <c r="D76" i="9" s="1"/>
  <c r="H72" i="32"/>
  <c r="D78" i="9" s="1"/>
  <c r="H74" i="32"/>
  <c r="D80" i="9" s="1"/>
  <c r="H76" i="32"/>
  <c r="D82" i="9" s="1"/>
  <c r="H78" i="32"/>
  <c r="D84" i="9" s="1"/>
  <c r="H6" i="32"/>
  <c r="D12" i="9" s="1"/>
  <c r="H8" i="32"/>
  <c r="D14" i="9" s="1"/>
  <c r="H10" i="32"/>
  <c r="D16" i="9" s="1"/>
  <c r="H14" i="32"/>
  <c r="D20" i="9" s="1"/>
  <c r="H16" i="32"/>
  <c r="D22" i="9" s="1"/>
  <c r="H18" i="32"/>
  <c r="D24" i="9" s="1"/>
  <c r="H20" i="32"/>
  <c r="D26" i="9" s="1"/>
  <c r="H56" i="32"/>
  <c r="D62" i="9" s="1"/>
  <c r="H58" i="32"/>
  <c r="D64" i="9" s="1"/>
  <c r="H61" i="32"/>
  <c r="D67" i="9" s="1"/>
  <c r="H63" i="32"/>
  <c r="D69" i="9" s="1"/>
  <c r="H80" i="32"/>
  <c r="D86" i="9" s="1"/>
  <c r="H82" i="32"/>
  <c r="D88" i="9" s="1"/>
  <c r="H84" i="32"/>
  <c r="D90" i="9" s="1"/>
  <c r="H86" i="32"/>
  <c r="D92" i="9" s="1"/>
  <c r="H88" i="32"/>
  <c r="D94" i="9" s="1"/>
  <c r="H90" i="32"/>
  <c r="D96" i="9" s="1"/>
  <c r="H92" i="32"/>
  <c r="D98" i="9" s="1"/>
  <c r="H94" i="32"/>
  <c r="D100" i="9" s="1"/>
  <c r="H13" i="32"/>
  <c r="D19" i="9" s="1"/>
  <c r="H306" i="32"/>
  <c r="D312" i="9" s="1"/>
  <c r="H298" i="32"/>
  <c r="D304" i="9" s="1"/>
  <c r="H290" i="32"/>
  <c r="D296" i="9" s="1"/>
  <c r="H282" i="32"/>
  <c r="D288" i="9" s="1"/>
  <c r="H274" i="32"/>
  <c r="D280" i="9" s="1"/>
  <c r="H266" i="32"/>
  <c r="D272" i="9" s="1"/>
  <c r="H258" i="32"/>
  <c r="D264" i="9" s="1"/>
  <c r="H250" i="32"/>
  <c r="D256" i="9" s="1"/>
  <c r="H242" i="32"/>
  <c r="D248" i="9" s="1"/>
  <c r="H234" i="32"/>
  <c r="D240" i="9" s="1"/>
  <c r="H226" i="32"/>
  <c r="D232" i="9" s="1"/>
  <c r="H218" i="32"/>
  <c r="D224" i="9" s="1"/>
  <c r="H210" i="32"/>
  <c r="D216" i="9" s="1"/>
  <c r="H202" i="32"/>
  <c r="D208" i="9" s="1"/>
  <c r="H194" i="32"/>
  <c r="D200" i="9" s="1"/>
  <c r="H186" i="32"/>
  <c r="D192" i="9" s="1"/>
  <c r="H178" i="32"/>
  <c r="D184" i="9" s="1"/>
  <c r="H170" i="32"/>
  <c r="D176" i="9" s="1"/>
  <c r="H162" i="32"/>
  <c r="D168" i="9" s="1"/>
  <c r="H154" i="32"/>
  <c r="D160" i="9" s="1"/>
  <c r="H145" i="32"/>
  <c r="D151" i="9" s="1"/>
  <c r="H137" i="32"/>
  <c r="D143" i="9" s="1"/>
  <c r="H128" i="32"/>
  <c r="D134" i="9" s="1"/>
  <c r="H120" i="32"/>
  <c r="D126" i="9" s="1"/>
  <c r="H112" i="32"/>
  <c r="D118" i="9" s="1"/>
  <c r="H104" i="32"/>
  <c r="D110" i="9" s="1"/>
  <c r="H22" i="32"/>
  <c r="D28" i="9" s="1"/>
  <c r="H307" i="32"/>
  <c r="D313" i="9" s="1"/>
  <c r="H299" i="32"/>
  <c r="D305" i="9" s="1"/>
  <c r="H291" i="32"/>
  <c r="D297" i="9" s="1"/>
  <c r="H283" i="32"/>
  <c r="D289" i="9" s="1"/>
  <c r="H275" i="32"/>
  <c r="D281" i="9" s="1"/>
  <c r="H267" i="32"/>
  <c r="D273" i="9" s="1"/>
  <c r="H259" i="32"/>
  <c r="D265" i="9" s="1"/>
  <c r="H251" i="32"/>
  <c r="D257" i="9" s="1"/>
  <c r="H243" i="32"/>
  <c r="D249" i="9" s="1"/>
  <c r="H235" i="32"/>
  <c r="D241" i="9" s="1"/>
  <c r="H227" i="32"/>
  <c r="D233" i="9" s="1"/>
  <c r="H219" i="32"/>
  <c r="D225" i="9" s="1"/>
  <c r="H211" i="32"/>
  <c r="D217" i="9" s="1"/>
  <c r="H203" i="32"/>
  <c r="D209" i="9" s="1"/>
  <c r="H195" i="32"/>
  <c r="D201" i="9" s="1"/>
  <c r="H187" i="32"/>
  <c r="D193" i="9" s="1"/>
  <c r="H179" i="32"/>
  <c r="D185" i="9" s="1"/>
  <c r="H171" i="32"/>
  <c r="D177" i="9" s="1"/>
  <c r="H163" i="32"/>
  <c r="D169" i="9" s="1"/>
  <c r="H155" i="32"/>
  <c r="D161" i="9" s="1"/>
  <c r="H146" i="32"/>
  <c r="D152" i="9" s="1"/>
  <c r="H138" i="32"/>
  <c r="D144" i="9" s="1"/>
  <c r="H129" i="32"/>
  <c r="D135" i="9" s="1"/>
  <c r="H121" i="32"/>
  <c r="D127" i="9" s="1"/>
  <c r="H113" i="32"/>
  <c r="D119" i="9" s="1"/>
  <c r="H105" i="32"/>
  <c r="D111" i="9" s="1"/>
  <c r="H97" i="32"/>
  <c r="D103" i="9" s="1"/>
  <c r="H312" i="32"/>
  <c r="D318" i="9" s="1"/>
  <c r="H304" i="32"/>
  <c r="D310" i="9" s="1"/>
  <c r="H296" i="32"/>
  <c r="D302" i="9" s="1"/>
  <c r="H288" i="32"/>
  <c r="D294" i="9" s="1"/>
  <c r="H280" i="32"/>
  <c r="D286" i="9" s="1"/>
  <c r="H272" i="32"/>
  <c r="D278" i="9" s="1"/>
  <c r="H264" i="32"/>
  <c r="D270" i="9" s="1"/>
  <c r="H256" i="32"/>
  <c r="D262" i="9" s="1"/>
  <c r="H248" i="32"/>
  <c r="D254" i="9" s="1"/>
  <c r="H240" i="32"/>
  <c r="D246" i="9" s="1"/>
  <c r="H232" i="32"/>
  <c r="D238" i="9" s="1"/>
  <c r="H224" i="32"/>
  <c r="D230" i="9" s="1"/>
  <c r="H216" i="32"/>
  <c r="D222" i="9" s="1"/>
  <c r="H208" i="32"/>
  <c r="D214" i="9" s="1"/>
  <c r="H200" i="32"/>
  <c r="D206" i="9" s="1"/>
  <c r="H192" i="32"/>
  <c r="D198" i="9" s="1"/>
  <c r="H184" i="32"/>
  <c r="D190" i="9" s="1"/>
  <c r="H176" i="32"/>
  <c r="D182" i="9" s="1"/>
  <c r="H168" i="32"/>
  <c r="D174" i="9" s="1"/>
  <c r="H160" i="32"/>
  <c r="D166" i="9" s="1"/>
  <c r="H152" i="32"/>
  <c r="D158" i="9" s="1"/>
  <c r="H143" i="32"/>
  <c r="D149" i="9" s="1"/>
  <c r="H135" i="32"/>
  <c r="D141" i="9" s="1"/>
  <c r="H126" i="32"/>
  <c r="D132" i="9" s="1"/>
  <c r="H118" i="32"/>
  <c r="D124" i="9" s="1"/>
  <c r="H110" i="32"/>
  <c r="D116" i="9" s="1"/>
  <c r="H102" i="32"/>
  <c r="D108" i="9" s="1"/>
  <c r="H313" i="32"/>
  <c r="D319" i="9" s="1"/>
  <c r="H305" i="32"/>
  <c r="D311" i="9" s="1"/>
  <c r="H297" i="32"/>
  <c r="D303" i="9" s="1"/>
  <c r="H289" i="32"/>
  <c r="D295" i="9" s="1"/>
  <c r="H281" i="32"/>
  <c r="D287" i="9" s="1"/>
  <c r="H273" i="32"/>
  <c r="D279" i="9" s="1"/>
  <c r="H265" i="32"/>
  <c r="D271" i="9" s="1"/>
  <c r="H257" i="32"/>
  <c r="D263" i="9" s="1"/>
  <c r="H249" i="32"/>
  <c r="D255" i="9" s="1"/>
  <c r="H241" i="32"/>
  <c r="D247" i="9" s="1"/>
  <c r="H233" i="32"/>
  <c r="D239" i="9" s="1"/>
  <c r="H225" i="32"/>
  <c r="D231" i="9" s="1"/>
  <c r="H217" i="32"/>
  <c r="D223" i="9" s="1"/>
  <c r="H209" i="32"/>
  <c r="D215" i="9" s="1"/>
  <c r="H201" i="32"/>
  <c r="D207" i="9" s="1"/>
  <c r="H193" i="32"/>
  <c r="D199" i="9" s="1"/>
  <c r="H185" i="32"/>
  <c r="D191" i="9" s="1"/>
  <c r="H177" i="32"/>
  <c r="D183" i="9" s="1"/>
  <c r="H169" i="32"/>
  <c r="D175" i="9" s="1"/>
  <c r="H161" i="32"/>
  <c r="D167" i="9" s="1"/>
  <c r="H153" i="32"/>
  <c r="D159" i="9" s="1"/>
  <c r="H144" i="32"/>
  <c r="D150" i="9" s="1"/>
  <c r="H136" i="32"/>
  <c r="D142" i="9" s="1"/>
  <c r="H127" i="32"/>
  <c r="D133" i="9" s="1"/>
  <c r="H119" i="32"/>
  <c r="D125" i="9" s="1"/>
  <c r="H111" i="32"/>
  <c r="D117" i="9" s="1"/>
  <c r="H103" i="32"/>
  <c r="D109" i="9" s="1"/>
  <c r="H130" i="32"/>
  <c r="D136" i="9" s="1"/>
  <c r="H59" i="32"/>
  <c r="D65" i="9" s="1"/>
  <c r="H99" i="32"/>
  <c r="D105" i="9" s="1"/>
  <c r="K7" i="13"/>
  <c r="K315" i="13"/>
  <c r="G314" i="11"/>
  <c r="C6" i="25"/>
  <c r="E6" i="49"/>
  <c r="D315" i="49"/>
  <c r="D6" i="25"/>
  <c r="D5" i="33"/>
  <c r="L289" i="13"/>
  <c r="M289" i="13" s="1"/>
  <c r="L257" i="13"/>
  <c r="M257" i="13" s="1"/>
  <c r="L245" i="13"/>
  <c r="M245" i="13" s="1"/>
  <c r="L196" i="13"/>
  <c r="M196" i="13" s="1"/>
  <c r="L180" i="13"/>
  <c r="M180" i="13" s="1"/>
  <c r="L149" i="13"/>
  <c r="M149" i="13" s="1"/>
  <c r="L121" i="13"/>
  <c r="M121" i="13" s="1"/>
  <c r="L296" i="13"/>
  <c r="M296" i="13" s="1"/>
  <c r="L276" i="13"/>
  <c r="M276" i="13" s="1"/>
  <c r="L256" i="13"/>
  <c r="M256" i="13" s="1"/>
  <c r="L243" i="13"/>
  <c r="M243" i="13" s="1"/>
  <c r="L234" i="13"/>
  <c r="M234" i="13" s="1"/>
  <c r="L222" i="13"/>
  <c r="M222" i="13" s="1"/>
  <c r="L215" i="13"/>
  <c r="M215" i="13" s="1"/>
  <c r="L199" i="13"/>
  <c r="M199" i="13" s="1"/>
  <c r="L168" i="13"/>
  <c r="M168" i="13" s="1"/>
  <c r="L152" i="13"/>
  <c r="M152" i="13" s="1"/>
  <c r="L132" i="13"/>
  <c r="M132" i="13" s="1"/>
  <c r="L128" i="13"/>
  <c r="M128" i="13" s="1"/>
  <c r="L120" i="13"/>
  <c r="M120" i="13" s="1"/>
  <c r="L96" i="13"/>
  <c r="M96" i="13" s="1"/>
  <c r="L242" i="13"/>
  <c r="M242" i="13" s="1"/>
  <c r="L229" i="13"/>
  <c r="M229" i="13" s="1"/>
  <c r="L221" i="13"/>
  <c r="M221" i="13" s="1"/>
  <c r="L171" i="13"/>
  <c r="M171" i="13" s="1"/>
  <c r="L139" i="13"/>
  <c r="M139" i="13" s="1"/>
  <c r="L127" i="13"/>
  <c r="M127" i="13" s="1"/>
  <c r="L119" i="13"/>
  <c r="M119" i="13" s="1"/>
  <c r="L111" i="13"/>
  <c r="M111" i="13" s="1"/>
  <c r="L103" i="13"/>
  <c r="M103" i="13" s="1"/>
  <c r="L95" i="13"/>
  <c r="M95" i="13" s="1"/>
  <c r="L87" i="13"/>
  <c r="M87" i="13" s="1"/>
  <c r="L83" i="13"/>
  <c r="M83" i="13" s="1"/>
  <c r="L75" i="13"/>
  <c r="M75" i="13" s="1"/>
  <c r="L67" i="13"/>
  <c r="M67" i="13" s="1"/>
  <c r="L63" i="13"/>
  <c r="M63" i="13" s="1"/>
  <c r="L55" i="13"/>
  <c r="M55" i="13" s="1"/>
  <c r="L39" i="13"/>
  <c r="M39" i="13" s="1"/>
  <c r="L31" i="13"/>
  <c r="M31" i="13" s="1"/>
  <c r="L27" i="13"/>
  <c r="M27" i="13" s="1"/>
  <c r="L23" i="13"/>
  <c r="M23" i="13" s="1"/>
  <c r="L19" i="13"/>
  <c r="M19" i="13" s="1"/>
  <c r="L118" i="13"/>
  <c r="M118" i="13" s="1"/>
  <c r="L86" i="13"/>
  <c r="M86" i="13" s="1"/>
  <c r="B314" i="11"/>
  <c r="L135" i="13"/>
  <c r="M135" i="13" s="1"/>
  <c r="L59" i="13"/>
  <c r="M59" i="13" s="1"/>
  <c r="L51" i="13"/>
  <c r="M51" i="13" s="1"/>
  <c r="L8" i="13"/>
  <c r="M8" i="13" s="1"/>
  <c r="L143" i="13"/>
  <c r="M143" i="13" s="1"/>
  <c r="L131" i="13"/>
  <c r="M131" i="13" s="1"/>
  <c r="L123" i="13"/>
  <c r="M123" i="13" s="1"/>
  <c r="L115" i="13"/>
  <c r="M115" i="13" s="1"/>
  <c r="L107" i="13"/>
  <c r="M107" i="13" s="1"/>
  <c r="L99" i="13"/>
  <c r="M99" i="13" s="1"/>
  <c r="L91" i="13"/>
  <c r="M91" i="13" s="1"/>
  <c r="L79" i="13"/>
  <c r="M79" i="13" s="1"/>
  <c r="L71" i="13"/>
  <c r="M71" i="13" s="1"/>
  <c r="L47" i="13"/>
  <c r="M47" i="13" s="1"/>
  <c r="L43" i="13"/>
  <c r="M43" i="13" s="1"/>
  <c r="L35" i="13"/>
  <c r="M35" i="13" s="1"/>
  <c r="L15" i="13"/>
  <c r="M15" i="13" s="1"/>
  <c r="L11" i="13"/>
  <c r="M11" i="13" s="1"/>
  <c r="Y7" i="19"/>
  <c r="L175" i="13"/>
  <c r="M175" i="13" s="1"/>
  <c r="L272" i="13"/>
  <c r="M272" i="13" s="1"/>
  <c r="L299" i="13"/>
  <c r="M299" i="13" s="1"/>
  <c r="L191" i="13"/>
  <c r="M191" i="13" s="1"/>
  <c r="L68" i="13"/>
  <c r="M68" i="13" s="1"/>
  <c r="L36" i="13"/>
  <c r="M36" i="13" s="1"/>
  <c r="L277" i="13"/>
  <c r="M277" i="13" s="1"/>
  <c r="L249" i="13"/>
  <c r="M249" i="13" s="1"/>
  <c r="L240" i="13"/>
  <c r="M240" i="13" s="1"/>
  <c r="L314" i="13"/>
  <c r="M314" i="13" s="1"/>
  <c r="L307" i="13"/>
  <c r="M307" i="13" s="1"/>
  <c r="L303" i="13"/>
  <c r="M303" i="13" s="1"/>
  <c r="L284" i="13"/>
  <c r="M284" i="13" s="1"/>
  <c r="L260" i="13"/>
  <c r="M260" i="13" s="1"/>
  <c r="L252" i="13"/>
  <c r="M252" i="13" s="1"/>
  <c r="L239" i="13"/>
  <c r="M239" i="13" s="1"/>
  <c r="L226" i="13"/>
  <c r="M226" i="13" s="1"/>
  <c r="L207" i="13"/>
  <c r="M207" i="13" s="1"/>
  <c r="L183" i="13"/>
  <c r="M183" i="13" s="1"/>
  <c r="L172" i="13"/>
  <c r="M172" i="13" s="1"/>
  <c r="L60" i="13"/>
  <c r="M60" i="13" s="1"/>
  <c r="L56" i="13"/>
  <c r="M56" i="13" s="1"/>
  <c r="L48" i="13"/>
  <c r="M48" i="13" s="1"/>
  <c r="L28" i="13"/>
  <c r="M28" i="13" s="1"/>
  <c r="L16" i="13"/>
  <c r="M16" i="13" s="1"/>
  <c r="L248" i="13"/>
  <c r="M248" i="13" s="1"/>
  <c r="L230" i="13"/>
  <c r="M230" i="13" s="1"/>
  <c r="L264" i="13"/>
  <c r="M264" i="13" s="1"/>
  <c r="L311" i="13"/>
  <c r="M311" i="13" s="1"/>
  <c r="L292" i="13"/>
  <c r="M292" i="13" s="1"/>
  <c r="L288" i="13"/>
  <c r="M288" i="13" s="1"/>
  <c r="L280" i="13"/>
  <c r="M280" i="13" s="1"/>
  <c r="L268" i="13"/>
  <c r="M268" i="13" s="1"/>
  <c r="L211" i="13"/>
  <c r="M211" i="13" s="1"/>
  <c r="L203" i="13"/>
  <c r="M203" i="13" s="1"/>
  <c r="L195" i="13"/>
  <c r="M195" i="13" s="1"/>
  <c r="L187" i="13"/>
  <c r="M187" i="13" s="1"/>
  <c r="L44" i="13"/>
  <c r="M44" i="13" s="1"/>
  <c r="L24" i="13"/>
  <c r="M24" i="13" s="1"/>
  <c r="L179" i="13"/>
  <c r="M179" i="13" s="1"/>
  <c r="L162" i="13"/>
  <c r="M162" i="13" s="1"/>
  <c r="L154" i="13"/>
  <c r="M154" i="13" s="1"/>
  <c r="L146" i="13"/>
  <c r="M146" i="13" s="1"/>
  <c r="L138" i="13"/>
  <c r="M138" i="13" s="1"/>
  <c r="L130" i="13"/>
  <c r="M130" i="13" s="1"/>
  <c r="L114" i="13"/>
  <c r="M114" i="13" s="1"/>
  <c r="L106" i="13"/>
  <c r="M106" i="13" s="1"/>
  <c r="L98" i="13"/>
  <c r="M98" i="13" s="1"/>
  <c r="L90" i="13"/>
  <c r="M90" i="13" s="1"/>
  <c r="L82" i="13"/>
  <c r="M82" i="13" s="1"/>
  <c r="L122" i="13"/>
  <c r="M122" i="13" s="1"/>
  <c r="L304" i="13"/>
  <c r="M304" i="13" s="1"/>
  <c r="L158" i="13"/>
  <c r="M158" i="13" s="1"/>
  <c r="L150" i="13"/>
  <c r="M150" i="13" s="1"/>
  <c r="L142" i="13"/>
  <c r="M142" i="13" s="1"/>
  <c r="L134" i="13"/>
  <c r="M134" i="13" s="1"/>
  <c r="L102" i="13"/>
  <c r="M102" i="13" s="1"/>
  <c r="L94" i="13"/>
  <c r="M94" i="13" s="1"/>
  <c r="L78" i="13"/>
  <c r="M78" i="13" s="1"/>
  <c r="L110" i="13"/>
  <c r="M110" i="13" s="1"/>
  <c r="L312" i="13"/>
  <c r="M312" i="13" s="1"/>
  <c r="L308" i="13"/>
  <c r="M308" i="13" s="1"/>
  <c r="L300" i="13"/>
  <c r="M300" i="13" s="1"/>
  <c r="L126" i="13"/>
  <c r="M126" i="13" s="1"/>
  <c r="L285" i="13"/>
  <c r="M285" i="13" s="1"/>
  <c r="L269" i="13"/>
  <c r="M269" i="13" s="1"/>
  <c r="L261" i="13"/>
  <c r="M261" i="13" s="1"/>
  <c r="L253" i="13"/>
  <c r="M253" i="13" s="1"/>
  <c r="L216" i="13"/>
  <c r="M216" i="13" s="1"/>
  <c r="L208" i="13"/>
  <c r="M208" i="13" s="1"/>
  <c r="L192" i="13"/>
  <c r="M192" i="13" s="1"/>
  <c r="L173" i="13"/>
  <c r="M173" i="13" s="1"/>
  <c r="L169" i="13"/>
  <c r="M169" i="13" s="1"/>
  <c r="L164" i="13"/>
  <c r="M164" i="13" s="1"/>
  <c r="L161" i="13"/>
  <c r="M161" i="13" s="1"/>
  <c r="L176" i="13"/>
  <c r="M176" i="13" s="1"/>
  <c r="L293" i="13"/>
  <c r="M293" i="13" s="1"/>
  <c r="L281" i="13"/>
  <c r="M281" i="13" s="1"/>
  <c r="L273" i="13"/>
  <c r="M273" i="13" s="1"/>
  <c r="L265" i="13"/>
  <c r="M265" i="13" s="1"/>
  <c r="L237" i="13"/>
  <c r="M237" i="13" s="1"/>
  <c r="L227" i="13"/>
  <c r="M227" i="13" s="1"/>
  <c r="L220" i="13"/>
  <c r="M220" i="13" s="1"/>
  <c r="L212" i="13"/>
  <c r="M212" i="13" s="1"/>
  <c r="L204" i="13"/>
  <c r="M204" i="13" s="1"/>
  <c r="L188" i="13"/>
  <c r="M188" i="13" s="1"/>
  <c r="L166" i="13"/>
  <c r="M166" i="13" s="1"/>
  <c r="L157" i="13"/>
  <c r="M157" i="13" s="1"/>
  <c r="L200" i="13"/>
  <c r="M200" i="13" s="1"/>
  <c r="L231" i="13"/>
  <c r="M231" i="13" s="1"/>
  <c r="L223" i="13"/>
  <c r="M223" i="13" s="1"/>
  <c r="L184" i="13"/>
  <c r="M184" i="13" s="1"/>
  <c r="L153" i="13"/>
  <c r="M153" i="13" s="1"/>
  <c r="L13" i="13"/>
  <c r="M13" i="13" s="1"/>
  <c r="L20" i="13"/>
  <c r="M20" i="13" s="1"/>
  <c r="L72" i="13"/>
  <c r="M72" i="13" s="1"/>
  <c r="L64" i="13"/>
  <c r="M64" i="13" s="1"/>
  <c r="L52" i="13"/>
  <c r="M52" i="13" s="1"/>
  <c r="K316" i="19"/>
  <c r="E316" i="19"/>
  <c r="L12" i="13"/>
  <c r="M12" i="13" s="1"/>
  <c r="L40" i="13"/>
  <c r="M40" i="13" s="1"/>
  <c r="L32" i="13"/>
  <c r="M32" i="13" s="1"/>
  <c r="L38" i="13"/>
  <c r="M38" i="13" s="1"/>
  <c r="F316" i="19"/>
  <c r="M316" i="19"/>
  <c r="P316" i="19"/>
  <c r="V316" i="19"/>
  <c r="C316" i="19"/>
  <c r="L270" i="13"/>
  <c r="M270" i="13" s="1"/>
  <c r="J316" i="19"/>
  <c r="D5" i="32"/>
  <c r="D314" i="32" s="1"/>
  <c r="Z316" i="19"/>
  <c r="L310" i="13"/>
  <c r="M310" i="13" s="1"/>
  <c r="L302" i="13"/>
  <c r="M302" i="13" s="1"/>
  <c r="L298" i="13"/>
  <c r="M298" i="13" s="1"/>
  <c r="L291" i="13"/>
  <c r="M291" i="13" s="1"/>
  <c r="L287" i="13"/>
  <c r="M287" i="13" s="1"/>
  <c r="L283" i="13"/>
  <c r="M283" i="13" s="1"/>
  <c r="L275" i="13"/>
  <c r="M275" i="13" s="1"/>
  <c r="L271" i="13"/>
  <c r="M271" i="13" s="1"/>
  <c r="L267" i="13"/>
  <c r="M267" i="13" s="1"/>
  <c r="L263" i="13"/>
  <c r="M263" i="13" s="1"/>
  <c r="L255" i="13"/>
  <c r="M255" i="13" s="1"/>
  <c r="L247" i="13"/>
  <c r="M247" i="13" s="1"/>
  <c r="L238" i="13"/>
  <c r="M238" i="13" s="1"/>
  <c r="L233" i="13"/>
  <c r="M233" i="13" s="1"/>
  <c r="L225" i="13"/>
  <c r="M225" i="13" s="1"/>
  <c r="L218" i="13"/>
  <c r="M218" i="13" s="1"/>
  <c r="L202" i="13"/>
  <c r="M202" i="13" s="1"/>
  <c r="L198" i="13"/>
  <c r="M198" i="13" s="1"/>
  <c r="L194" i="13"/>
  <c r="M194" i="13" s="1"/>
  <c r="L186" i="13"/>
  <c r="M186" i="13" s="1"/>
  <c r="L182" i="13"/>
  <c r="M182" i="13" s="1"/>
  <c r="L178" i="13"/>
  <c r="M178" i="13" s="1"/>
  <c r="L160" i="13"/>
  <c r="M160" i="13" s="1"/>
  <c r="L156" i="13"/>
  <c r="M156" i="13" s="1"/>
  <c r="L148" i="13"/>
  <c r="M148" i="13" s="1"/>
  <c r="L145" i="13"/>
  <c r="M145" i="13" s="1"/>
  <c r="L137" i="13"/>
  <c r="M137" i="13" s="1"/>
  <c r="L133" i="13"/>
  <c r="M133" i="13" s="1"/>
  <c r="L129" i="13"/>
  <c r="M129" i="13" s="1"/>
  <c r="L125" i="13"/>
  <c r="M125" i="13" s="1"/>
  <c r="L113" i="13"/>
  <c r="M113" i="13" s="1"/>
  <c r="L109" i="13"/>
  <c r="M109" i="13" s="1"/>
  <c r="L105" i="13"/>
  <c r="M105" i="13" s="1"/>
  <c r="L101" i="13"/>
  <c r="M101" i="13" s="1"/>
  <c r="L97" i="13"/>
  <c r="M97" i="13" s="1"/>
  <c r="L89" i="13"/>
  <c r="M89" i="13" s="1"/>
  <c r="L81" i="13"/>
  <c r="M81" i="13" s="1"/>
  <c r="L70" i="13"/>
  <c r="M70" i="13" s="1"/>
  <c r="L66" i="13"/>
  <c r="M66" i="13" s="1"/>
  <c r="L62" i="13"/>
  <c r="M62" i="13" s="1"/>
  <c r="L58" i="13"/>
  <c r="M58" i="13" s="1"/>
  <c r="L54" i="13"/>
  <c r="M54" i="13" s="1"/>
  <c r="L50" i="13"/>
  <c r="M50" i="13" s="1"/>
  <c r="L46" i="13"/>
  <c r="M46" i="13" s="1"/>
  <c r="L42" i="13"/>
  <c r="M42" i="13" s="1"/>
  <c r="L34" i="13"/>
  <c r="M34" i="13" s="1"/>
  <c r="L30" i="13"/>
  <c r="M30" i="13" s="1"/>
  <c r="L26" i="13"/>
  <c r="M26" i="13" s="1"/>
  <c r="L22" i="13"/>
  <c r="M22" i="13" s="1"/>
  <c r="L18" i="13"/>
  <c r="M18" i="13" s="1"/>
  <c r="L10" i="13"/>
  <c r="M10" i="13" s="1"/>
  <c r="L7" i="13"/>
  <c r="H316" i="19"/>
  <c r="I316" i="19"/>
  <c r="L206" i="13"/>
  <c r="M206" i="13" s="1"/>
  <c r="L85" i="13"/>
  <c r="M85" i="13" s="1"/>
  <c r="AR316" i="19"/>
  <c r="L309" i="13"/>
  <c r="M309" i="13" s="1"/>
  <c r="L301" i="13"/>
  <c r="M301" i="13" s="1"/>
  <c r="L294" i="13"/>
  <c r="M294" i="13" s="1"/>
  <c r="L286" i="13"/>
  <c r="M286" i="13" s="1"/>
  <c r="L278" i="13"/>
  <c r="M278" i="13" s="1"/>
  <c r="L274" i="13"/>
  <c r="M274" i="13" s="1"/>
  <c r="L266" i="13"/>
  <c r="M266" i="13" s="1"/>
  <c r="L258" i="13"/>
  <c r="M258" i="13" s="1"/>
  <c r="L250" i="13"/>
  <c r="M250" i="13" s="1"/>
  <c r="L241" i="13"/>
  <c r="M241" i="13" s="1"/>
  <c r="L235" i="13"/>
  <c r="M235" i="13" s="1"/>
  <c r="L228" i="13"/>
  <c r="M228" i="13" s="1"/>
  <c r="L209" i="13"/>
  <c r="M209" i="13" s="1"/>
  <c r="L197" i="13"/>
  <c r="M197" i="13" s="1"/>
  <c r="L189" i="13"/>
  <c r="M189" i="13" s="1"/>
  <c r="L181" i="13"/>
  <c r="M181" i="13" s="1"/>
  <c r="L177" i="13"/>
  <c r="M177" i="13" s="1"/>
  <c r="L165" i="13"/>
  <c r="M165" i="13" s="1"/>
  <c r="L163" i="13"/>
  <c r="M163" i="13" s="1"/>
  <c r="L155" i="13"/>
  <c r="M155" i="13" s="1"/>
  <c r="L124" i="13"/>
  <c r="M124" i="13" s="1"/>
  <c r="L116" i="13"/>
  <c r="M116" i="13" s="1"/>
  <c r="L108" i="13"/>
  <c r="M108" i="13" s="1"/>
  <c r="L100" i="13"/>
  <c r="M100" i="13" s="1"/>
  <c r="L92" i="13"/>
  <c r="M92" i="13" s="1"/>
  <c r="L76" i="13"/>
  <c r="M76" i="13" s="1"/>
  <c r="L69" i="13"/>
  <c r="M69" i="13" s="1"/>
  <c r="L65" i="13"/>
  <c r="M65" i="13" s="1"/>
  <c r="L57" i="13"/>
  <c r="M57" i="13" s="1"/>
  <c r="L49" i="13"/>
  <c r="M49" i="13" s="1"/>
  <c r="L41" i="13"/>
  <c r="M41" i="13" s="1"/>
  <c r="L37" i="13"/>
  <c r="M37" i="13" s="1"/>
  <c r="L29" i="13"/>
  <c r="M29" i="13" s="1"/>
  <c r="L21" i="13"/>
  <c r="M21" i="13" s="1"/>
  <c r="L9" i="13"/>
  <c r="M9" i="13" s="1"/>
  <c r="D316" i="19"/>
  <c r="L316" i="19"/>
  <c r="L201" i="13"/>
  <c r="M201" i="13" s="1"/>
  <c r="L213" i="13"/>
  <c r="M213" i="13" s="1"/>
  <c r="L93" i="13"/>
  <c r="M93" i="13" s="1"/>
  <c r="L141" i="13"/>
  <c r="M141" i="13" s="1"/>
  <c r="L77" i="13"/>
  <c r="M77" i="13" s="1"/>
  <c r="L74" i="13"/>
  <c r="M74" i="13" s="1"/>
  <c r="L14" i="13"/>
  <c r="M14" i="13" s="1"/>
  <c r="L306" i="13"/>
  <c r="M306" i="13" s="1"/>
  <c r="L295" i="13"/>
  <c r="M295" i="13" s="1"/>
  <c r="L279" i="13"/>
  <c r="M279" i="13" s="1"/>
  <c r="L251" i="13"/>
  <c r="M251" i="13" s="1"/>
  <c r="L236" i="13"/>
  <c r="M236" i="13" s="1"/>
  <c r="L214" i="13"/>
  <c r="M214" i="13" s="1"/>
  <c r="L210" i="13"/>
  <c r="M210" i="13" s="1"/>
  <c r="L190" i="13"/>
  <c r="M190" i="13" s="1"/>
  <c r="L117" i="13"/>
  <c r="M117" i="13" s="1"/>
  <c r="W316" i="19"/>
  <c r="X316" i="19"/>
  <c r="L313" i="13"/>
  <c r="M313" i="13" s="1"/>
  <c r="L305" i="13"/>
  <c r="M305" i="13" s="1"/>
  <c r="L297" i="13"/>
  <c r="M297" i="13" s="1"/>
  <c r="L290" i="13"/>
  <c r="M290" i="13" s="1"/>
  <c r="L282" i="13"/>
  <c r="M282" i="13" s="1"/>
  <c r="L262" i="13"/>
  <c r="M262" i="13" s="1"/>
  <c r="L254" i="13"/>
  <c r="M254" i="13" s="1"/>
  <c r="L246" i="13"/>
  <c r="M246" i="13" s="1"/>
  <c r="L232" i="13"/>
  <c r="M232" i="13" s="1"/>
  <c r="L224" i="13"/>
  <c r="M224" i="13" s="1"/>
  <c r="L217" i="13"/>
  <c r="M217" i="13" s="1"/>
  <c r="L205" i="13"/>
  <c r="M205" i="13" s="1"/>
  <c r="L193" i="13"/>
  <c r="M193" i="13" s="1"/>
  <c r="L185" i="13"/>
  <c r="M185" i="13" s="1"/>
  <c r="L151" i="13"/>
  <c r="M151" i="13" s="1"/>
  <c r="L144" i="13"/>
  <c r="M144" i="13" s="1"/>
  <c r="L136" i="13"/>
  <c r="M136" i="13" s="1"/>
  <c r="L112" i="13"/>
  <c r="M112" i="13" s="1"/>
  <c r="L104" i="13"/>
  <c r="M104" i="13" s="1"/>
  <c r="L88" i="13"/>
  <c r="M88" i="13" s="1"/>
  <c r="L84" i="13"/>
  <c r="M84" i="13" s="1"/>
  <c r="L73" i="13"/>
  <c r="M73" i="13" s="1"/>
  <c r="L61" i="13"/>
  <c r="M61" i="13" s="1"/>
  <c r="L53" i="13"/>
  <c r="M53" i="13" s="1"/>
  <c r="L45" i="13"/>
  <c r="M45" i="13" s="1"/>
  <c r="L33" i="13"/>
  <c r="M33" i="13" s="1"/>
  <c r="L25" i="13"/>
  <c r="M25" i="13" s="1"/>
  <c r="L259" i="13"/>
  <c r="M259" i="13" s="1"/>
  <c r="L167" i="13"/>
  <c r="M167" i="13" s="1"/>
  <c r="L80" i="13"/>
  <c r="M80" i="13" s="1"/>
  <c r="L17" i="13"/>
  <c r="M17" i="13" s="1"/>
  <c r="L140" i="13"/>
  <c r="M140" i="13" s="1"/>
  <c r="L159" i="13"/>
  <c r="M159" i="13" s="1"/>
  <c r="L174" i="13"/>
  <c r="M174" i="13" s="1"/>
  <c r="L147" i="13"/>
  <c r="M147" i="13" s="1"/>
  <c r="G7" i="19"/>
  <c r="R7" i="19" s="1"/>
  <c r="B315" i="25"/>
  <c r="L6" i="13"/>
  <c r="M6" i="13" s="1"/>
  <c r="D8" i="36"/>
  <c r="J8" i="36"/>
  <c r="M316" i="42"/>
  <c r="I8" i="36"/>
  <c r="F8" i="36"/>
  <c r="H8" i="36"/>
  <c r="E8" i="36"/>
  <c r="G8" i="36"/>
  <c r="M7" i="13" l="1"/>
  <c r="X316" i="42"/>
  <c r="E15" i="48"/>
  <c r="T7" i="19"/>
  <c r="H6" i="49" s="1"/>
  <c r="I6" i="49" s="1"/>
  <c r="C5" i="32"/>
  <c r="C314" i="32" s="1"/>
  <c r="H314" i="32" s="1"/>
  <c r="Y316" i="19"/>
  <c r="O316" i="19"/>
  <c r="K8" i="36"/>
  <c r="I317" i="36"/>
  <c r="E317" i="36"/>
  <c r="J317" i="36"/>
  <c r="H317" i="36"/>
  <c r="F317" i="36"/>
  <c r="D317" i="36"/>
  <c r="G316" i="19"/>
  <c r="G317" i="36"/>
  <c r="K317" i="36" l="1"/>
  <c r="E5" i="32"/>
  <c r="E314" i="32" s="1"/>
  <c r="I315" i="49"/>
  <c r="E14" i="48"/>
  <c r="F15" i="48" s="1"/>
  <c r="H5" i="32"/>
  <c r="D11" i="9" s="1"/>
  <c r="D320" i="9" s="1"/>
  <c r="U7" i="19"/>
  <c r="G6" i="49" s="1"/>
  <c r="F6" i="49"/>
  <c r="F16" i="34"/>
  <c r="F28" i="48"/>
  <c r="J233" i="13"/>
  <c r="J218" i="13"/>
  <c r="J194" i="13"/>
  <c r="J197" i="13"/>
  <c r="J27" i="13"/>
  <c r="J34" i="13"/>
  <c r="J298" i="13"/>
  <c r="J215" i="13"/>
  <c r="J26" i="13"/>
  <c r="J7" i="13"/>
  <c r="J246" i="13"/>
  <c r="J54" i="13"/>
  <c r="J271" i="13"/>
  <c r="J111" i="13"/>
  <c r="J303" i="13"/>
  <c r="J10" i="13"/>
  <c r="J141" i="13"/>
  <c r="J217" i="13"/>
  <c r="J167" i="13"/>
  <c r="J24" i="13"/>
  <c r="J131" i="13"/>
  <c r="J116" i="13"/>
  <c r="J236" i="13"/>
  <c r="J262" i="13"/>
  <c r="J255" i="13"/>
  <c r="J277" i="13"/>
  <c r="J120" i="13"/>
  <c r="J272" i="13"/>
  <c r="J210" i="13"/>
  <c r="J300" i="13"/>
  <c r="J121" i="13"/>
  <c r="J173" i="13"/>
  <c r="J110" i="13"/>
  <c r="J285" i="13"/>
  <c r="J53" i="13"/>
  <c r="J45" i="13"/>
  <c r="H315" i="49"/>
  <c r="T316" i="19"/>
  <c r="C5" i="9"/>
  <c r="D315" i="25"/>
  <c r="D314" i="33"/>
  <c r="R316" i="19"/>
  <c r="J8" i="49" l="1"/>
  <c r="J10" i="49"/>
  <c r="J12" i="49"/>
  <c r="J14" i="49"/>
  <c r="L14" i="49" s="1"/>
  <c r="J16" i="49"/>
  <c r="J18" i="49"/>
  <c r="J20" i="49"/>
  <c r="J22" i="49"/>
  <c r="J7" i="49"/>
  <c r="L7" i="49" s="1"/>
  <c r="J9" i="49"/>
  <c r="J11" i="49"/>
  <c r="J13" i="49"/>
  <c r="J15" i="49"/>
  <c r="J17" i="49"/>
  <c r="J19" i="49"/>
  <c r="J21" i="49"/>
  <c r="J23" i="49"/>
  <c r="J31" i="49"/>
  <c r="J53" i="49"/>
  <c r="J56" i="49"/>
  <c r="J69" i="49"/>
  <c r="J72" i="49"/>
  <c r="J90" i="49"/>
  <c r="J26" i="49"/>
  <c r="J36" i="49"/>
  <c r="J40" i="49"/>
  <c r="J47" i="49"/>
  <c r="J50" i="49"/>
  <c r="J63" i="49"/>
  <c r="J66" i="49"/>
  <c r="J79" i="49"/>
  <c r="J82" i="49"/>
  <c r="J85" i="49"/>
  <c r="J93" i="49"/>
  <c r="J95" i="49"/>
  <c r="J97" i="49"/>
  <c r="J99" i="49"/>
  <c r="J101" i="49"/>
  <c r="J103" i="49"/>
  <c r="J105" i="49"/>
  <c r="J107" i="49"/>
  <c r="J109" i="49"/>
  <c r="J111" i="49"/>
  <c r="J113" i="49"/>
  <c r="J115" i="49"/>
  <c r="J117" i="49"/>
  <c r="L117" i="49" s="1"/>
  <c r="J119" i="49"/>
  <c r="L119" i="49" s="1"/>
  <c r="J121" i="49"/>
  <c r="L121" i="49" s="1"/>
  <c r="J123" i="49"/>
  <c r="J125" i="49"/>
  <c r="J127" i="49"/>
  <c r="L127" i="49" s="1"/>
  <c r="J129" i="49"/>
  <c r="L129" i="49" s="1"/>
  <c r="J131" i="49"/>
  <c r="L131" i="49" s="1"/>
  <c r="J133" i="49"/>
  <c r="J135" i="49"/>
  <c r="L135" i="49" s="1"/>
  <c r="J137" i="49"/>
  <c r="L137" i="49" s="1"/>
  <c r="J139" i="49"/>
  <c r="J27" i="49"/>
  <c r="J32" i="49"/>
  <c r="J44" i="49"/>
  <c r="J57" i="49"/>
  <c r="J60" i="49"/>
  <c r="J73" i="49"/>
  <c r="J76" i="49"/>
  <c r="J88" i="49"/>
  <c r="J33" i="49"/>
  <c r="J37" i="49"/>
  <c r="J41" i="49"/>
  <c r="J51" i="49"/>
  <c r="J54" i="49"/>
  <c r="J67" i="49"/>
  <c r="J70" i="49"/>
  <c r="J83" i="49"/>
  <c r="J91" i="49"/>
  <c r="J28" i="49"/>
  <c r="J45" i="49"/>
  <c r="J48" i="49"/>
  <c r="J61" i="49"/>
  <c r="J64" i="49"/>
  <c r="J77" i="49"/>
  <c r="J80" i="49"/>
  <c r="J86" i="49"/>
  <c r="J29" i="49"/>
  <c r="J34" i="49"/>
  <c r="J38" i="49"/>
  <c r="J42" i="49"/>
  <c r="J55" i="49"/>
  <c r="J58" i="49"/>
  <c r="J71" i="49"/>
  <c r="J74" i="49"/>
  <c r="J89" i="49"/>
  <c r="J94" i="49"/>
  <c r="J96" i="49"/>
  <c r="J98" i="49"/>
  <c r="J100" i="49"/>
  <c r="J102" i="49"/>
  <c r="J104" i="49"/>
  <c r="J106" i="49"/>
  <c r="J108" i="49"/>
  <c r="J110" i="49"/>
  <c r="J112" i="49"/>
  <c r="L112" i="49" s="1"/>
  <c r="J114" i="49"/>
  <c r="L114" i="49" s="1"/>
  <c r="J116" i="49"/>
  <c r="J118" i="49"/>
  <c r="J120" i="49"/>
  <c r="L120" i="49" s="1"/>
  <c r="J122" i="49"/>
  <c r="L122" i="49" s="1"/>
  <c r="J124" i="49"/>
  <c r="L124" i="49" s="1"/>
  <c r="J126" i="49"/>
  <c r="L126" i="49" s="1"/>
  <c r="J128" i="49"/>
  <c r="L128" i="49" s="1"/>
  <c r="J130" i="49"/>
  <c r="L130" i="49" s="1"/>
  <c r="J132" i="49"/>
  <c r="J134" i="49"/>
  <c r="L134" i="49" s="1"/>
  <c r="J136" i="49"/>
  <c r="J138" i="49"/>
  <c r="J24" i="49"/>
  <c r="J25" i="49"/>
  <c r="J30" i="49"/>
  <c r="J35" i="49"/>
  <c r="J39" i="49"/>
  <c r="J43" i="49"/>
  <c r="J46" i="49"/>
  <c r="J59" i="49"/>
  <c r="J62" i="49"/>
  <c r="J75" i="49"/>
  <c r="J78" i="49"/>
  <c r="J87" i="49"/>
  <c r="J49" i="49"/>
  <c r="J141" i="49"/>
  <c r="J143" i="49"/>
  <c r="J145" i="49"/>
  <c r="J147" i="49"/>
  <c r="J149" i="49"/>
  <c r="L149" i="49" s="1"/>
  <c r="J151" i="49"/>
  <c r="L151" i="49" s="1"/>
  <c r="J153" i="49"/>
  <c r="J155" i="49"/>
  <c r="L155" i="49" s="1"/>
  <c r="J157" i="49"/>
  <c r="J159" i="49"/>
  <c r="J161" i="49"/>
  <c r="J163" i="49"/>
  <c r="J165" i="49"/>
  <c r="J167" i="49"/>
  <c r="J169" i="49"/>
  <c r="J171" i="49"/>
  <c r="J173" i="49"/>
  <c r="J175" i="49"/>
  <c r="J177" i="49"/>
  <c r="J179" i="49"/>
  <c r="J181" i="49"/>
  <c r="J183" i="49"/>
  <c r="J185" i="49"/>
  <c r="J187" i="49"/>
  <c r="J189" i="49"/>
  <c r="J191" i="49"/>
  <c r="L191" i="49" s="1"/>
  <c r="J193" i="49"/>
  <c r="J195" i="49"/>
  <c r="J197" i="49"/>
  <c r="J199" i="49"/>
  <c r="J201" i="49"/>
  <c r="J203" i="49"/>
  <c r="L203" i="49" s="1"/>
  <c r="J205" i="49"/>
  <c r="J207" i="49"/>
  <c r="J209" i="49"/>
  <c r="J211" i="49"/>
  <c r="J84" i="49"/>
  <c r="J92" i="49"/>
  <c r="J68" i="49"/>
  <c r="J81" i="49"/>
  <c r="J140" i="49"/>
  <c r="J142" i="49"/>
  <c r="J144" i="49"/>
  <c r="L144" i="49" s="1"/>
  <c r="J146" i="49"/>
  <c r="J148" i="49"/>
  <c r="J150" i="49"/>
  <c r="L150" i="49" s="1"/>
  <c r="J152" i="49"/>
  <c r="J154" i="49"/>
  <c r="L154" i="49" s="1"/>
  <c r="J156" i="49"/>
  <c r="L156" i="49" s="1"/>
  <c r="J158" i="49"/>
  <c r="L158" i="49" s="1"/>
  <c r="J160" i="49"/>
  <c r="J162" i="49"/>
  <c r="J164" i="49"/>
  <c r="J166" i="49"/>
  <c r="J168" i="49"/>
  <c r="J170" i="49"/>
  <c r="J172" i="49"/>
  <c r="J174" i="49"/>
  <c r="J176" i="49"/>
  <c r="J178" i="49"/>
  <c r="J180" i="49"/>
  <c r="J182" i="49"/>
  <c r="J184" i="49"/>
  <c r="J186" i="49"/>
  <c r="J188" i="49"/>
  <c r="J190" i="49"/>
  <c r="J192" i="49"/>
  <c r="J194" i="49"/>
  <c r="J196" i="49"/>
  <c r="J198" i="49"/>
  <c r="J200" i="49"/>
  <c r="J202" i="49"/>
  <c r="L202" i="49" s="1"/>
  <c r="J204" i="49"/>
  <c r="J206" i="49"/>
  <c r="J52" i="49"/>
  <c r="J65" i="49"/>
  <c r="J213" i="49"/>
  <c r="J221" i="49"/>
  <c r="J214" i="49"/>
  <c r="J224" i="49"/>
  <c r="L224" i="49" s="1"/>
  <c r="J226" i="49"/>
  <c r="J228" i="49"/>
  <c r="J230" i="49"/>
  <c r="J232" i="49"/>
  <c r="J234" i="49"/>
  <c r="J236" i="49"/>
  <c r="J238" i="49"/>
  <c r="J240" i="49"/>
  <c r="J242" i="49"/>
  <c r="J244" i="49"/>
  <c r="J246" i="49"/>
  <c r="J248" i="49"/>
  <c r="J250" i="49"/>
  <c r="J252" i="49"/>
  <c r="J254" i="49"/>
  <c r="J256" i="49"/>
  <c r="J258" i="49"/>
  <c r="J260" i="49"/>
  <c r="J262" i="49"/>
  <c r="J264" i="49"/>
  <c r="J266" i="49"/>
  <c r="J268" i="49"/>
  <c r="J270" i="49"/>
  <c r="J272" i="49"/>
  <c r="J274" i="49"/>
  <c r="J276" i="49"/>
  <c r="L276" i="49" s="1"/>
  <c r="J278" i="49"/>
  <c r="L278" i="49" s="1"/>
  <c r="J280" i="49"/>
  <c r="L280" i="49" s="1"/>
  <c r="J282" i="49"/>
  <c r="L282" i="49" s="1"/>
  <c r="J284" i="49"/>
  <c r="L284" i="49" s="1"/>
  <c r="J217" i="49"/>
  <c r="J222" i="49"/>
  <c r="J218" i="49"/>
  <c r="J223" i="49"/>
  <c r="J225" i="49"/>
  <c r="L225" i="49" s="1"/>
  <c r="J227" i="49"/>
  <c r="J229" i="49"/>
  <c r="J231" i="49"/>
  <c r="J233" i="49"/>
  <c r="J235" i="49"/>
  <c r="J237" i="49"/>
  <c r="J239" i="49"/>
  <c r="J241" i="49"/>
  <c r="J243" i="49"/>
  <c r="J245" i="49"/>
  <c r="J247" i="49"/>
  <c r="J249" i="49"/>
  <c r="J251" i="49"/>
  <c r="J253" i="49"/>
  <c r="J255" i="49"/>
  <c r="J257" i="49"/>
  <c r="J259" i="49"/>
  <c r="J261" i="49"/>
  <c r="J263" i="49"/>
  <c r="J265" i="49"/>
  <c r="J267" i="49"/>
  <c r="J269" i="49"/>
  <c r="J271" i="49"/>
  <c r="J273" i="49"/>
  <c r="J275" i="49"/>
  <c r="L275" i="49" s="1"/>
  <c r="J277" i="49"/>
  <c r="L277" i="49" s="1"/>
  <c r="J279" i="49"/>
  <c r="L279" i="49" s="1"/>
  <c r="J281" i="49"/>
  <c r="L281" i="49" s="1"/>
  <c r="J283" i="49"/>
  <c r="L283" i="49" s="1"/>
  <c r="J285" i="49"/>
  <c r="J212" i="49"/>
  <c r="J215" i="49"/>
  <c r="J216" i="49"/>
  <c r="J287" i="49"/>
  <c r="L287" i="49" s="1"/>
  <c r="J289" i="49"/>
  <c r="J291" i="49"/>
  <c r="L291" i="49" s="1"/>
  <c r="J293" i="49"/>
  <c r="J295" i="49"/>
  <c r="J297" i="49"/>
  <c r="L297" i="49" s="1"/>
  <c r="J299" i="49"/>
  <c r="J301" i="49"/>
  <c r="J303" i="49"/>
  <c r="L303" i="49" s="1"/>
  <c r="J305" i="49"/>
  <c r="L305" i="49" s="1"/>
  <c r="J307" i="49"/>
  <c r="L307" i="49" s="1"/>
  <c r="J309" i="49"/>
  <c r="J311" i="49"/>
  <c r="J313" i="49"/>
  <c r="L313" i="49" s="1"/>
  <c r="J210" i="49"/>
  <c r="J208" i="49"/>
  <c r="J219" i="49"/>
  <c r="J220" i="49"/>
  <c r="J286" i="49"/>
  <c r="J288" i="49"/>
  <c r="J290" i="49"/>
  <c r="J292" i="49"/>
  <c r="J294" i="49"/>
  <c r="J296" i="49"/>
  <c r="L296" i="49" s="1"/>
  <c r="J298" i="49"/>
  <c r="J300" i="49"/>
  <c r="J302" i="49"/>
  <c r="J304" i="49"/>
  <c r="J306" i="49"/>
  <c r="L306" i="49" s="1"/>
  <c r="J308" i="49"/>
  <c r="J310" i="49"/>
  <c r="J312" i="49"/>
  <c r="J314" i="49"/>
  <c r="J6" i="49"/>
  <c r="L6" i="49" s="1"/>
  <c r="F325" i="34"/>
  <c r="J128" i="13"/>
  <c r="J46" i="13"/>
  <c r="J199" i="13"/>
  <c r="J112" i="13"/>
  <c r="J124" i="13"/>
  <c r="J158" i="13"/>
  <c r="J275" i="13"/>
  <c r="J9" i="13"/>
  <c r="J65" i="13"/>
  <c r="J228" i="13"/>
  <c r="J208" i="13"/>
  <c r="J50" i="13"/>
  <c r="J145" i="13"/>
  <c r="J297" i="13"/>
  <c r="C5" i="39"/>
  <c r="J36" i="13"/>
  <c r="J42" i="13"/>
  <c r="J89" i="13"/>
  <c r="J73" i="13"/>
  <c r="J140" i="13"/>
  <c r="J209" i="13"/>
  <c r="J291" i="13"/>
  <c r="J160" i="13"/>
  <c r="J153" i="13"/>
  <c r="J247" i="13"/>
  <c r="J155" i="13"/>
  <c r="J184" i="13"/>
  <c r="J221" i="13"/>
  <c r="J198" i="13"/>
  <c r="J278" i="13"/>
  <c r="J312" i="13"/>
  <c r="J49" i="13"/>
  <c r="J273" i="13"/>
  <c r="J92" i="13"/>
  <c r="J180" i="13"/>
  <c r="J113" i="13"/>
  <c r="J203" i="13"/>
  <c r="J267" i="13"/>
  <c r="J260" i="13"/>
  <c r="J146" i="13"/>
  <c r="J188" i="13"/>
  <c r="J61" i="13"/>
  <c r="J290" i="13"/>
  <c r="J214" i="13"/>
  <c r="J25" i="13"/>
  <c r="J252" i="13"/>
  <c r="J185" i="13"/>
  <c r="J308" i="13"/>
  <c r="J177" i="13"/>
  <c r="J98" i="13"/>
  <c r="J192" i="13"/>
  <c r="J281" i="13"/>
  <c r="J136" i="13"/>
  <c r="J205" i="13"/>
  <c r="J294" i="13"/>
  <c r="J202" i="13"/>
  <c r="J287" i="13"/>
  <c r="J33" i="13"/>
  <c r="J295" i="13"/>
  <c r="J265" i="13"/>
  <c r="J66" i="13"/>
  <c r="J229" i="13"/>
  <c r="J142" i="13"/>
  <c r="J138" i="13"/>
  <c r="J18" i="13"/>
  <c r="J93" i="13"/>
  <c r="J97" i="13"/>
  <c r="J57" i="13"/>
  <c r="J279" i="13"/>
  <c r="J74" i="13"/>
  <c r="J261" i="13"/>
  <c r="J253" i="13"/>
  <c r="J100" i="13"/>
  <c r="J258" i="13"/>
  <c r="J268" i="13"/>
  <c r="J78" i="13"/>
  <c r="J135" i="13"/>
  <c r="J284" i="13"/>
  <c r="J129" i="13"/>
  <c r="J251" i="13"/>
  <c r="J115" i="13"/>
  <c r="J62" i="13"/>
  <c r="J274" i="13"/>
  <c r="J105" i="13"/>
  <c r="J234" i="13"/>
  <c r="J40" i="13"/>
  <c r="J152" i="13"/>
  <c r="J118" i="13"/>
  <c r="J69" i="13"/>
  <c r="J96" i="13"/>
  <c r="J70" i="13"/>
  <c r="J282" i="13"/>
  <c r="J310" i="13"/>
  <c r="J159" i="13"/>
  <c r="C5" i="12"/>
  <c r="F5" i="32"/>
  <c r="J6" i="13"/>
  <c r="J305" i="13"/>
  <c r="J302" i="13"/>
  <c r="C5" i="33"/>
  <c r="F9" i="48" s="1"/>
  <c r="J254" i="13"/>
  <c r="J222" i="13"/>
  <c r="J94" i="13"/>
  <c r="J44" i="13"/>
  <c r="J29" i="13"/>
  <c r="J41" i="13"/>
  <c r="J76" i="13"/>
  <c r="J86" i="13"/>
  <c r="J102" i="13"/>
  <c r="J108" i="13"/>
  <c r="J134" i="13"/>
  <c r="J212" i="13"/>
  <c r="J174" i="13"/>
  <c r="J245" i="13"/>
  <c r="J17" i="13"/>
  <c r="J250" i="13"/>
  <c r="J64" i="13"/>
  <c r="J181" i="13"/>
  <c r="J211" i="13"/>
  <c r="J99" i="13"/>
  <c r="J238" i="13"/>
  <c r="J216" i="13"/>
  <c r="J213" i="13"/>
  <c r="J132" i="13"/>
  <c r="J311" i="13"/>
  <c r="J161" i="13"/>
  <c r="J149" i="13"/>
  <c r="J304" i="13"/>
  <c r="J241" i="13"/>
  <c r="J187" i="13"/>
  <c r="J313" i="13"/>
  <c r="J263" i="13"/>
  <c r="J169" i="13"/>
  <c r="J20" i="13"/>
  <c r="J103" i="13"/>
  <c r="J71" i="13"/>
  <c r="J193" i="13"/>
  <c r="J190" i="13"/>
  <c r="J309" i="13"/>
  <c r="J117" i="13"/>
  <c r="J306" i="13"/>
  <c r="J166" i="13"/>
  <c r="J307" i="13"/>
  <c r="J293" i="13"/>
  <c r="J133" i="13"/>
  <c r="J147" i="13"/>
  <c r="J220" i="13"/>
  <c r="J87" i="13"/>
  <c r="J109" i="13"/>
  <c r="J225" i="13"/>
  <c r="J186" i="13"/>
  <c r="J151" i="13"/>
  <c r="J243" i="13"/>
  <c r="J8" i="13"/>
  <c r="J148" i="13"/>
  <c r="J30" i="13"/>
  <c r="J171" i="13"/>
  <c r="J257" i="13"/>
  <c r="J137" i="13"/>
  <c r="J104" i="13"/>
  <c r="J88" i="13"/>
  <c r="J224" i="13"/>
  <c r="J200" i="13"/>
  <c r="J286" i="13"/>
  <c r="J144" i="13"/>
  <c r="J182" i="13"/>
  <c r="J168" i="13"/>
  <c r="J63" i="13"/>
  <c r="J12" i="13"/>
  <c r="J154" i="13"/>
  <c r="J122" i="13"/>
  <c r="J264" i="13"/>
  <c r="J269" i="13"/>
  <c r="J58" i="13"/>
  <c r="J301" i="13"/>
  <c r="J227" i="13"/>
  <c r="J314" i="13"/>
  <c r="J242" i="13"/>
  <c r="J237" i="13"/>
  <c r="J82" i="13"/>
  <c r="J21" i="13"/>
  <c r="J232" i="13"/>
  <c r="J256" i="13"/>
  <c r="J156" i="13"/>
  <c r="J37" i="13"/>
  <c r="J162" i="13"/>
  <c r="J249" i="13"/>
  <c r="J22" i="13"/>
  <c r="J178" i="13"/>
  <c r="J179" i="13"/>
  <c r="J292" i="13"/>
  <c r="J189" i="13"/>
  <c r="J81" i="13"/>
  <c r="J204" i="13"/>
  <c r="J38" i="13"/>
  <c r="J201" i="13"/>
  <c r="J270" i="13"/>
  <c r="J283" i="13"/>
  <c r="J101" i="13"/>
  <c r="J55" i="13"/>
  <c r="J43" i="13"/>
  <c r="J23" i="13"/>
  <c r="F315" i="49"/>
  <c r="J196" i="13"/>
  <c r="J289" i="13"/>
  <c r="J16" i="13"/>
  <c r="J239" i="13"/>
  <c r="J67" i="13"/>
  <c r="J51" i="13"/>
  <c r="J143" i="13"/>
  <c r="J230" i="13"/>
  <c r="J207" i="13"/>
  <c r="J32" i="13"/>
  <c r="J90" i="13"/>
  <c r="J13" i="13"/>
  <c r="J266" i="13"/>
  <c r="J125" i="13"/>
  <c r="J52" i="13"/>
  <c r="U316" i="19"/>
  <c r="J11" i="13"/>
  <c r="J56" i="13"/>
  <c r="J35" i="13"/>
  <c r="J60" i="13"/>
  <c r="J183" i="13"/>
  <c r="J106" i="13"/>
  <c r="J299" i="13"/>
  <c r="J123" i="13"/>
  <c r="J84" i="13"/>
  <c r="J91" i="13"/>
  <c r="J79" i="13"/>
  <c r="J150" i="13"/>
  <c r="J15" i="13"/>
  <c r="J31" i="13"/>
  <c r="J114" i="13"/>
  <c r="J28" i="13"/>
  <c r="J163" i="13"/>
  <c r="J157" i="13"/>
  <c r="J176" i="13"/>
  <c r="J276" i="13"/>
  <c r="J126" i="13"/>
  <c r="J85" i="13"/>
  <c r="J95" i="13"/>
  <c r="J68" i="13"/>
  <c r="J75" i="13"/>
  <c r="J191" i="13"/>
  <c r="J14" i="13"/>
  <c r="J119" i="13"/>
  <c r="J223" i="13"/>
  <c r="J48" i="13"/>
  <c r="J280" i="13"/>
  <c r="J59" i="13"/>
  <c r="J130" i="13"/>
  <c r="J77" i="13"/>
  <c r="J47" i="13"/>
  <c r="J226" i="13"/>
  <c r="J39" i="13"/>
  <c r="J127" i="13"/>
  <c r="J206" i="13"/>
  <c r="J288" i="13"/>
  <c r="J248" i="13"/>
  <c r="J240" i="13"/>
  <c r="J80" i="13"/>
  <c r="J139" i="13"/>
  <c r="J107" i="13"/>
  <c r="J83" i="13"/>
  <c r="J296" i="13"/>
  <c r="J259" i="13"/>
  <c r="J19" i="13"/>
  <c r="J164" i="13"/>
  <c r="J165" i="13"/>
  <c r="J175" i="13"/>
  <c r="J235" i="13"/>
  <c r="J195" i="13"/>
  <c r="J231" i="13"/>
  <c r="J72" i="13"/>
  <c r="J172" i="13"/>
  <c r="K290" i="49" l="1"/>
  <c r="L290" i="49" s="1"/>
  <c r="K311" i="49"/>
  <c r="L311" i="49" s="1"/>
  <c r="K295" i="49"/>
  <c r="L295" i="49" s="1"/>
  <c r="K285" i="49"/>
  <c r="L285" i="49" s="1"/>
  <c r="K269" i="49"/>
  <c r="L269" i="49" s="1"/>
  <c r="K253" i="49"/>
  <c r="L253" i="49" s="1"/>
  <c r="K237" i="49"/>
  <c r="L237" i="49" s="1"/>
  <c r="K218" i="49"/>
  <c r="L218" i="49" s="1"/>
  <c r="K274" i="49"/>
  <c r="L274" i="49" s="1"/>
  <c r="K258" i="49"/>
  <c r="L258" i="49" s="1"/>
  <c r="K242" i="49"/>
  <c r="L242" i="49" s="1"/>
  <c r="K226" i="49"/>
  <c r="L226" i="49" s="1"/>
  <c r="K204" i="49"/>
  <c r="L204" i="49" s="1"/>
  <c r="K188" i="49"/>
  <c r="L188" i="49" s="1"/>
  <c r="K172" i="49"/>
  <c r="L172" i="49" s="1"/>
  <c r="K140" i="49"/>
  <c r="L140" i="49" s="1"/>
  <c r="K205" i="49"/>
  <c r="L205" i="49" s="1"/>
  <c r="K189" i="49"/>
  <c r="L189" i="49" s="1"/>
  <c r="K173" i="49"/>
  <c r="L173" i="49" s="1"/>
  <c r="K157" i="49"/>
  <c r="L157" i="49" s="1"/>
  <c r="K141" i="49"/>
  <c r="L141" i="49" s="1"/>
  <c r="K43" i="49"/>
  <c r="L43" i="49" s="1"/>
  <c r="K118" i="49"/>
  <c r="L118" i="49" s="1"/>
  <c r="K102" i="49"/>
  <c r="L102" i="49" s="1"/>
  <c r="K58" i="49"/>
  <c r="L58" i="49" s="1"/>
  <c r="K77" i="49"/>
  <c r="L77" i="49" s="1"/>
  <c r="K70" i="49"/>
  <c r="L70" i="49" s="1"/>
  <c r="K76" i="49"/>
  <c r="L76" i="49" s="1"/>
  <c r="K105" i="49"/>
  <c r="L105" i="49" s="1"/>
  <c r="K82" i="49"/>
  <c r="L82" i="49" s="1"/>
  <c r="K26" i="49"/>
  <c r="L26" i="49" s="1"/>
  <c r="K21" i="49"/>
  <c r="L21" i="49" s="1"/>
  <c r="K22" i="49"/>
  <c r="L22" i="49" s="1"/>
  <c r="K304" i="49"/>
  <c r="L304" i="49" s="1"/>
  <c r="K288" i="49"/>
  <c r="L288" i="49" s="1"/>
  <c r="K309" i="49"/>
  <c r="L309" i="49" s="1"/>
  <c r="K293" i="49"/>
  <c r="L293" i="49" s="1"/>
  <c r="K267" i="49"/>
  <c r="L267" i="49" s="1"/>
  <c r="K251" i="49"/>
  <c r="L251" i="49" s="1"/>
  <c r="K235" i="49"/>
  <c r="L235" i="49" s="1"/>
  <c r="K222" i="49"/>
  <c r="L222" i="49" s="1"/>
  <c r="K272" i="49"/>
  <c r="L272" i="49" s="1"/>
  <c r="K256" i="49"/>
  <c r="L256" i="49" s="1"/>
  <c r="K240" i="49"/>
  <c r="L240" i="49" s="1"/>
  <c r="K186" i="49"/>
  <c r="L186" i="49" s="1"/>
  <c r="K170" i="49"/>
  <c r="L170" i="49" s="1"/>
  <c r="K81" i="49"/>
  <c r="L81" i="49" s="1"/>
  <c r="K187" i="49"/>
  <c r="L187" i="49" s="1"/>
  <c r="K171" i="49"/>
  <c r="L171" i="49" s="1"/>
  <c r="K49" i="49"/>
  <c r="L49" i="49" s="1"/>
  <c r="K39" i="49"/>
  <c r="L39" i="49" s="1"/>
  <c r="K132" i="49"/>
  <c r="L132" i="49" s="1"/>
  <c r="K116" i="49"/>
  <c r="L116" i="49" s="1"/>
  <c r="K100" i="49"/>
  <c r="L100" i="49" s="1"/>
  <c r="K55" i="49"/>
  <c r="L55" i="49" s="1"/>
  <c r="K64" i="49"/>
  <c r="L64" i="49" s="1"/>
  <c r="K67" i="49"/>
  <c r="L67" i="49" s="1"/>
  <c r="K73" i="49"/>
  <c r="L73" i="49" s="1"/>
  <c r="K103" i="49"/>
  <c r="L103" i="49" s="1"/>
  <c r="K79" i="49"/>
  <c r="L79" i="49" s="1"/>
  <c r="K90" i="49"/>
  <c r="L90" i="49" s="1"/>
  <c r="K19" i="49"/>
  <c r="L19" i="49" s="1"/>
  <c r="K20" i="49"/>
  <c r="L20" i="49" s="1"/>
  <c r="K286" i="49"/>
  <c r="L286" i="49" s="1"/>
  <c r="K265" i="49"/>
  <c r="L265" i="49" s="1"/>
  <c r="K249" i="49"/>
  <c r="L249" i="49" s="1"/>
  <c r="K233" i="49"/>
  <c r="L233" i="49" s="1"/>
  <c r="K217" i="49"/>
  <c r="L217" i="49" s="1"/>
  <c r="K270" i="49"/>
  <c r="L270" i="49" s="1"/>
  <c r="K254" i="49"/>
  <c r="L254" i="49" s="1"/>
  <c r="K238" i="49"/>
  <c r="L238" i="49" s="1"/>
  <c r="K214" i="49"/>
  <c r="L214" i="49" s="1"/>
  <c r="K200" i="49"/>
  <c r="L200" i="49" s="1"/>
  <c r="K184" i="49"/>
  <c r="L184" i="49" s="1"/>
  <c r="K168" i="49"/>
  <c r="L168" i="49" s="1"/>
  <c r="K152" i="49"/>
  <c r="L152" i="49" s="1"/>
  <c r="K68" i="49"/>
  <c r="L68" i="49" s="1"/>
  <c r="K201" i="49"/>
  <c r="L201" i="49" s="1"/>
  <c r="K185" i="49"/>
  <c r="L185" i="49" s="1"/>
  <c r="K169" i="49"/>
  <c r="L169" i="49" s="1"/>
  <c r="K153" i="49"/>
  <c r="L153" i="49" s="1"/>
  <c r="K87" i="49"/>
  <c r="L87" i="49" s="1"/>
  <c r="K35" i="49"/>
  <c r="L35" i="49" s="1"/>
  <c r="K98" i="49"/>
  <c r="L98" i="49" s="1"/>
  <c r="K42" i="49"/>
  <c r="L42" i="49" s="1"/>
  <c r="K61" i="49"/>
  <c r="L61" i="49" s="1"/>
  <c r="K54" i="49"/>
  <c r="L54" i="49" s="1"/>
  <c r="K60" i="49"/>
  <c r="L60" i="49" s="1"/>
  <c r="K133" i="49"/>
  <c r="L133" i="49" s="1"/>
  <c r="K101" i="49"/>
  <c r="L101" i="49" s="1"/>
  <c r="K66" i="49"/>
  <c r="L66" i="49" s="1"/>
  <c r="K72" i="49"/>
  <c r="L72" i="49" s="1"/>
  <c r="K17" i="49"/>
  <c r="L17" i="49" s="1"/>
  <c r="K18" i="49"/>
  <c r="L18" i="49" s="1"/>
  <c r="K302" i="49"/>
  <c r="L302" i="49" s="1"/>
  <c r="K300" i="49"/>
  <c r="L300" i="49" s="1"/>
  <c r="K220" i="49"/>
  <c r="L220" i="49" s="1"/>
  <c r="K289" i="49"/>
  <c r="L289" i="49" s="1"/>
  <c r="K263" i="49"/>
  <c r="L263" i="49" s="1"/>
  <c r="K247" i="49"/>
  <c r="L247" i="49" s="1"/>
  <c r="K231" i="49"/>
  <c r="L231" i="49" s="1"/>
  <c r="K268" i="49"/>
  <c r="L268" i="49" s="1"/>
  <c r="K252" i="49"/>
  <c r="L252" i="49" s="1"/>
  <c r="K236" i="49"/>
  <c r="L236" i="49" s="1"/>
  <c r="K221" i="49"/>
  <c r="L221" i="49" s="1"/>
  <c r="K198" i="49"/>
  <c r="L198" i="49" s="1"/>
  <c r="K182" i="49"/>
  <c r="L182" i="49" s="1"/>
  <c r="K166" i="49"/>
  <c r="L166" i="49" s="1"/>
  <c r="K92" i="49"/>
  <c r="L92" i="49" s="1"/>
  <c r="K199" i="49"/>
  <c r="L199" i="49" s="1"/>
  <c r="K183" i="49"/>
  <c r="L183" i="49" s="1"/>
  <c r="K167" i="49"/>
  <c r="L167" i="49" s="1"/>
  <c r="K78" i="49"/>
  <c r="L78" i="49" s="1"/>
  <c r="K30" i="49"/>
  <c r="L30" i="49" s="1"/>
  <c r="K96" i="49"/>
  <c r="L96" i="49" s="1"/>
  <c r="K38" i="49"/>
  <c r="L38" i="49" s="1"/>
  <c r="K48" i="49"/>
  <c r="L48" i="49" s="1"/>
  <c r="K51" i="49"/>
  <c r="L51" i="49" s="1"/>
  <c r="K57" i="49"/>
  <c r="L57" i="49" s="1"/>
  <c r="K115" i="49"/>
  <c r="L115" i="49" s="1"/>
  <c r="K99" i="49"/>
  <c r="L99" i="49" s="1"/>
  <c r="K63" i="49"/>
  <c r="L63" i="49" s="1"/>
  <c r="K69" i="49"/>
  <c r="L69" i="49" s="1"/>
  <c r="K15" i="49"/>
  <c r="L15" i="49" s="1"/>
  <c r="K16" i="49"/>
  <c r="L16" i="49" s="1"/>
  <c r="K314" i="49"/>
  <c r="L314" i="49" s="1"/>
  <c r="K298" i="49"/>
  <c r="L298" i="49" s="1"/>
  <c r="K219" i="49"/>
  <c r="L219" i="49" s="1"/>
  <c r="K261" i="49"/>
  <c r="L261" i="49" s="1"/>
  <c r="K245" i="49"/>
  <c r="L245" i="49" s="1"/>
  <c r="K229" i="49"/>
  <c r="L229" i="49" s="1"/>
  <c r="K266" i="49"/>
  <c r="L266" i="49" s="1"/>
  <c r="K250" i="49"/>
  <c r="L250" i="49" s="1"/>
  <c r="K234" i="49"/>
  <c r="L234" i="49" s="1"/>
  <c r="K213" i="49"/>
  <c r="L213" i="49" s="1"/>
  <c r="K196" i="49"/>
  <c r="L196" i="49" s="1"/>
  <c r="K180" i="49"/>
  <c r="L180" i="49" s="1"/>
  <c r="K164" i="49"/>
  <c r="L164" i="49" s="1"/>
  <c r="K148" i="49"/>
  <c r="L148" i="49" s="1"/>
  <c r="K84" i="49"/>
  <c r="L84" i="49" s="1"/>
  <c r="K197" i="49"/>
  <c r="L197" i="49" s="1"/>
  <c r="K181" i="49"/>
  <c r="L181" i="49" s="1"/>
  <c r="K165" i="49"/>
  <c r="L165" i="49" s="1"/>
  <c r="K75" i="49"/>
  <c r="L75" i="49" s="1"/>
  <c r="K25" i="49"/>
  <c r="L25" i="49" s="1"/>
  <c r="K110" i="49"/>
  <c r="L110" i="49" s="1"/>
  <c r="K94" i="49"/>
  <c r="L94" i="49" s="1"/>
  <c r="K34" i="49"/>
  <c r="L34" i="49" s="1"/>
  <c r="K45" i="49"/>
  <c r="L45" i="49" s="1"/>
  <c r="K41" i="49"/>
  <c r="L41" i="49" s="1"/>
  <c r="K44" i="49"/>
  <c r="L44" i="49" s="1"/>
  <c r="K113" i="49"/>
  <c r="L113" i="49" s="1"/>
  <c r="K97" i="49"/>
  <c r="L97" i="49" s="1"/>
  <c r="K50" i="49"/>
  <c r="L50" i="49" s="1"/>
  <c r="K56" i="49"/>
  <c r="L56" i="49" s="1"/>
  <c r="K13" i="49"/>
  <c r="L13" i="49" s="1"/>
  <c r="K312" i="49"/>
  <c r="L312" i="49" s="1"/>
  <c r="K208" i="49"/>
  <c r="L208" i="49" s="1"/>
  <c r="K301" i="49"/>
  <c r="L301" i="49" s="1"/>
  <c r="K216" i="49"/>
  <c r="L216" i="49" s="1"/>
  <c r="K259" i="49"/>
  <c r="L259" i="49" s="1"/>
  <c r="K243" i="49"/>
  <c r="L243" i="49" s="1"/>
  <c r="K227" i="49"/>
  <c r="L227" i="49" s="1"/>
  <c r="K264" i="49"/>
  <c r="L264" i="49" s="1"/>
  <c r="K248" i="49"/>
  <c r="L248" i="49" s="1"/>
  <c r="K232" i="49"/>
  <c r="L232" i="49" s="1"/>
  <c r="K65" i="49"/>
  <c r="L65" i="49" s="1"/>
  <c r="K194" i="49"/>
  <c r="L194" i="49" s="1"/>
  <c r="K178" i="49"/>
  <c r="L178" i="49" s="1"/>
  <c r="K162" i="49"/>
  <c r="L162" i="49" s="1"/>
  <c r="K146" i="49"/>
  <c r="L146" i="49" s="1"/>
  <c r="K211" i="49"/>
  <c r="L211" i="49" s="1"/>
  <c r="K195" i="49"/>
  <c r="L195" i="49" s="1"/>
  <c r="K179" i="49"/>
  <c r="L179" i="49" s="1"/>
  <c r="K163" i="49"/>
  <c r="L163" i="49" s="1"/>
  <c r="K147" i="49"/>
  <c r="L147" i="49" s="1"/>
  <c r="K62" i="49"/>
  <c r="L62" i="49" s="1"/>
  <c r="K24" i="49"/>
  <c r="L24" i="49" s="1"/>
  <c r="K108" i="49"/>
  <c r="L108" i="49" s="1"/>
  <c r="K89" i="49"/>
  <c r="L89" i="49" s="1"/>
  <c r="K29" i="49"/>
  <c r="L29" i="49" s="1"/>
  <c r="K28" i="49"/>
  <c r="L28" i="49" s="1"/>
  <c r="K37" i="49"/>
  <c r="L37" i="49" s="1"/>
  <c r="K32" i="49"/>
  <c r="L32" i="49" s="1"/>
  <c r="K111" i="49"/>
  <c r="L111" i="49" s="1"/>
  <c r="K95" i="49"/>
  <c r="L95" i="49" s="1"/>
  <c r="K47" i="49"/>
  <c r="L47" i="49" s="1"/>
  <c r="K53" i="49"/>
  <c r="L53" i="49" s="1"/>
  <c r="K11" i="49"/>
  <c r="L11" i="49" s="1"/>
  <c r="K12" i="49"/>
  <c r="L12" i="49" s="1"/>
  <c r="K310" i="49"/>
  <c r="L310" i="49" s="1"/>
  <c r="K294" i="49"/>
  <c r="L294" i="49" s="1"/>
  <c r="K210" i="49"/>
  <c r="L210" i="49" s="1"/>
  <c r="K299" i="49"/>
  <c r="L299" i="49" s="1"/>
  <c r="K215" i="49"/>
  <c r="L215" i="49" s="1"/>
  <c r="K273" i="49"/>
  <c r="L273" i="49" s="1"/>
  <c r="K257" i="49"/>
  <c r="L257" i="49" s="1"/>
  <c r="K241" i="49"/>
  <c r="L241" i="49" s="1"/>
  <c r="K262" i="49"/>
  <c r="L262" i="49" s="1"/>
  <c r="K246" i="49"/>
  <c r="L246" i="49" s="1"/>
  <c r="K230" i="49"/>
  <c r="L230" i="49" s="1"/>
  <c r="K52" i="49"/>
  <c r="L52" i="49" s="1"/>
  <c r="K192" i="49"/>
  <c r="L192" i="49" s="1"/>
  <c r="K176" i="49"/>
  <c r="L176" i="49" s="1"/>
  <c r="K160" i="49"/>
  <c r="L160" i="49" s="1"/>
  <c r="K209" i="49"/>
  <c r="L209" i="49" s="1"/>
  <c r="K193" i="49"/>
  <c r="L193" i="49" s="1"/>
  <c r="K177" i="49"/>
  <c r="L177" i="49" s="1"/>
  <c r="K161" i="49"/>
  <c r="L161" i="49" s="1"/>
  <c r="K145" i="49"/>
  <c r="L145" i="49" s="1"/>
  <c r="K59" i="49"/>
  <c r="L59" i="49" s="1"/>
  <c r="K138" i="49"/>
  <c r="L138" i="49" s="1"/>
  <c r="K106" i="49"/>
  <c r="L106" i="49" s="1"/>
  <c r="K74" i="49"/>
  <c r="L74" i="49" s="1"/>
  <c r="K86" i="49"/>
  <c r="L86" i="49" s="1"/>
  <c r="K91" i="49"/>
  <c r="L91" i="49" s="1"/>
  <c r="K33" i="49"/>
  <c r="L33" i="49" s="1"/>
  <c r="K27" i="49"/>
  <c r="L27" i="49" s="1"/>
  <c r="K125" i="49"/>
  <c r="L125" i="49" s="1"/>
  <c r="K109" i="49"/>
  <c r="L109" i="49" s="1"/>
  <c r="K93" i="49"/>
  <c r="L93" i="49" s="1"/>
  <c r="K40" i="49"/>
  <c r="L40" i="49" s="1"/>
  <c r="K31" i="49"/>
  <c r="L31" i="49" s="1"/>
  <c r="K9" i="49"/>
  <c r="L9" i="49" s="1"/>
  <c r="K10" i="49"/>
  <c r="L10" i="49" s="1"/>
  <c r="K308" i="49"/>
  <c r="L308" i="49" s="1"/>
  <c r="K292" i="49"/>
  <c r="L292" i="49" s="1"/>
  <c r="K212" i="49"/>
  <c r="L212" i="49" s="1"/>
  <c r="K271" i="49"/>
  <c r="L271" i="49" s="1"/>
  <c r="K255" i="49"/>
  <c r="L255" i="49" s="1"/>
  <c r="K239" i="49"/>
  <c r="L239" i="49" s="1"/>
  <c r="K223" i="49"/>
  <c r="L223" i="49" s="1"/>
  <c r="K260" i="49"/>
  <c r="L260" i="49" s="1"/>
  <c r="K244" i="49"/>
  <c r="L244" i="49" s="1"/>
  <c r="K228" i="49"/>
  <c r="L228" i="49" s="1"/>
  <c r="K206" i="49"/>
  <c r="L206" i="49" s="1"/>
  <c r="K190" i="49"/>
  <c r="L190" i="49" s="1"/>
  <c r="K174" i="49"/>
  <c r="L174" i="49" s="1"/>
  <c r="K142" i="49"/>
  <c r="L142" i="49" s="1"/>
  <c r="K207" i="49"/>
  <c r="L207" i="49" s="1"/>
  <c r="K175" i="49"/>
  <c r="L175" i="49" s="1"/>
  <c r="K159" i="49"/>
  <c r="L159" i="49" s="1"/>
  <c r="K143" i="49"/>
  <c r="L143" i="49" s="1"/>
  <c r="K46" i="49"/>
  <c r="L46" i="49" s="1"/>
  <c r="K136" i="49"/>
  <c r="L136" i="49" s="1"/>
  <c r="K104" i="49"/>
  <c r="L104" i="49" s="1"/>
  <c r="K71" i="49"/>
  <c r="L71" i="49" s="1"/>
  <c r="K80" i="49"/>
  <c r="L80" i="49" s="1"/>
  <c r="K83" i="49"/>
  <c r="L83" i="49" s="1"/>
  <c r="K88" i="49"/>
  <c r="L88" i="49" s="1"/>
  <c r="K139" i="49"/>
  <c r="L139" i="49" s="1"/>
  <c r="K123" i="49"/>
  <c r="L123" i="49" s="1"/>
  <c r="K107" i="49"/>
  <c r="L107" i="49" s="1"/>
  <c r="K85" i="49"/>
  <c r="L85" i="49" s="1"/>
  <c r="K36" i="49"/>
  <c r="L36" i="49" s="1"/>
  <c r="K23" i="49"/>
  <c r="L23" i="49" s="1"/>
  <c r="K8" i="49"/>
  <c r="L8" i="49" s="1"/>
  <c r="B60" i="40"/>
  <c r="B62" i="40" s="1"/>
  <c r="C314" i="39"/>
  <c r="J315" i="13"/>
  <c r="E5" i="33"/>
  <c r="G5" i="32"/>
  <c r="F314" i="32"/>
  <c r="S316" i="19"/>
  <c r="J315" i="49"/>
  <c r="G315" i="49"/>
  <c r="C314" i="12"/>
  <c r="L315" i="13" l="1"/>
  <c r="E47" i="48"/>
  <c r="K315" i="49"/>
  <c r="N315" i="49" s="1"/>
  <c r="G314" i="37"/>
  <c r="G314" i="32"/>
  <c r="C314" i="33"/>
  <c r="E314" i="33" s="1"/>
  <c r="B63" i="40"/>
  <c r="H179" i="37" l="1"/>
  <c r="H271" i="37"/>
  <c r="H272" i="37"/>
  <c r="H128" i="37"/>
  <c r="H307" i="37"/>
  <c r="H247" i="37"/>
  <c r="H183" i="37"/>
  <c r="H117" i="37"/>
  <c r="H53" i="37"/>
  <c r="H312" i="37"/>
  <c r="H214" i="37"/>
  <c r="H165" i="37"/>
  <c r="H100" i="37"/>
  <c r="H36" i="37"/>
  <c r="H269" i="37"/>
  <c r="H205" i="37"/>
  <c r="H140" i="37"/>
  <c r="H75" i="37"/>
  <c r="H11" i="37"/>
  <c r="H252" i="37"/>
  <c r="H188" i="37"/>
  <c r="H122" i="37"/>
  <c r="H58" i="37"/>
  <c r="H309" i="37"/>
  <c r="H243" i="37"/>
  <c r="H178" i="37"/>
  <c r="H113" i="37"/>
  <c r="H49" i="37"/>
  <c r="H300" i="37"/>
  <c r="H234" i="37"/>
  <c r="H169" i="37"/>
  <c r="H104" i="37"/>
  <c r="H40" i="37"/>
  <c r="H257" i="37"/>
  <c r="H193" i="37"/>
  <c r="H127" i="37"/>
  <c r="H63" i="37"/>
  <c r="H306" i="37"/>
  <c r="H240" i="37"/>
  <c r="H175" i="37"/>
  <c r="H110" i="37"/>
  <c r="H46" i="37"/>
  <c r="H313" i="37"/>
  <c r="H239" i="37"/>
  <c r="H174" i="37"/>
  <c r="H109" i="37"/>
  <c r="H45" i="37"/>
  <c r="H304" i="37"/>
  <c r="H206" i="37"/>
  <c r="H157" i="37"/>
  <c r="H92" i="37"/>
  <c r="H28" i="37"/>
  <c r="H261" i="37"/>
  <c r="H197" i="37"/>
  <c r="H132" i="37"/>
  <c r="H67" i="37"/>
  <c r="H291" i="37"/>
  <c r="H244" i="37"/>
  <c r="H180" i="37"/>
  <c r="H114" i="37"/>
  <c r="H50" i="37"/>
  <c r="H301" i="37"/>
  <c r="H235" i="37"/>
  <c r="H170" i="37"/>
  <c r="H105" i="37"/>
  <c r="H41" i="37"/>
  <c r="H292" i="37"/>
  <c r="H226" i="37"/>
  <c r="H161" i="37"/>
  <c r="H96" i="37"/>
  <c r="H32" i="37"/>
  <c r="H249" i="37"/>
  <c r="H185" i="37"/>
  <c r="H119" i="37"/>
  <c r="H55" i="37"/>
  <c r="H298" i="37"/>
  <c r="H232" i="37"/>
  <c r="H167" i="37"/>
  <c r="H102" i="37"/>
  <c r="H38" i="37"/>
  <c r="H297" i="37"/>
  <c r="H231" i="37"/>
  <c r="H166" i="37"/>
  <c r="H101" i="37"/>
  <c r="H37" i="37"/>
  <c r="H296" i="37"/>
  <c r="H198" i="37"/>
  <c r="H149" i="37"/>
  <c r="H84" i="37"/>
  <c r="H20" i="37"/>
  <c r="H253" i="37"/>
  <c r="H189" i="37"/>
  <c r="H123" i="37"/>
  <c r="H59" i="37"/>
  <c r="H302" i="37"/>
  <c r="H236" i="37"/>
  <c r="H171" i="37"/>
  <c r="H106" i="37"/>
  <c r="H42" i="37"/>
  <c r="H293" i="37"/>
  <c r="H227" i="37"/>
  <c r="H162" i="37"/>
  <c r="H97" i="37"/>
  <c r="H33" i="37"/>
  <c r="H284" i="37"/>
  <c r="H218" i="37"/>
  <c r="H153" i="37"/>
  <c r="H88" i="37"/>
  <c r="H24" i="37"/>
  <c r="H241" i="37"/>
  <c r="H176" i="37"/>
  <c r="H111" i="37"/>
  <c r="H47" i="37"/>
  <c r="H290" i="37"/>
  <c r="H224" i="37"/>
  <c r="H159" i="37"/>
  <c r="H94" i="37"/>
  <c r="H30" i="37"/>
  <c r="H289" i="37"/>
  <c r="H223" i="37"/>
  <c r="H158" i="37"/>
  <c r="H93" i="37"/>
  <c r="H29" i="37"/>
  <c r="H288" i="37"/>
  <c r="H254" i="37"/>
  <c r="H190" i="37"/>
  <c r="H141" i="37"/>
  <c r="H76" i="37"/>
  <c r="H12" i="37"/>
  <c r="H245" i="37"/>
  <c r="H181" i="37"/>
  <c r="H115" i="37"/>
  <c r="H51" i="37"/>
  <c r="H294" i="37"/>
  <c r="H228" i="37"/>
  <c r="H163" i="37"/>
  <c r="H98" i="37"/>
  <c r="H34" i="37"/>
  <c r="H285" i="37"/>
  <c r="H219" i="37"/>
  <c r="H154" i="37"/>
  <c r="H89" i="37"/>
  <c r="H25" i="37"/>
  <c r="H276" i="37"/>
  <c r="H210" i="37"/>
  <c r="H145" i="37"/>
  <c r="H80" i="37"/>
  <c r="H16" i="37"/>
  <c r="H233" i="37"/>
  <c r="H168" i="37"/>
  <c r="H103" i="37"/>
  <c r="H39" i="37"/>
  <c r="H282" i="37"/>
  <c r="H216" i="37"/>
  <c r="H151" i="37"/>
  <c r="H86" i="37"/>
  <c r="H22" i="37"/>
  <c r="H281" i="37"/>
  <c r="H215" i="37"/>
  <c r="H150" i="37"/>
  <c r="H85" i="37"/>
  <c r="H21" i="37"/>
  <c r="H280" i="37"/>
  <c r="H246" i="37"/>
  <c r="H182" i="37"/>
  <c r="H133" i="37"/>
  <c r="H68" i="37"/>
  <c r="H303" i="37"/>
  <c r="H237" i="37"/>
  <c r="H172" i="37"/>
  <c r="H107" i="37"/>
  <c r="H43" i="37"/>
  <c r="H286" i="37"/>
  <c r="H220" i="37"/>
  <c r="H155" i="37"/>
  <c r="H90" i="37"/>
  <c r="H26" i="37"/>
  <c r="H277" i="37"/>
  <c r="H211" i="37"/>
  <c r="H146" i="37"/>
  <c r="H81" i="37"/>
  <c r="H17" i="37"/>
  <c r="H266" i="37"/>
  <c r="H202" i="37"/>
  <c r="H137" i="37"/>
  <c r="H72" i="37"/>
  <c r="H8" i="37"/>
  <c r="H225" i="37"/>
  <c r="H160" i="37"/>
  <c r="H95" i="37"/>
  <c r="H31" i="37"/>
  <c r="H274" i="37"/>
  <c r="H208" i="37"/>
  <c r="H143" i="37"/>
  <c r="H78" i="37"/>
  <c r="H14" i="37"/>
  <c r="H273" i="37"/>
  <c r="H207" i="37"/>
  <c r="H142" i="37"/>
  <c r="H77" i="37"/>
  <c r="H13" i="37"/>
  <c r="H270" i="37"/>
  <c r="H238" i="37"/>
  <c r="H124" i="37"/>
  <c r="H60" i="37"/>
  <c r="H295" i="37"/>
  <c r="H229" i="37"/>
  <c r="H164" i="37"/>
  <c r="H99" i="37"/>
  <c r="H35" i="37"/>
  <c r="H278" i="37"/>
  <c r="H212" i="37"/>
  <c r="H147" i="37"/>
  <c r="H82" i="37"/>
  <c r="H18" i="37"/>
  <c r="H267" i="37"/>
  <c r="H203" i="37"/>
  <c r="H138" i="37"/>
  <c r="H73" i="37"/>
  <c r="H9" i="37"/>
  <c r="H258" i="37"/>
  <c r="H194" i="37"/>
  <c r="H129" i="37"/>
  <c r="H64" i="37"/>
  <c r="H283" i="37"/>
  <c r="H217" i="37"/>
  <c r="H152" i="37"/>
  <c r="H87" i="37"/>
  <c r="H23" i="37"/>
  <c r="H264" i="37"/>
  <c r="H200" i="37"/>
  <c r="H135" i="37"/>
  <c r="H70" i="37"/>
  <c r="H6" i="37"/>
  <c r="H263" i="37"/>
  <c r="H199" i="37"/>
  <c r="H134" i="37"/>
  <c r="H69" i="37"/>
  <c r="H299" i="37"/>
  <c r="H230" i="37"/>
  <c r="H173" i="37"/>
  <c r="H116" i="37"/>
  <c r="H52" i="37"/>
  <c r="H287" i="37"/>
  <c r="H221" i="37"/>
  <c r="H156" i="37"/>
  <c r="H91" i="37"/>
  <c r="H27" i="37"/>
  <c r="H268" i="37"/>
  <c r="H204" i="37"/>
  <c r="H139" i="37"/>
  <c r="H74" i="37"/>
  <c r="H10" i="37"/>
  <c r="H259" i="37"/>
  <c r="H195" i="37"/>
  <c r="H130" i="37"/>
  <c r="H65" i="37"/>
  <c r="H310" i="37"/>
  <c r="H250" i="37"/>
  <c r="H186" i="37"/>
  <c r="H120" i="37"/>
  <c r="H56" i="37"/>
  <c r="H275" i="37"/>
  <c r="H209" i="37"/>
  <c r="H144" i="37"/>
  <c r="H79" i="37"/>
  <c r="H15" i="37"/>
  <c r="H256" i="37"/>
  <c r="H192" i="37"/>
  <c r="H126" i="37"/>
  <c r="H62" i="37"/>
  <c r="H255" i="37"/>
  <c r="H191" i="37"/>
  <c r="H125" i="37"/>
  <c r="H61" i="37"/>
  <c r="H305" i="37"/>
  <c r="H222" i="37"/>
  <c r="H108" i="37"/>
  <c r="H44" i="37"/>
  <c r="H279" i="37"/>
  <c r="H213" i="37"/>
  <c r="H148" i="37"/>
  <c r="H83" i="37"/>
  <c r="H19" i="37"/>
  <c r="H260" i="37"/>
  <c r="H196" i="37"/>
  <c r="H131" i="37"/>
  <c r="H66" i="37"/>
  <c r="H311" i="37"/>
  <c r="H251" i="37"/>
  <c r="H187" i="37"/>
  <c r="H121" i="37"/>
  <c r="H57" i="37"/>
  <c r="H308" i="37"/>
  <c r="H242" i="37"/>
  <c r="H177" i="37"/>
  <c r="H112" i="37"/>
  <c r="H48" i="37"/>
  <c r="H265" i="37"/>
  <c r="H201" i="37"/>
  <c r="H136" i="37"/>
  <c r="H71" i="37"/>
  <c r="H7" i="37"/>
  <c r="H248" i="37"/>
  <c r="H184" i="37"/>
  <c r="H118" i="37"/>
  <c r="H54" i="37"/>
  <c r="H262" i="37"/>
  <c r="F25" i="33"/>
  <c r="F45" i="33"/>
  <c r="F9" i="33"/>
  <c r="F13" i="33"/>
  <c r="F29" i="33"/>
  <c r="F37" i="33"/>
  <c r="F21" i="33"/>
  <c r="F48" i="33"/>
  <c r="F41" i="33"/>
  <c r="F56" i="33"/>
  <c r="F69" i="33"/>
  <c r="F105" i="33"/>
  <c r="F57" i="33"/>
  <c r="F60" i="33"/>
  <c r="F141" i="33"/>
  <c r="F114" i="33"/>
  <c r="F146" i="33"/>
  <c r="F106" i="33"/>
  <c r="F109" i="33"/>
  <c r="F117" i="33"/>
  <c r="F166" i="33"/>
  <c r="F197" i="33"/>
  <c r="F201" i="33"/>
  <c r="F206" i="33"/>
  <c r="F165" i="33"/>
  <c r="F255" i="33"/>
  <c r="F262" i="33"/>
  <c r="F181" i="33"/>
  <c r="F170" i="33"/>
  <c r="F186" i="33"/>
  <c r="F167" i="33"/>
  <c r="F217" i="33"/>
  <c r="F220" i="33"/>
  <c r="F234" i="33"/>
  <c r="F298" i="33"/>
  <c r="F266" i="33"/>
  <c r="F271" i="33"/>
  <c r="F282" i="33"/>
  <c r="F285" i="33"/>
  <c r="F294" i="33"/>
  <c r="F287" i="33"/>
  <c r="F278" i="33"/>
  <c r="F303" i="33"/>
  <c r="F260" i="33"/>
  <c r="F300" i="33"/>
  <c r="F275" i="33"/>
  <c r="F261" i="33"/>
  <c r="F290" i="33"/>
  <c r="F230" i="33"/>
  <c r="F191" i="33"/>
  <c r="F188" i="33"/>
  <c r="F118" i="33"/>
  <c r="F162" i="33"/>
  <c r="F73" i="33"/>
  <c r="F7" i="33"/>
  <c r="F97" i="33"/>
  <c r="F102" i="33"/>
  <c r="F235" i="33"/>
  <c r="F214" i="33"/>
  <c r="F254" i="33"/>
  <c r="F250" i="33"/>
  <c r="F263" i="33"/>
  <c r="F246" i="33"/>
  <c r="F139" i="33"/>
  <c r="F218" i="33"/>
  <c r="F155" i="33"/>
  <c r="F131" i="33"/>
  <c r="F123" i="33"/>
  <c r="F229" i="33"/>
  <c r="F276" i="33"/>
  <c r="F238" i="33"/>
  <c r="F172" i="33"/>
  <c r="F301" i="33"/>
  <c r="F239" i="33"/>
  <c r="F212" i="33"/>
  <c r="F226" i="33"/>
  <c r="F156" i="33"/>
  <c r="F267" i="33"/>
  <c r="F151" i="33"/>
  <c r="F259" i="33"/>
  <c r="F210" i="33"/>
  <c r="F195" i="33"/>
  <c r="F213" i="33"/>
  <c r="F96" i="33"/>
  <c r="F104" i="33"/>
  <c r="F82" i="33"/>
  <c r="F54" i="33"/>
  <c r="F174" i="33"/>
  <c r="F302" i="33"/>
  <c r="F242" i="33"/>
  <c r="F204" i="33"/>
  <c r="F286" i="33"/>
  <c r="F309" i="33"/>
  <c r="F237" i="33"/>
  <c r="F198" i="33"/>
  <c r="F299" i="33"/>
  <c r="F178" i="33"/>
  <c r="F252" i="33"/>
  <c r="F283" i="33"/>
  <c r="F182" i="33"/>
  <c r="F138" i="33"/>
  <c r="F187" i="33"/>
  <c r="F126" i="33"/>
  <c r="F94" i="33"/>
  <c r="F115" i="33"/>
  <c r="F34" i="33"/>
  <c r="F53" i="33"/>
  <c r="F72" i="33"/>
  <c r="F46" i="33"/>
  <c r="F154" i="33"/>
  <c r="F171" i="33"/>
  <c r="F125" i="33"/>
  <c r="F163" i="33"/>
  <c r="F10" i="33"/>
  <c r="F22" i="33"/>
  <c r="F277" i="33"/>
  <c r="F311" i="33"/>
  <c r="F284" i="33"/>
  <c r="F258" i="33"/>
  <c r="F189" i="33"/>
  <c r="F268" i="33"/>
  <c r="F247" i="33"/>
  <c r="F149" i="33"/>
  <c r="F159" i="33"/>
  <c r="F110" i="33"/>
  <c r="F190" i="33"/>
  <c r="F140" i="33"/>
  <c r="F62" i="33"/>
  <c r="F103" i="33"/>
  <c r="F33" i="33"/>
  <c r="F14" i="33"/>
  <c r="F99" i="33"/>
  <c r="F243" i="33"/>
  <c r="F306" i="33"/>
  <c r="F269" i="33"/>
  <c r="F292" i="33"/>
  <c r="F308" i="33"/>
  <c r="F293" i="33"/>
  <c r="F236" i="33"/>
  <c r="F253" i="33"/>
  <c r="F133" i="33"/>
  <c r="F183" i="33"/>
  <c r="F211" i="33"/>
  <c r="F107" i="33"/>
  <c r="F130" i="33"/>
  <c r="F310" i="33"/>
  <c r="F228" i="33"/>
  <c r="F245" i="33"/>
  <c r="F291" i="33"/>
  <c r="F202" i="33"/>
  <c r="F194" i="33"/>
  <c r="F219" i="33"/>
  <c r="F203" i="33"/>
  <c r="F135" i="33"/>
  <c r="F209" i="33"/>
  <c r="F251" i="33"/>
  <c r="F134" i="33"/>
  <c r="F127" i="33"/>
  <c r="F119" i="33"/>
  <c r="F307" i="33"/>
  <c r="F225" i="33"/>
  <c r="F274" i="33"/>
  <c r="F221" i="33"/>
  <c r="F196" i="33"/>
  <c r="F233" i="33"/>
  <c r="F244" i="33"/>
  <c r="F142" i="33"/>
  <c r="F205" i="33"/>
  <c r="F124" i="33"/>
  <c r="F148" i="33"/>
  <c r="F76" i="33"/>
  <c r="F143" i="33"/>
  <c r="F132" i="33"/>
  <c r="F147" i="33"/>
  <c r="F81" i="33"/>
  <c r="F95" i="33"/>
  <c r="F65" i="33"/>
  <c r="F38" i="33"/>
  <c r="F75" i="33"/>
  <c r="F18" i="33"/>
  <c r="F150" i="33"/>
  <c r="F80" i="33"/>
  <c r="F179" i="33"/>
  <c r="F122" i="33"/>
  <c r="F91" i="33"/>
  <c r="F88" i="33"/>
  <c r="F49" i="33"/>
  <c r="F89" i="33"/>
  <c r="F52" i="33"/>
  <c r="F164" i="33"/>
  <c r="F30" i="33"/>
  <c r="F42" i="33"/>
  <c r="F90" i="33"/>
  <c r="F77" i="33"/>
  <c r="F68" i="33"/>
  <c r="F158" i="33"/>
  <c r="F66" i="33"/>
  <c r="F83" i="33"/>
  <c r="F50" i="33"/>
  <c r="F17" i="33"/>
  <c r="F44" i="33"/>
  <c r="F6" i="33"/>
  <c r="F64" i="33"/>
  <c r="F61" i="33"/>
  <c r="F26" i="33"/>
  <c r="F16" i="33"/>
  <c r="F120" i="33"/>
  <c r="F281" i="33"/>
  <c r="F175" i="33"/>
  <c r="F23" i="33"/>
  <c r="F87" i="33"/>
  <c r="F296" i="33"/>
  <c r="F248" i="33"/>
  <c r="F15" i="33"/>
  <c r="F193" i="33"/>
  <c r="F20" i="33"/>
  <c r="F32" i="33"/>
  <c r="F121" i="33"/>
  <c r="F24" i="33"/>
  <c r="F51" i="33"/>
  <c r="F36" i="33"/>
  <c r="F84" i="33"/>
  <c r="F145" i="33"/>
  <c r="F208" i="33"/>
  <c r="F169" i="33"/>
  <c r="F264" i="33"/>
  <c r="F207" i="33"/>
  <c r="F101" i="33"/>
  <c r="F71" i="33"/>
  <c r="F222" i="33"/>
  <c r="F249" i="33"/>
  <c r="F177" i="33"/>
  <c r="F224" i="33"/>
  <c r="F40" i="33"/>
  <c r="F35" i="33"/>
  <c r="F92" i="33"/>
  <c r="F67" i="33"/>
  <c r="F11" i="33"/>
  <c r="F111" i="33"/>
  <c r="F215" i="33"/>
  <c r="F295" i="33"/>
  <c r="F227" i="33"/>
  <c r="F173" i="33"/>
  <c r="F288" i="33"/>
  <c r="F128" i="33"/>
  <c r="F85" i="33"/>
  <c r="F231" i="33"/>
  <c r="F273" i="33"/>
  <c r="F153" i="33"/>
  <c r="F200" i="33"/>
  <c r="F241" i="33"/>
  <c r="F304" i="33"/>
  <c r="F112" i="33"/>
  <c r="F93" i="33"/>
  <c r="F58" i="33"/>
  <c r="F108" i="33"/>
  <c r="F100" i="33"/>
  <c r="F232" i="33"/>
  <c r="F265" i="33"/>
  <c r="F43" i="33"/>
  <c r="F113" i="33"/>
  <c r="F39" i="33"/>
  <c r="F180" i="33"/>
  <c r="F305" i="33"/>
  <c r="F199" i="33"/>
  <c r="F8" i="33"/>
  <c r="F176" i="33"/>
  <c r="F98" i="33"/>
  <c r="F70" i="33"/>
  <c r="F79" i="33"/>
  <c r="F144" i="33"/>
  <c r="F161" i="33"/>
  <c r="F74" i="33"/>
  <c r="F31" i="33"/>
  <c r="F272" i="33"/>
  <c r="F216" i="33"/>
  <c r="F223" i="33"/>
  <c r="F312" i="33"/>
  <c r="F86" i="33"/>
  <c r="F152" i="33"/>
  <c r="F270" i="33"/>
  <c r="F240" i="33"/>
  <c r="F279" i="33"/>
  <c r="F78" i="33"/>
  <c r="F185" i="33"/>
  <c r="F313" i="33"/>
  <c r="F59" i="33"/>
  <c r="F63" i="33"/>
  <c r="F47" i="33"/>
  <c r="F55" i="33"/>
  <c r="F12" i="33"/>
  <c r="F116" i="33"/>
  <c r="F129" i="33"/>
  <c r="F257" i="33"/>
  <c r="F28" i="33"/>
  <c r="F256" i="33"/>
  <c r="F137" i="33"/>
  <c r="F160" i="33"/>
  <c r="F168" i="33"/>
  <c r="F184" i="33"/>
  <c r="F289" i="33"/>
  <c r="F280" i="33"/>
  <c r="F297" i="33"/>
  <c r="F27" i="33"/>
  <c r="F19" i="33"/>
  <c r="F157" i="33"/>
  <c r="F136" i="33"/>
  <c r="F192" i="33"/>
  <c r="B50" i="40"/>
  <c r="P5" i="13" s="1"/>
  <c r="L315" i="49"/>
  <c r="H2" i="33"/>
  <c r="G2" i="33"/>
  <c r="H314" i="37"/>
  <c r="J2" i="33"/>
  <c r="H5" i="37"/>
  <c r="F5" i="33"/>
  <c r="I2" i="33"/>
  <c r="J9" i="33" l="1"/>
  <c r="J21" i="33"/>
  <c r="J37" i="33"/>
  <c r="J13" i="33"/>
  <c r="J29" i="33"/>
  <c r="J25" i="33"/>
  <c r="J17" i="33"/>
  <c r="J33" i="33"/>
  <c r="J41" i="33"/>
  <c r="J44" i="33"/>
  <c r="J68" i="33"/>
  <c r="J45" i="33"/>
  <c r="J56" i="33"/>
  <c r="J117" i="33"/>
  <c r="J48" i="33"/>
  <c r="J142" i="33"/>
  <c r="J187" i="33"/>
  <c r="J149" i="33"/>
  <c r="J154" i="33"/>
  <c r="J114" i="33"/>
  <c r="J132" i="33"/>
  <c r="J141" i="33"/>
  <c r="J155" i="33"/>
  <c r="J95" i="33"/>
  <c r="J106" i="33"/>
  <c r="J123" i="33"/>
  <c r="J140" i="33"/>
  <c r="J146" i="33"/>
  <c r="J158" i="33"/>
  <c r="J126" i="33"/>
  <c r="J130" i="33"/>
  <c r="J105" i="33"/>
  <c r="J179" i="33"/>
  <c r="J181" i="33"/>
  <c r="J186" i="33"/>
  <c r="J220" i="33"/>
  <c r="J162" i="33"/>
  <c r="J190" i="33"/>
  <c r="J261" i="33"/>
  <c r="J205" i="33"/>
  <c r="J251" i="33"/>
  <c r="J283" i="33"/>
  <c r="J262" i="33"/>
  <c r="J164" i="33"/>
  <c r="J195" i="33"/>
  <c r="J196" i="33"/>
  <c r="J210" i="33"/>
  <c r="J233" i="33"/>
  <c r="J252" i="33"/>
  <c r="J245" i="33"/>
  <c r="J277" i="33"/>
  <c r="J298" i="33"/>
  <c r="J266" i="33"/>
  <c r="J294" i="33"/>
  <c r="J293" i="33"/>
  <c r="J300" i="33"/>
  <c r="J309" i="33"/>
  <c r="J275" i="33"/>
  <c r="J284" i="33"/>
  <c r="J243" i="33"/>
  <c r="J274" i="33"/>
  <c r="J254" i="33"/>
  <c r="J268" i="33"/>
  <c r="J263" i="33"/>
  <c r="J253" i="33"/>
  <c r="J182" i="33"/>
  <c r="J203" i="33"/>
  <c r="J170" i="33"/>
  <c r="J230" i="33"/>
  <c r="J202" i="33"/>
  <c r="J97" i="33"/>
  <c r="J90" i="33"/>
  <c r="J80" i="33"/>
  <c r="J211" i="33"/>
  <c r="J290" i="33"/>
  <c r="J206" i="33"/>
  <c r="J198" i="33"/>
  <c r="J163" i="33"/>
  <c r="J151" i="33"/>
  <c r="J229" i="33"/>
  <c r="J124" i="33"/>
  <c r="J88" i="33"/>
  <c r="J286" i="33"/>
  <c r="J282" i="33"/>
  <c r="J166" i="33"/>
  <c r="J188" i="33"/>
  <c r="J228" i="33"/>
  <c r="J191" i="33"/>
  <c r="J307" i="33"/>
  <c r="J311" i="33"/>
  <c r="J310" i="33"/>
  <c r="J258" i="33"/>
  <c r="J247" i="33"/>
  <c r="J244" i="33"/>
  <c r="J212" i="33"/>
  <c r="J299" i="33"/>
  <c r="J218" i="33"/>
  <c r="J135" i="33"/>
  <c r="J159" i="33"/>
  <c r="J226" i="33"/>
  <c r="J165" i="33"/>
  <c r="J234" i="33"/>
  <c r="J107" i="33"/>
  <c r="J131" i="33"/>
  <c r="J54" i="33"/>
  <c r="J75" i="33"/>
  <c r="J72" i="33"/>
  <c r="J10" i="33"/>
  <c r="J178" i="33"/>
  <c r="J138" i="33"/>
  <c r="J122" i="33"/>
  <c r="J99" i="33"/>
  <c r="J76" i="33"/>
  <c r="J103" i="33"/>
  <c r="J7" i="33"/>
  <c r="J46" i="33"/>
  <c r="J66" i="33"/>
  <c r="J62" i="33"/>
  <c r="J291" i="33"/>
  <c r="J260" i="33"/>
  <c r="J235" i="33"/>
  <c r="J174" i="33"/>
  <c r="J302" i="33"/>
  <c r="J271" i="33"/>
  <c r="J197" i="33"/>
  <c r="J194" i="33"/>
  <c r="J139" i="33"/>
  <c r="J239" i="33"/>
  <c r="J183" i="33"/>
  <c r="J156" i="33"/>
  <c r="J209" i="33"/>
  <c r="J255" i="33"/>
  <c r="J267" i="33"/>
  <c r="J119" i="33"/>
  <c r="J83" i="33"/>
  <c r="J50" i="33"/>
  <c r="J26" i="33"/>
  <c r="J118" i="33"/>
  <c r="J127" i="33"/>
  <c r="J42" i="33"/>
  <c r="J276" i="33"/>
  <c r="J204" i="33"/>
  <c r="J238" i="33"/>
  <c r="J278" i="33"/>
  <c r="J189" i="33"/>
  <c r="J285" i="33"/>
  <c r="J213" i="33"/>
  <c r="J250" i="33"/>
  <c r="J201" i="33"/>
  <c r="J110" i="33"/>
  <c r="J77" i="33"/>
  <c r="J301" i="33"/>
  <c r="J306" i="33"/>
  <c r="J242" i="33"/>
  <c r="J172" i="33"/>
  <c r="J237" i="33"/>
  <c r="J219" i="33"/>
  <c r="J109" i="33"/>
  <c r="J217" i="33"/>
  <c r="J167" i="33"/>
  <c r="J246" i="33"/>
  <c r="J171" i="33"/>
  <c r="J125" i="33"/>
  <c r="J96" i="33"/>
  <c r="J143" i="33"/>
  <c r="J104" i="33"/>
  <c r="J82" i="33"/>
  <c r="J150" i="33"/>
  <c r="J303" i="33"/>
  <c r="J269" i="33"/>
  <c r="J214" i="33"/>
  <c r="J292" i="33"/>
  <c r="J308" i="33"/>
  <c r="J259" i="33"/>
  <c r="J236" i="33"/>
  <c r="J134" i="33"/>
  <c r="J61" i="33"/>
  <c r="J30" i="33"/>
  <c r="J287" i="33"/>
  <c r="J225" i="33"/>
  <c r="J147" i="33"/>
  <c r="J102" i="33"/>
  <c r="J65" i="33"/>
  <c r="J221" i="33"/>
  <c r="J133" i="33"/>
  <c r="J53" i="33"/>
  <c r="J69" i="33"/>
  <c r="J73" i="33"/>
  <c r="J49" i="33"/>
  <c r="J60" i="33"/>
  <c r="J18" i="33"/>
  <c r="J148" i="33"/>
  <c r="J94" i="33"/>
  <c r="J81" i="33"/>
  <c r="J57" i="33"/>
  <c r="J115" i="33"/>
  <c r="J89" i="33"/>
  <c r="J52" i="33"/>
  <c r="J14" i="33"/>
  <c r="J91" i="33"/>
  <c r="J38" i="33"/>
  <c r="J34" i="33"/>
  <c r="J64" i="33"/>
  <c r="J22" i="33"/>
  <c r="J6" i="33"/>
  <c r="J32" i="33"/>
  <c r="J92" i="33"/>
  <c r="J27" i="33"/>
  <c r="J67" i="33"/>
  <c r="J74" i="33"/>
  <c r="J87" i="33"/>
  <c r="J19" i="33"/>
  <c r="J313" i="33"/>
  <c r="J47" i="33"/>
  <c r="J129" i="33"/>
  <c r="J264" i="33"/>
  <c r="J85" i="33"/>
  <c r="J231" i="33"/>
  <c r="J304" i="33"/>
  <c r="J43" i="33"/>
  <c r="J24" i="33"/>
  <c r="J177" i="33"/>
  <c r="J40" i="33"/>
  <c r="J35" i="33"/>
  <c r="J20" i="33"/>
  <c r="J144" i="33"/>
  <c r="J63" i="33"/>
  <c r="J176" i="33"/>
  <c r="J11" i="33"/>
  <c r="J111" i="33"/>
  <c r="J215" i="33"/>
  <c r="J295" i="33"/>
  <c r="J157" i="33"/>
  <c r="J173" i="33"/>
  <c r="J288" i="33"/>
  <c r="J70" i="33"/>
  <c r="J152" i="33"/>
  <c r="J153" i="33"/>
  <c r="J240" i="33"/>
  <c r="J193" i="33"/>
  <c r="J297" i="33"/>
  <c r="J279" i="33"/>
  <c r="J51" i="33"/>
  <c r="J23" i="33"/>
  <c r="J36" i="33"/>
  <c r="J58" i="33"/>
  <c r="J116" i="33"/>
  <c r="J84" i="33"/>
  <c r="J199" i="33"/>
  <c r="J281" i="33"/>
  <c r="J312" i="33"/>
  <c r="J15" i="33"/>
  <c r="J100" i="33"/>
  <c r="J265" i="33"/>
  <c r="J78" i="33"/>
  <c r="J120" i="33"/>
  <c r="J145" i="33"/>
  <c r="J272" i="33"/>
  <c r="J305" i="33"/>
  <c r="J208" i="33"/>
  <c r="J137" i="33"/>
  <c r="J227" i="33"/>
  <c r="J175" i="33"/>
  <c r="J273" i="33"/>
  <c r="J8" i="33"/>
  <c r="J98" i="33"/>
  <c r="J223" i="33"/>
  <c r="J184" i="33"/>
  <c r="J224" i="33"/>
  <c r="J93" i="33"/>
  <c r="J86" i="33"/>
  <c r="J248" i="33"/>
  <c r="J249" i="33"/>
  <c r="J200" i="33"/>
  <c r="J79" i="33"/>
  <c r="J59" i="33"/>
  <c r="J55" i="33"/>
  <c r="J160" i="33"/>
  <c r="J257" i="33"/>
  <c r="J161" i="33"/>
  <c r="J296" i="33"/>
  <c r="J207" i="33"/>
  <c r="J256" i="33"/>
  <c r="J192" i="33"/>
  <c r="J241" i="33"/>
  <c r="J16" i="33"/>
  <c r="J113" i="33"/>
  <c r="J39" i="33"/>
  <c r="J216" i="33"/>
  <c r="J168" i="33"/>
  <c r="J71" i="33"/>
  <c r="J232" i="33"/>
  <c r="J270" i="33"/>
  <c r="J289" i="33"/>
  <c r="J280" i="33"/>
  <c r="J12" i="33"/>
  <c r="J31" i="33"/>
  <c r="J180" i="33"/>
  <c r="J128" i="33"/>
  <c r="J28" i="33"/>
  <c r="J108" i="33"/>
  <c r="J222" i="33"/>
  <c r="J121" i="33"/>
  <c r="J136" i="33"/>
  <c r="J185" i="33"/>
  <c r="J112" i="33"/>
  <c r="J169" i="33"/>
  <c r="J101" i="33"/>
  <c r="G46" i="33"/>
  <c r="G50" i="33"/>
  <c r="G56" i="33"/>
  <c r="G44" i="33"/>
  <c r="G64" i="33"/>
  <c r="G75" i="33"/>
  <c r="G115" i="33"/>
  <c r="G149" i="33"/>
  <c r="G123" i="33"/>
  <c r="G147" i="33"/>
  <c r="G162" i="33"/>
  <c r="G140" i="33"/>
  <c r="G130" i="33"/>
  <c r="G105" i="33"/>
  <c r="G117" i="33"/>
  <c r="G181" i="33"/>
  <c r="G186" i="33"/>
  <c r="G283" i="33"/>
  <c r="G187" i="33"/>
  <c r="G251" i="33"/>
  <c r="G179" i="33"/>
  <c r="G163" i="33"/>
  <c r="G217" i="33"/>
  <c r="G220" i="33"/>
  <c r="G306" i="33"/>
  <c r="G308" i="33"/>
  <c r="G292" i="33"/>
  <c r="G267" i="33"/>
  <c r="G299" i="33"/>
  <c r="G274" i="33"/>
  <c r="G252" i="33"/>
  <c r="G286" i="33"/>
  <c r="G310" i="33"/>
  <c r="G206" i="33"/>
  <c r="G198" i="33"/>
  <c r="G246" i="33"/>
  <c r="G229" i="33"/>
  <c r="G122" i="33"/>
  <c r="G245" i="33"/>
  <c r="G151" i="33"/>
  <c r="G68" i="33"/>
  <c r="G13" i="33"/>
  <c r="G110" i="33"/>
  <c r="G90" i="33"/>
  <c r="G269" i="33"/>
  <c r="G307" i="33"/>
  <c r="G243" i="33"/>
  <c r="G174" i="33"/>
  <c r="G238" i="33"/>
  <c r="G210" i="33"/>
  <c r="G258" i="33"/>
  <c r="G203" i="33"/>
  <c r="G226" i="33"/>
  <c r="G244" i="33"/>
  <c r="G212" i="33"/>
  <c r="G166" i="33"/>
  <c r="G138" i="33"/>
  <c r="G170" i="33"/>
  <c r="G191" i="33"/>
  <c r="G126" i="33"/>
  <c r="G132" i="33"/>
  <c r="G260" i="33"/>
  <c r="G302" i="33"/>
  <c r="G311" i="33"/>
  <c r="G290" i="33"/>
  <c r="G247" i="33"/>
  <c r="G139" i="33"/>
  <c r="G218" i="33"/>
  <c r="G234" i="33"/>
  <c r="G178" i="33"/>
  <c r="G135" i="33"/>
  <c r="G159" i="33"/>
  <c r="G236" i="33"/>
  <c r="G107" i="33"/>
  <c r="G133" i="33"/>
  <c r="G285" i="33"/>
  <c r="G300" i="33"/>
  <c r="G275" i="33"/>
  <c r="G282" i="33"/>
  <c r="G271" i="33"/>
  <c r="G197" i="33"/>
  <c r="G188" i="33"/>
  <c r="G239" i="33"/>
  <c r="G225" i="33"/>
  <c r="G183" i="33"/>
  <c r="G233" i="33"/>
  <c r="G266" i="33"/>
  <c r="G255" i="33"/>
  <c r="G190" i="33"/>
  <c r="G141" i="33"/>
  <c r="G164" i="33"/>
  <c r="G119" i="33"/>
  <c r="G146" i="33"/>
  <c r="G81" i="33"/>
  <c r="G99" i="33"/>
  <c r="G73" i="33"/>
  <c r="G26" i="33"/>
  <c r="G25" i="33"/>
  <c r="G6" i="33"/>
  <c r="G195" i="33"/>
  <c r="G96" i="33"/>
  <c r="G127" i="33"/>
  <c r="G54" i="33"/>
  <c r="G154" i="33"/>
  <c r="G114" i="33"/>
  <c r="G94" i="33"/>
  <c r="G103" i="33"/>
  <c r="G52" i="33"/>
  <c r="G45" i="33"/>
  <c r="G9" i="33"/>
  <c r="G104" i="33"/>
  <c r="G276" i="33"/>
  <c r="G242" i="33"/>
  <c r="G301" i="33"/>
  <c r="G278" i="33"/>
  <c r="G309" i="33"/>
  <c r="G237" i="33"/>
  <c r="G219" i="33"/>
  <c r="G294" i="33"/>
  <c r="G250" i="33"/>
  <c r="G213" i="33"/>
  <c r="G221" i="33"/>
  <c r="G82" i="33"/>
  <c r="G77" i="33"/>
  <c r="G171" i="33"/>
  <c r="G235" i="33"/>
  <c r="G277" i="33"/>
  <c r="G172" i="33"/>
  <c r="G254" i="33"/>
  <c r="G182" i="33"/>
  <c r="G156" i="33"/>
  <c r="G196" i="33"/>
  <c r="G167" i="33"/>
  <c r="G148" i="33"/>
  <c r="G209" i="33"/>
  <c r="G261" i="33"/>
  <c r="G150" i="33"/>
  <c r="G134" i="33"/>
  <c r="G125" i="33"/>
  <c r="G143" i="33"/>
  <c r="G91" i="33"/>
  <c r="G303" i="33"/>
  <c r="G298" i="33"/>
  <c r="G204" i="33"/>
  <c r="G284" i="33"/>
  <c r="G214" i="33"/>
  <c r="G293" i="33"/>
  <c r="G189" i="33"/>
  <c r="G268" i="33"/>
  <c r="G253" i="33"/>
  <c r="G124" i="33"/>
  <c r="G228" i="33"/>
  <c r="G201" i="33"/>
  <c r="G205" i="33"/>
  <c r="G259" i="33"/>
  <c r="G291" i="33"/>
  <c r="G263" i="33"/>
  <c r="G202" i="33"/>
  <c r="G194" i="33"/>
  <c r="G230" i="33"/>
  <c r="G155" i="33"/>
  <c r="G131" i="33"/>
  <c r="G211" i="33"/>
  <c r="G287" i="33"/>
  <c r="G142" i="33"/>
  <c r="G118" i="33"/>
  <c r="G66" i="33"/>
  <c r="G57" i="33"/>
  <c r="G62" i="33"/>
  <c r="G53" i="33"/>
  <c r="G80" i="33"/>
  <c r="G41" i="33"/>
  <c r="G262" i="33"/>
  <c r="G165" i="33"/>
  <c r="G72" i="33"/>
  <c r="G38" i="33"/>
  <c r="G158" i="33"/>
  <c r="G109" i="33"/>
  <c r="G42" i="33"/>
  <c r="G34" i="33"/>
  <c r="G65" i="33"/>
  <c r="G106" i="33"/>
  <c r="G95" i="33"/>
  <c r="G88" i="33"/>
  <c r="G30" i="33"/>
  <c r="G97" i="33"/>
  <c r="G49" i="33"/>
  <c r="G18" i="33"/>
  <c r="G29" i="33"/>
  <c r="G83" i="33"/>
  <c r="G10" i="33"/>
  <c r="G14" i="33"/>
  <c r="G76" i="33"/>
  <c r="G48" i="33"/>
  <c r="G60" i="33"/>
  <c r="G37" i="33"/>
  <c r="G33" i="33"/>
  <c r="G61" i="33"/>
  <c r="G89" i="33"/>
  <c r="G22" i="33"/>
  <c r="G21" i="33"/>
  <c r="G102" i="33"/>
  <c r="G69" i="33"/>
  <c r="G7" i="33"/>
  <c r="G17" i="33"/>
  <c r="G43" i="33"/>
  <c r="G207" i="33"/>
  <c r="G101" i="33"/>
  <c r="G85" i="33"/>
  <c r="G256" i="33"/>
  <c r="G177" i="33"/>
  <c r="G92" i="33"/>
  <c r="G160" i="33"/>
  <c r="G281" i="33"/>
  <c r="G28" i="33"/>
  <c r="G16" i="33"/>
  <c r="G63" i="33"/>
  <c r="G39" i="33"/>
  <c r="G32" i="33"/>
  <c r="G74" i="33"/>
  <c r="G87" i="33"/>
  <c r="G31" i="33"/>
  <c r="G98" i="33"/>
  <c r="G116" i="33"/>
  <c r="G168" i="33"/>
  <c r="G296" i="33"/>
  <c r="G231" i="33"/>
  <c r="G121" i="33"/>
  <c r="G136" i="33"/>
  <c r="G192" i="33"/>
  <c r="G304" i="33"/>
  <c r="G270" i="33"/>
  <c r="G20" i="33"/>
  <c r="G112" i="33"/>
  <c r="G24" i="33"/>
  <c r="G27" i="33"/>
  <c r="G176" i="33"/>
  <c r="G157" i="33"/>
  <c r="G264" i="33"/>
  <c r="G70" i="33"/>
  <c r="G152" i="33"/>
  <c r="G232" i="33"/>
  <c r="G249" i="33"/>
  <c r="G240" i="33"/>
  <c r="G193" i="33"/>
  <c r="G280" i="33"/>
  <c r="G36" i="33"/>
  <c r="G19" i="33"/>
  <c r="G288" i="33"/>
  <c r="G128" i="33"/>
  <c r="G175" i="33"/>
  <c r="G279" i="33"/>
  <c r="G241" i="33"/>
  <c r="G120" i="33"/>
  <c r="G223" i="33"/>
  <c r="G15" i="33"/>
  <c r="G40" i="33"/>
  <c r="G144" i="33"/>
  <c r="G51" i="33"/>
  <c r="G113" i="33"/>
  <c r="G200" i="33"/>
  <c r="G23" i="33"/>
  <c r="G215" i="33"/>
  <c r="G216" i="33"/>
  <c r="G208" i="33"/>
  <c r="G35" i="33"/>
  <c r="G59" i="33"/>
  <c r="G11" i="33"/>
  <c r="G199" i="33"/>
  <c r="G93" i="33"/>
  <c r="G47" i="33"/>
  <c r="G137" i="33"/>
  <c r="G305" i="33"/>
  <c r="G227" i="33"/>
  <c r="G248" i="33"/>
  <c r="G100" i="33"/>
  <c r="G273" i="33"/>
  <c r="G184" i="33"/>
  <c r="G224" i="33"/>
  <c r="G313" i="33"/>
  <c r="G153" i="33"/>
  <c r="G289" i="33"/>
  <c r="G79" i="33"/>
  <c r="G8" i="33"/>
  <c r="G58" i="33"/>
  <c r="G180" i="33"/>
  <c r="G272" i="33"/>
  <c r="G161" i="33"/>
  <c r="G312" i="33"/>
  <c r="G108" i="33"/>
  <c r="G86" i="33"/>
  <c r="G222" i="33"/>
  <c r="G185" i="33"/>
  <c r="G78" i="33"/>
  <c r="G297" i="33"/>
  <c r="G55" i="33"/>
  <c r="G129" i="33"/>
  <c r="G257" i="33"/>
  <c r="G169" i="33"/>
  <c r="G71" i="33"/>
  <c r="G67" i="33"/>
  <c r="G12" i="33"/>
  <c r="G111" i="33"/>
  <c r="G84" i="33"/>
  <c r="G145" i="33"/>
  <c r="G295" i="33"/>
  <c r="G173" i="33"/>
  <c r="G265" i="33"/>
  <c r="H14" i="33"/>
  <c r="H30" i="33"/>
  <c r="H45" i="33"/>
  <c r="H46" i="33"/>
  <c r="H68" i="33"/>
  <c r="H69" i="33"/>
  <c r="H75" i="33"/>
  <c r="H77" i="33"/>
  <c r="H141" i="33"/>
  <c r="H158" i="33"/>
  <c r="H119" i="33"/>
  <c r="H109" i="33"/>
  <c r="H126" i="33"/>
  <c r="H103" i="33"/>
  <c r="H187" i="33"/>
  <c r="H206" i="33"/>
  <c r="H211" i="33"/>
  <c r="H251" i="33"/>
  <c r="H165" i="33"/>
  <c r="H164" i="33"/>
  <c r="H245" i="33"/>
  <c r="H234" i="33"/>
  <c r="H267" i="33"/>
  <c r="H163" i="33"/>
  <c r="H302" i="33"/>
  <c r="H276" i="33"/>
  <c r="H309" i="33"/>
  <c r="H308" i="33"/>
  <c r="H277" i="33"/>
  <c r="H283" i="33"/>
  <c r="H299" i="33"/>
  <c r="H307" i="33"/>
  <c r="H303" i="33"/>
  <c r="H218" i="33"/>
  <c r="H214" i="33"/>
  <c r="H287" i="33"/>
  <c r="H258" i="33"/>
  <c r="H291" i="33"/>
  <c r="H212" i="33"/>
  <c r="H143" i="33"/>
  <c r="H219" i="33"/>
  <c r="H118" i="33"/>
  <c r="H124" i="33"/>
  <c r="H95" i="33"/>
  <c r="H21" i="33"/>
  <c r="H89" i="33"/>
  <c r="H147" i="33"/>
  <c r="H91" i="33"/>
  <c r="H255" i="33"/>
  <c r="H275" i="33"/>
  <c r="H286" i="33"/>
  <c r="H310" i="33"/>
  <c r="H282" i="33"/>
  <c r="H266" i="33"/>
  <c r="H228" i="33"/>
  <c r="H178" i="33"/>
  <c r="H107" i="33"/>
  <c r="H196" i="33"/>
  <c r="H190" i="33"/>
  <c r="H148" i="33"/>
  <c r="H66" i="33"/>
  <c r="H292" i="33"/>
  <c r="H174" i="33"/>
  <c r="H242" i="33"/>
  <c r="H300" i="33"/>
  <c r="H220" i="33"/>
  <c r="H244" i="33"/>
  <c r="H263" i="33"/>
  <c r="H261" i="33"/>
  <c r="H239" i="33"/>
  <c r="H203" i="33"/>
  <c r="H198" i="33"/>
  <c r="H225" i="33"/>
  <c r="H110" i="33"/>
  <c r="H154" i="33"/>
  <c r="H138" i="33"/>
  <c r="H131" i="33"/>
  <c r="H132" i="33"/>
  <c r="H260" i="33"/>
  <c r="H202" i="33"/>
  <c r="H235" i="33"/>
  <c r="H238" i="33"/>
  <c r="H166" i="33"/>
  <c r="H226" i="33"/>
  <c r="H139" i="33"/>
  <c r="H210" i="33"/>
  <c r="H259" i="33"/>
  <c r="H151" i="33"/>
  <c r="H130" i="33"/>
  <c r="H191" i="33"/>
  <c r="H155" i="33"/>
  <c r="H114" i="33"/>
  <c r="H106" i="33"/>
  <c r="H64" i="33"/>
  <c r="H76" i="33"/>
  <c r="H33" i="33"/>
  <c r="H9" i="33"/>
  <c r="H230" i="33"/>
  <c r="H186" i="33"/>
  <c r="H104" i="33"/>
  <c r="H34" i="33"/>
  <c r="H96" i="33"/>
  <c r="H150" i="33"/>
  <c r="H105" i="33"/>
  <c r="H306" i="33"/>
  <c r="H204" i="33"/>
  <c r="H172" i="33"/>
  <c r="H293" i="33"/>
  <c r="H188" i="33"/>
  <c r="H135" i="33"/>
  <c r="H252" i="33"/>
  <c r="H209" i="33"/>
  <c r="H213" i="33"/>
  <c r="H201" i="33"/>
  <c r="H48" i="33"/>
  <c r="H25" i="33"/>
  <c r="H6" i="33"/>
  <c r="H37" i="33"/>
  <c r="H82" i="33"/>
  <c r="H311" i="33"/>
  <c r="H301" i="33"/>
  <c r="H298" i="33"/>
  <c r="H237" i="33"/>
  <c r="H247" i="33"/>
  <c r="H271" i="33"/>
  <c r="H197" i="33"/>
  <c r="H194" i="33"/>
  <c r="H221" i="33"/>
  <c r="H159" i="33"/>
  <c r="H229" i="33"/>
  <c r="H115" i="33"/>
  <c r="H149" i="33"/>
  <c r="H243" i="33"/>
  <c r="H262" i="33"/>
  <c r="H274" i="33"/>
  <c r="H269" i="33"/>
  <c r="H278" i="33"/>
  <c r="H254" i="33"/>
  <c r="H285" i="33"/>
  <c r="H236" i="33"/>
  <c r="H183" i="33"/>
  <c r="H156" i="33"/>
  <c r="H134" i="33"/>
  <c r="H233" i="33"/>
  <c r="H117" i="33"/>
  <c r="H54" i="33"/>
  <c r="H284" i="33"/>
  <c r="H290" i="33"/>
  <c r="H189" i="33"/>
  <c r="H268" i="33"/>
  <c r="H195" i="33"/>
  <c r="H253" i="33"/>
  <c r="H246" i="33"/>
  <c r="H182" i="33"/>
  <c r="H250" i="33"/>
  <c r="H167" i="33"/>
  <c r="H125" i="33"/>
  <c r="H294" i="33"/>
  <c r="H170" i="33"/>
  <c r="H127" i="33"/>
  <c r="H171" i="33"/>
  <c r="H181" i="33"/>
  <c r="H122" i="33"/>
  <c r="H217" i="33"/>
  <c r="H162" i="33"/>
  <c r="H133" i="33"/>
  <c r="H97" i="33"/>
  <c r="H42" i="33"/>
  <c r="H88" i="33"/>
  <c r="H83" i="33"/>
  <c r="H52" i="33"/>
  <c r="H26" i="33"/>
  <c r="H17" i="33"/>
  <c r="H13" i="33"/>
  <c r="H142" i="33"/>
  <c r="H205" i="33"/>
  <c r="H57" i="33"/>
  <c r="H61" i="33"/>
  <c r="H60" i="33"/>
  <c r="H44" i="33"/>
  <c r="H41" i="33"/>
  <c r="H56" i="33"/>
  <c r="H29" i="33"/>
  <c r="H179" i="33"/>
  <c r="H81" i="33"/>
  <c r="H73" i="33"/>
  <c r="H102" i="33"/>
  <c r="H7" i="33"/>
  <c r="H90" i="33"/>
  <c r="H80" i="33"/>
  <c r="H94" i="33"/>
  <c r="H18" i="33"/>
  <c r="H65" i="33"/>
  <c r="H146" i="33"/>
  <c r="H50" i="33"/>
  <c r="H10" i="33"/>
  <c r="H140" i="33"/>
  <c r="H62" i="33"/>
  <c r="H22" i="33"/>
  <c r="H49" i="33"/>
  <c r="H123" i="33"/>
  <c r="H72" i="33"/>
  <c r="H38" i="33"/>
  <c r="H99" i="33"/>
  <c r="H53" i="33"/>
  <c r="H24" i="33"/>
  <c r="H59" i="33"/>
  <c r="H270" i="33"/>
  <c r="H193" i="33"/>
  <c r="H31" i="33"/>
  <c r="H116" i="33"/>
  <c r="H256" i="33"/>
  <c r="H200" i="33"/>
  <c r="H40" i="33"/>
  <c r="H180" i="33"/>
  <c r="H208" i="33"/>
  <c r="H128" i="33"/>
  <c r="H92" i="33"/>
  <c r="H67" i="33"/>
  <c r="H305" i="33"/>
  <c r="H85" i="33"/>
  <c r="H273" i="33"/>
  <c r="H241" i="33"/>
  <c r="H93" i="33"/>
  <c r="H113" i="33"/>
  <c r="H19" i="33"/>
  <c r="H216" i="33"/>
  <c r="H168" i="33"/>
  <c r="H222" i="33"/>
  <c r="H224" i="33"/>
  <c r="H176" i="33"/>
  <c r="H23" i="33"/>
  <c r="H137" i="33"/>
  <c r="H84" i="33"/>
  <c r="H173" i="33"/>
  <c r="H264" i="33"/>
  <c r="H152" i="33"/>
  <c r="H78" i="33"/>
  <c r="H304" i="33"/>
  <c r="H185" i="33"/>
  <c r="H79" i="33"/>
  <c r="H27" i="33"/>
  <c r="H295" i="33"/>
  <c r="H157" i="33"/>
  <c r="H161" i="33"/>
  <c r="H312" i="33"/>
  <c r="H15" i="33"/>
  <c r="H231" i="33"/>
  <c r="H136" i="33"/>
  <c r="H240" i="33"/>
  <c r="H313" i="33"/>
  <c r="H12" i="33"/>
  <c r="H111" i="33"/>
  <c r="H257" i="33"/>
  <c r="H289" i="33"/>
  <c r="H112" i="33"/>
  <c r="H51" i="33"/>
  <c r="H55" i="33"/>
  <c r="H272" i="33"/>
  <c r="H28" i="33"/>
  <c r="H232" i="33"/>
  <c r="H16" i="33"/>
  <c r="H35" i="33"/>
  <c r="H8" i="33"/>
  <c r="H144" i="33"/>
  <c r="H11" i="33"/>
  <c r="H58" i="33"/>
  <c r="H98" i="33"/>
  <c r="H120" i="33"/>
  <c r="H199" i="33"/>
  <c r="H215" i="33"/>
  <c r="H129" i="33"/>
  <c r="H288" i="33"/>
  <c r="H70" i="33"/>
  <c r="H108" i="33"/>
  <c r="H71" i="33"/>
  <c r="H121" i="33"/>
  <c r="H297" i="33"/>
  <c r="H20" i="33"/>
  <c r="H32" i="33"/>
  <c r="H43" i="33"/>
  <c r="H87" i="33"/>
  <c r="H160" i="33"/>
  <c r="H281" i="33"/>
  <c r="H296" i="33"/>
  <c r="H227" i="33"/>
  <c r="H248" i="33"/>
  <c r="H169" i="33"/>
  <c r="H223" i="33"/>
  <c r="H207" i="33"/>
  <c r="H101" i="33"/>
  <c r="H100" i="33"/>
  <c r="H175" i="33"/>
  <c r="H153" i="33"/>
  <c r="H184" i="33"/>
  <c r="H177" i="33"/>
  <c r="H279" i="33"/>
  <c r="H192" i="33"/>
  <c r="H63" i="33"/>
  <c r="H47" i="33"/>
  <c r="H36" i="33"/>
  <c r="H39" i="33"/>
  <c r="H145" i="33"/>
  <c r="H86" i="33"/>
  <c r="H265" i="33"/>
  <c r="H74" i="33"/>
  <c r="H249" i="33"/>
  <c r="H280" i="33"/>
  <c r="I17" i="33"/>
  <c r="I21" i="33"/>
  <c r="I14" i="33"/>
  <c r="I30" i="33"/>
  <c r="I13" i="33"/>
  <c r="I29" i="33"/>
  <c r="I37" i="33"/>
  <c r="I33" i="33"/>
  <c r="I38" i="33"/>
  <c r="I45" i="33"/>
  <c r="I50" i="33"/>
  <c r="I99" i="33"/>
  <c r="I52" i="33"/>
  <c r="I60" i="33"/>
  <c r="I103" i="33"/>
  <c r="I115" i="33"/>
  <c r="I155" i="33"/>
  <c r="I123" i="33"/>
  <c r="I146" i="33"/>
  <c r="I147" i="33"/>
  <c r="I158" i="33"/>
  <c r="I179" i="33"/>
  <c r="I162" i="33"/>
  <c r="I191" i="33"/>
  <c r="I166" i="33"/>
  <c r="I171" i="33"/>
  <c r="I205" i="33"/>
  <c r="I206" i="33"/>
  <c r="I259" i="33"/>
  <c r="I170" i="33"/>
  <c r="I178" i="33"/>
  <c r="I217" i="33"/>
  <c r="I306" i="33"/>
  <c r="I291" i="33"/>
  <c r="I290" i="33"/>
  <c r="I274" i="33"/>
  <c r="I302" i="33"/>
  <c r="I286" i="33"/>
  <c r="I194" i="33"/>
  <c r="I299" i="33"/>
  <c r="I244" i="33"/>
  <c r="I228" i="33"/>
  <c r="I167" i="33"/>
  <c r="I196" i="33"/>
  <c r="I230" i="33"/>
  <c r="I246" i="33"/>
  <c r="I187" i="33"/>
  <c r="I124" i="33"/>
  <c r="I133" i="33"/>
  <c r="I62" i="33"/>
  <c r="I42" i="33"/>
  <c r="I72" i="33"/>
  <c r="I57" i="33"/>
  <c r="I260" i="33"/>
  <c r="I303" i="33"/>
  <c r="I251" i="33"/>
  <c r="I300" i="33"/>
  <c r="I188" i="33"/>
  <c r="I229" i="33"/>
  <c r="I294" i="33"/>
  <c r="I213" i="33"/>
  <c r="I239" i="33"/>
  <c r="I138" i="33"/>
  <c r="I142" i="33"/>
  <c r="I95" i="33"/>
  <c r="I307" i="33"/>
  <c r="I235" i="33"/>
  <c r="I283" i="33"/>
  <c r="I204" i="33"/>
  <c r="I275" i="33"/>
  <c r="I214" i="33"/>
  <c r="I258" i="33"/>
  <c r="I309" i="33"/>
  <c r="I237" i="33"/>
  <c r="I310" i="33"/>
  <c r="I311" i="33"/>
  <c r="I141" i="33"/>
  <c r="I126" i="33"/>
  <c r="I131" i="33"/>
  <c r="I164" i="33"/>
  <c r="I276" i="33"/>
  <c r="I277" i="33"/>
  <c r="I172" i="33"/>
  <c r="I293" i="33"/>
  <c r="I189" i="33"/>
  <c r="I263" i="33"/>
  <c r="I198" i="33"/>
  <c r="I156" i="33"/>
  <c r="I210" i="33"/>
  <c r="I195" i="33"/>
  <c r="I202" i="33"/>
  <c r="I110" i="33"/>
  <c r="I154" i="33"/>
  <c r="I125" i="33"/>
  <c r="I96" i="33"/>
  <c r="I104" i="33"/>
  <c r="I82" i="33"/>
  <c r="I88" i="33"/>
  <c r="I83" i="33"/>
  <c r="I49" i="33"/>
  <c r="I10" i="33"/>
  <c r="I48" i="33"/>
  <c r="I7" i="33"/>
  <c r="I134" i="33"/>
  <c r="I149" i="33"/>
  <c r="I73" i="33"/>
  <c r="I64" i="33"/>
  <c r="I119" i="33"/>
  <c r="I114" i="33"/>
  <c r="I301" i="33"/>
  <c r="I269" i="33"/>
  <c r="I238" i="33"/>
  <c r="I282" i="33"/>
  <c r="I253" i="33"/>
  <c r="I285" i="33"/>
  <c r="I225" i="33"/>
  <c r="I287" i="33"/>
  <c r="I220" i="33"/>
  <c r="I151" i="33"/>
  <c r="I252" i="33"/>
  <c r="I107" i="33"/>
  <c r="I130" i="33"/>
  <c r="I190" i="33"/>
  <c r="I106" i="33"/>
  <c r="I105" i="33"/>
  <c r="I186" i="33"/>
  <c r="I54" i="33"/>
  <c r="I140" i="33"/>
  <c r="I97" i="33"/>
  <c r="I68" i="33"/>
  <c r="I174" i="33"/>
  <c r="I242" i="33"/>
  <c r="I267" i="33"/>
  <c r="I284" i="33"/>
  <c r="I268" i="33"/>
  <c r="I221" i="33"/>
  <c r="I139" i="33"/>
  <c r="I236" i="33"/>
  <c r="I266" i="33"/>
  <c r="I135" i="33"/>
  <c r="I245" i="33"/>
  <c r="I163" i="33"/>
  <c r="I94" i="33"/>
  <c r="I292" i="33"/>
  <c r="I308" i="33"/>
  <c r="I247" i="33"/>
  <c r="I209" i="33"/>
  <c r="I271" i="33"/>
  <c r="I197" i="33"/>
  <c r="I261" i="33"/>
  <c r="I182" i="33"/>
  <c r="I262" i="33"/>
  <c r="I159" i="33"/>
  <c r="I211" i="33"/>
  <c r="I150" i="33"/>
  <c r="I181" i="33"/>
  <c r="I243" i="33"/>
  <c r="I298" i="33"/>
  <c r="I234" i="33"/>
  <c r="I278" i="33"/>
  <c r="I254" i="33"/>
  <c r="I212" i="33"/>
  <c r="I218" i="33"/>
  <c r="I219" i="33"/>
  <c r="I203" i="33"/>
  <c r="I183" i="33"/>
  <c r="I255" i="33"/>
  <c r="I233" i="33"/>
  <c r="I250" i="33"/>
  <c r="I226" i="33"/>
  <c r="I201" i="33"/>
  <c r="I165" i="33"/>
  <c r="I102" i="33"/>
  <c r="I91" i="33"/>
  <c r="I77" i="33"/>
  <c r="I90" i="33"/>
  <c r="I89" i="33"/>
  <c r="I69" i="33"/>
  <c r="I22" i="33"/>
  <c r="I148" i="33"/>
  <c r="I127" i="33"/>
  <c r="I143" i="33"/>
  <c r="I132" i="33"/>
  <c r="I109" i="33"/>
  <c r="I81" i="33"/>
  <c r="I66" i="33"/>
  <c r="I53" i="33"/>
  <c r="I18" i="33"/>
  <c r="I122" i="33"/>
  <c r="I118" i="33"/>
  <c r="I117" i="33"/>
  <c r="I34" i="33"/>
  <c r="I26" i="33"/>
  <c r="I56" i="33"/>
  <c r="I65" i="33"/>
  <c r="I25" i="33"/>
  <c r="I75" i="33"/>
  <c r="I80" i="33"/>
  <c r="I44" i="33"/>
  <c r="I46" i="33"/>
  <c r="I76" i="33"/>
  <c r="I6" i="33"/>
  <c r="I41" i="33"/>
  <c r="I9" i="33"/>
  <c r="I61" i="33"/>
  <c r="I40" i="33"/>
  <c r="I20" i="33"/>
  <c r="I157" i="33"/>
  <c r="I161" i="33"/>
  <c r="I248" i="33"/>
  <c r="I257" i="33"/>
  <c r="I270" i="33"/>
  <c r="I51" i="33"/>
  <c r="I36" i="33"/>
  <c r="I112" i="33"/>
  <c r="I27" i="33"/>
  <c r="I23" i="33"/>
  <c r="I19" i="33"/>
  <c r="I160" i="33"/>
  <c r="I281" i="33"/>
  <c r="I129" i="33"/>
  <c r="I128" i="33"/>
  <c r="I15" i="33"/>
  <c r="I256" i="33"/>
  <c r="I265" i="33"/>
  <c r="I200" i="33"/>
  <c r="I280" i="33"/>
  <c r="I108" i="33"/>
  <c r="I241" i="33"/>
  <c r="I8" i="33"/>
  <c r="I144" i="33"/>
  <c r="I87" i="33"/>
  <c r="I98" i="33"/>
  <c r="I145" i="33"/>
  <c r="I305" i="33"/>
  <c r="I208" i="33"/>
  <c r="I169" i="33"/>
  <c r="I101" i="33"/>
  <c r="I136" i="33"/>
  <c r="I177" i="33"/>
  <c r="I216" i="33"/>
  <c r="I273" i="33"/>
  <c r="I249" i="33"/>
  <c r="I47" i="33"/>
  <c r="I295" i="33"/>
  <c r="I312" i="33"/>
  <c r="I152" i="33"/>
  <c r="I78" i="33"/>
  <c r="I304" i="33"/>
  <c r="I35" i="33"/>
  <c r="I92" i="33"/>
  <c r="I59" i="33"/>
  <c r="I55" i="33"/>
  <c r="I11" i="33"/>
  <c r="I111" i="33"/>
  <c r="I215" i="33"/>
  <c r="I227" i="33"/>
  <c r="I70" i="33"/>
  <c r="I85" i="33"/>
  <c r="I193" i="33"/>
  <c r="I84" i="33"/>
  <c r="I288" i="33"/>
  <c r="I264" i="33"/>
  <c r="I231" i="33"/>
  <c r="I184" i="33"/>
  <c r="I240" i="33"/>
  <c r="I16" i="33"/>
  <c r="I58" i="33"/>
  <c r="I100" i="33"/>
  <c r="I32" i="33"/>
  <c r="I43" i="33"/>
  <c r="I63" i="33"/>
  <c r="I176" i="33"/>
  <c r="I113" i="33"/>
  <c r="I12" i="33"/>
  <c r="I39" i="33"/>
  <c r="I180" i="33"/>
  <c r="I28" i="33"/>
  <c r="I175" i="33"/>
  <c r="I232" i="33"/>
  <c r="I185" i="33"/>
  <c r="I289" i="33"/>
  <c r="I86" i="33"/>
  <c r="I24" i="33"/>
  <c r="I93" i="33"/>
  <c r="I67" i="33"/>
  <c r="I74" i="33"/>
  <c r="I137" i="33"/>
  <c r="I31" i="33"/>
  <c r="I120" i="33"/>
  <c r="I199" i="33"/>
  <c r="I121" i="33"/>
  <c r="I224" i="33"/>
  <c r="I313" i="33"/>
  <c r="I79" i="33"/>
  <c r="I116" i="33"/>
  <c r="I272" i="33"/>
  <c r="I296" i="33"/>
  <c r="I173" i="33"/>
  <c r="I223" i="33"/>
  <c r="I153" i="33"/>
  <c r="I279" i="33"/>
  <c r="I192" i="33"/>
  <c r="I168" i="33"/>
  <c r="I207" i="33"/>
  <c r="I71" i="33"/>
  <c r="I222" i="33"/>
  <c r="I297" i="33"/>
  <c r="G5" i="33"/>
  <c r="H4" i="12"/>
  <c r="J5" i="33"/>
  <c r="H5" i="33"/>
  <c r="I5" i="33"/>
  <c r="K265" i="33" l="1"/>
  <c r="L265" i="33" s="1"/>
  <c r="K71" i="33"/>
  <c r="L71" i="33" s="1"/>
  <c r="K222" i="33"/>
  <c r="L222" i="33" s="1"/>
  <c r="K8" i="33"/>
  <c r="L8" i="33" s="1"/>
  <c r="K100" i="33"/>
  <c r="L100" i="33" s="1"/>
  <c r="K11" i="33"/>
  <c r="L11" i="33" s="1"/>
  <c r="K113" i="33"/>
  <c r="L113" i="33" s="1"/>
  <c r="K279" i="33"/>
  <c r="L279" i="33" s="1"/>
  <c r="K240" i="33"/>
  <c r="L240" i="33" s="1"/>
  <c r="K27" i="33"/>
  <c r="L27" i="33" s="1"/>
  <c r="K121" i="33"/>
  <c r="L121" i="33" s="1"/>
  <c r="K74" i="33"/>
  <c r="L74" i="33" s="1"/>
  <c r="K92" i="33"/>
  <c r="L92" i="33" s="1"/>
  <c r="K7" i="33"/>
  <c r="L7" i="33" s="1"/>
  <c r="K37" i="33"/>
  <c r="L37" i="33" s="1"/>
  <c r="K18" i="33"/>
  <c r="L18" i="33" s="1"/>
  <c r="K34" i="33"/>
  <c r="L34" i="33" s="1"/>
  <c r="K41" i="33"/>
  <c r="L41" i="33" s="1"/>
  <c r="K287" i="33"/>
  <c r="L287" i="33" s="1"/>
  <c r="K291" i="33"/>
  <c r="L291" i="33" s="1"/>
  <c r="K189" i="33"/>
  <c r="L189" i="33" s="1"/>
  <c r="K143" i="33"/>
  <c r="L143" i="33" s="1"/>
  <c r="K196" i="33"/>
  <c r="L196" i="33" s="1"/>
  <c r="K77" i="33"/>
  <c r="L77" i="33" s="1"/>
  <c r="K309" i="33"/>
  <c r="L309" i="33" s="1"/>
  <c r="K52" i="33"/>
  <c r="L52" i="33" s="1"/>
  <c r="K195" i="33"/>
  <c r="L195" i="33" s="1"/>
  <c r="K119" i="33"/>
  <c r="L119" i="33" s="1"/>
  <c r="K225" i="33"/>
  <c r="L225" i="33" s="1"/>
  <c r="K285" i="33"/>
  <c r="L285" i="33" s="1"/>
  <c r="K218" i="33"/>
  <c r="L218" i="33" s="1"/>
  <c r="K126" i="33"/>
  <c r="L126" i="33" s="1"/>
  <c r="K203" i="33"/>
  <c r="L203" i="33" s="1"/>
  <c r="K90" i="33"/>
  <c r="L90" i="33" s="1"/>
  <c r="K246" i="33"/>
  <c r="L246" i="33" s="1"/>
  <c r="K267" i="33"/>
  <c r="L267" i="33" s="1"/>
  <c r="K251" i="33"/>
  <c r="L251" i="33" s="1"/>
  <c r="K140" i="33"/>
  <c r="L140" i="33" s="1"/>
  <c r="K44" i="33"/>
  <c r="L44" i="33" s="1"/>
  <c r="K173" i="33"/>
  <c r="L173" i="33" s="1"/>
  <c r="K169" i="33"/>
  <c r="L169" i="33" s="1"/>
  <c r="K86" i="33"/>
  <c r="L86" i="33" s="1"/>
  <c r="K79" i="33"/>
  <c r="L79" i="33" s="1"/>
  <c r="K248" i="33"/>
  <c r="L248" i="33" s="1"/>
  <c r="K59" i="33"/>
  <c r="L59" i="33" s="1"/>
  <c r="K51" i="33"/>
  <c r="L51" i="33" s="1"/>
  <c r="K175" i="33"/>
  <c r="L175" i="33" s="1"/>
  <c r="K249" i="33"/>
  <c r="L249" i="33" s="1"/>
  <c r="K24" i="33"/>
  <c r="L24" i="33" s="1"/>
  <c r="K231" i="33"/>
  <c r="L231" i="33" s="1"/>
  <c r="K32" i="33"/>
  <c r="L32" i="33" s="1"/>
  <c r="K177" i="33"/>
  <c r="L177" i="33" s="1"/>
  <c r="K69" i="33"/>
  <c r="L69" i="33" s="1"/>
  <c r="K60" i="33"/>
  <c r="L60" i="33" s="1"/>
  <c r="K49" i="33"/>
  <c r="L49" i="33" s="1"/>
  <c r="K42" i="33"/>
  <c r="L42" i="33" s="1"/>
  <c r="K80" i="33"/>
  <c r="L80" i="33" s="1"/>
  <c r="K211" i="33"/>
  <c r="L211" i="33" s="1"/>
  <c r="K259" i="33"/>
  <c r="L259" i="33" s="1"/>
  <c r="K293" i="33"/>
  <c r="L293" i="33" s="1"/>
  <c r="K125" i="33"/>
  <c r="L125" i="33" s="1"/>
  <c r="K156" i="33"/>
  <c r="L156" i="33" s="1"/>
  <c r="K82" i="33"/>
  <c r="L82" i="33" s="1"/>
  <c r="K278" i="33"/>
  <c r="L278" i="33" s="1"/>
  <c r="K103" i="33"/>
  <c r="L103" i="33" s="1"/>
  <c r="K6" i="33"/>
  <c r="L6" i="33" s="1"/>
  <c r="K164" i="33"/>
  <c r="L164" i="33" s="1"/>
  <c r="K239" i="33"/>
  <c r="L239" i="33" s="1"/>
  <c r="K133" i="33"/>
  <c r="L133" i="33" s="1"/>
  <c r="K139" i="33"/>
  <c r="L139" i="33" s="1"/>
  <c r="K191" i="33"/>
  <c r="L191" i="33" s="1"/>
  <c r="K258" i="33"/>
  <c r="L258" i="33" s="1"/>
  <c r="K110" i="33"/>
  <c r="L110" i="33" s="1"/>
  <c r="K198" i="33"/>
  <c r="L198" i="33" s="1"/>
  <c r="K292" i="33"/>
  <c r="L292" i="33" s="1"/>
  <c r="K187" i="33"/>
  <c r="L187" i="33" s="1"/>
  <c r="K162" i="33"/>
  <c r="L162" i="33" s="1"/>
  <c r="K56" i="33"/>
  <c r="L56" i="33" s="1"/>
  <c r="K295" i="33"/>
  <c r="L295" i="33" s="1"/>
  <c r="K257" i="33"/>
  <c r="L257" i="33" s="1"/>
  <c r="K108" i="33"/>
  <c r="L108" i="33" s="1"/>
  <c r="K289" i="33"/>
  <c r="L289" i="33" s="1"/>
  <c r="K227" i="33"/>
  <c r="L227" i="33" s="1"/>
  <c r="K35" i="33"/>
  <c r="L35" i="33" s="1"/>
  <c r="K144" i="33"/>
  <c r="L144" i="33" s="1"/>
  <c r="K128" i="33"/>
  <c r="L128" i="33" s="1"/>
  <c r="K232" i="33"/>
  <c r="L232" i="33" s="1"/>
  <c r="K112" i="33"/>
  <c r="L112" i="33" s="1"/>
  <c r="K296" i="33"/>
  <c r="L296" i="33" s="1"/>
  <c r="K39" i="33"/>
  <c r="L39" i="33" s="1"/>
  <c r="K256" i="33"/>
  <c r="L256" i="33" s="1"/>
  <c r="K102" i="33"/>
  <c r="L102" i="33" s="1"/>
  <c r="K48" i="33"/>
  <c r="L48" i="33" s="1"/>
  <c r="K97" i="33"/>
  <c r="L97" i="33" s="1"/>
  <c r="K109" i="33"/>
  <c r="L109" i="33" s="1"/>
  <c r="K53" i="33"/>
  <c r="L53" i="33" s="1"/>
  <c r="K131" i="33"/>
  <c r="L131" i="33" s="1"/>
  <c r="K205" i="33"/>
  <c r="L205" i="33" s="1"/>
  <c r="K214" i="33"/>
  <c r="L214" i="33" s="1"/>
  <c r="K134" i="33"/>
  <c r="L134" i="33" s="1"/>
  <c r="K182" i="33"/>
  <c r="L182" i="33" s="1"/>
  <c r="K221" i="33"/>
  <c r="L221" i="33" s="1"/>
  <c r="K301" i="33"/>
  <c r="L301" i="33" s="1"/>
  <c r="K94" i="33"/>
  <c r="L94" i="33" s="1"/>
  <c r="K25" i="33"/>
  <c r="L25" i="33" s="1"/>
  <c r="K141" i="33"/>
  <c r="L141" i="33" s="1"/>
  <c r="K188" i="33"/>
  <c r="L188" i="33" s="1"/>
  <c r="K107" i="33"/>
  <c r="L107" i="33" s="1"/>
  <c r="K247" i="33"/>
  <c r="L247" i="33" s="1"/>
  <c r="K170" i="33"/>
  <c r="L170" i="33" s="1"/>
  <c r="K210" i="33"/>
  <c r="L210" i="33" s="1"/>
  <c r="K13" i="33"/>
  <c r="L13" i="33" s="1"/>
  <c r="K206" i="33"/>
  <c r="L206" i="33" s="1"/>
  <c r="K308" i="33"/>
  <c r="L308" i="33" s="1"/>
  <c r="K283" i="33"/>
  <c r="L283" i="33" s="1"/>
  <c r="K147" i="33"/>
  <c r="L147" i="33" s="1"/>
  <c r="K50" i="33"/>
  <c r="L50" i="33" s="1"/>
  <c r="K145" i="33"/>
  <c r="L145" i="33" s="1"/>
  <c r="K129" i="33"/>
  <c r="L129" i="33" s="1"/>
  <c r="K312" i="33"/>
  <c r="L312" i="33" s="1"/>
  <c r="K153" i="33"/>
  <c r="L153" i="33" s="1"/>
  <c r="K305" i="33"/>
  <c r="L305" i="33" s="1"/>
  <c r="K208" i="33"/>
  <c r="L208" i="33" s="1"/>
  <c r="K40" i="33"/>
  <c r="L40" i="33" s="1"/>
  <c r="K288" i="33"/>
  <c r="L288" i="33" s="1"/>
  <c r="K152" i="33"/>
  <c r="L152" i="33" s="1"/>
  <c r="K20" i="33"/>
  <c r="L20" i="33" s="1"/>
  <c r="K168" i="33"/>
  <c r="L168" i="33" s="1"/>
  <c r="K63" i="33"/>
  <c r="L63" i="33" s="1"/>
  <c r="K85" i="33"/>
  <c r="L85" i="33" s="1"/>
  <c r="K21" i="33"/>
  <c r="L21" i="33" s="1"/>
  <c r="K76" i="33"/>
  <c r="L76" i="33" s="1"/>
  <c r="K30" i="33"/>
  <c r="L30" i="33" s="1"/>
  <c r="K158" i="33"/>
  <c r="L158" i="33" s="1"/>
  <c r="K62" i="33"/>
  <c r="L62" i="33" s="1"/>
  <c r="K155" i="33"/>
  <c r="L155" i="33" s="1"/>
  <c r="K201" i="33"/>
  <c r="L201" i="33" s="1"/>
  <c r="K284" i="33"/>
  <c r="L284" i="33" s="1"/>
  <c r="K150" i="33"/>
  <c r="L150" i="33" s="1"/>
  <c r="K254" i="33"/>
  <c r="L254" i="33" s="1"/>
  <c r="K213" i="33"/>
  <c r="L213" i="33" s="1"/>
  <c r="K242" i="33"/>
  <c r="L242" i="33" s="1"/>
  <c r="K114" i="33"/>
  <c r="L114" i="33" s="1"/>
  <c r="K26" i="33"/>
  <c r="L26" i="33" s="1"/>
  <c r="K190" i="33"/>
  <c r="L190" i="33" s="1"/>
  <c r="K197" i="33"/>
  <c r="L197" i="33" s="1"/>
  <c r="K236" i="33"/>
  <c r="L236" i="33" s="1"/>
  <c r="K290" i="33"/>
  <c r="L290" i="33" s="1"/>
  <c r="K138" i="33"/>
  <c r="L138" i="33" s="1"/>
  <c r="K238" i="33"/>
  <c r="L238" i="33" s="1"/>
  <c r="K68" i="33"/>
  <c r="L68" i="33" s="1"/>
  <c r="K310" i="33"/>
  <c r="L310" i="33" s="1"/>
  <c r="K306" i="33"/>
  <c r="L306" i="33" s="1"/>
  <c r="K186" i="33"/>
  <c r="L186" i="33" s="1"/>
  <c r="K123" i="33"/>
  <c r="L123" i="33" s="1"/>
  <c r="K46" i="33"/>
  <c r="L46" i="33" s="1"/>
  <c r="K84" i="33"/>
  <c r="L84" i="33" s="1"/>
  <c r="K55" i="33"/>
  <c r="L55" i="33" s="1"/>
  <c r="K161" i="33"/>
  <c r="L161" i="33" s="1"/>
  <c r="K313" i="33"/>
  <c r="L313" i="33" s="1"/>
  <c r="K137" i="33"/>
  <c r="L137" i="33" s="1"/>
  <c r="K216" i="33"/>
  <c r="L216" i="33" s="1"/>
  <c r="K15" i="33"/>
  <c r="L15" i="33" s="1"/>
  <c r="K19" i="33"/>
  <c r="L19" i="33" s="1"/>
  <c r="K70" i="33"/>
  <c r="L70" i="33" s="1"/>
  <c r="K270" i="33"/>
  <c r="L270" i="33" s="1"/>
  <c r="K116" i="33"/>
  <c r="L116" i="33" s="1"/>
  <c r="K16" i="33"/>
  <c r="L16" i="33" s="1"/>
  <c r="K101" i="33"/>
  <c r="L101" i="33" s="1"/>
  <c r="K22" i="33"/>
  <c r="L22" i="33" s="1"/>
  <c r="K14" i="33"/>
  <c r="L14" i="33" s="1"/>
  <c r="K88" i="33"/>
  <c r="L88" i="33" s="1"/>
  <c r="K38" i="33"/>
  <c r="L38" i="33" s="1"/>
  <c r="K57" i="33"/>
  <c r="L57" i="33" s="1"/>
  <c r="K230" i="33"/>
  <c r="L230" i="33" s="1"/>
  <c r="K228" i="33"/>
  <c r="L228" i="33" s="1"/>
  <c r="K204" i="33"/>
  <c r="L204" i="33" s="1"/>
  <c r="K261" i="33"/>
  <c r="L261" i="33" s="1"/>
  <c r="K172" i="33"/>
  <c r="L172" i="33" s="1"/>
  <c r="K250" i="33"/>
  <c r="L250" i="33" s="1"/>
  <c r="K276" i="33"/>
  <c r="L276" i="33" s="1"/>
  <c r="K154" i="33"/>
  <c r="L154" i="33" s="1"/>
  <c r="K73" i="33"/>
  <c r="L73" i="33" s="1"/>
  <c r="K255" i="33"/>
  <c r="L255" i="33" s="1"/>
  <c r="K271" i="33"/>
  <c r="L271" i="33" s="1"/>
  <c r="K159" i="33"/>
  <c r="L159" i="33" s="1"/>
  <c r="K311" i="33"/>
  <c r="L311" i="33" s="1"/>
  <c r="K166" i="33"/>
  <c r="L166" i="33" s="1"/>
  <c r="K174" i="33"/>
  <c r="L174" i="33" s="1"/>
  <c r="K151" i="33"/>
  <c r="L151" i="33" s="1"/>
  <c r="K286" i="33"/>
  <c r="L286" i="33" s="1"/>
  <c r="K220" i="33"/>
  <c r="L220" i="33" s="1"/>
  <c r="K181" i="33"/>
  <c r="L181" i="33" s="1"/>
  <c r="K149" i="33"/>
  <c r="L149" i="33" s="1"/>
  <c r="K111" i="33"/>
  <c r="L111" i="33" s="1"/>
  <c r="K297" i="33"/>
  <c r="L297" i="33" s="1"/>
  <c r="K272" i="33"/>
  <c r="L272" i="33" s="1"/>
  <c r="K224" i="33"/>
  <c r="L224" i="33" s="1"/>
  <c r="K47" i="33"/>
  <c r="L47" i="33" s="1"/>
  <c r="K215" i="33"/>
  <c r="L215" i="33" s="1"/>
  <c r="K223" i="33"/>
  <c r="L223" i="33" s="1"/>
  <c r="K36" i="33"/>
  <c r="L36" i="33" s="1"/>
  <c r="K264" i="33"/>
  <c r="L264" i="33" s="1"/>
  <c r="K304" i="33"/>
  <c r="L304" i="33" s="1"/>
  <c r="K98" i="33"/>
  <c r="L98" i="33" s="1"/>
  <c r="K28" i="33"/>
  <c r="L28" i="33" s="1"/>
  <c r="K207" i="33"/>
  <c r="L207" i="33" s="1"/>
  <c r="K89" i="33"/>
  <c r="L89" i="33" s="1"/>
  <c r="K10" i="33"/>
  <c r="L10" i="33" s="1"/>
  <c r="K95" i="33"/>
  <c r="L95" i="33" s="1"/>
  <c r="K72" i="33"/>
  <c r="L72" i="33" s="1"/>
  <c r="K66" i="33"/>
  <c r="L66" i="33" s="1"/>
  <c r="K194" i="33"/>
  <c r="L194" i="33" s="1"/>
  <c r="K124" i="33"/>
  <c r="L124" i="33" s="1"/>
  <c r="K298" i="33"/>
  <c r="L298" i="33" s="1"/>
  <c r="K209" i="33"/>
  <c r="L209" i="33" s="1"/>
  <c r="K277" i="33"/>
  <c r="L277" i="33" s="1"/>
  <c r="K294" i="33"/>
  <c r="L294" i="33" s="1"/>
  <c r="K104" i="33"/>
  <c r="L104" i="33" s="1"/>
  <c r="K54" i="33"/>
  <c r="L54" i="33" s="1"/>
  <c r="K99" i="33"/>
  <c r="L99" i="33" s="1"/>
  <c r="K266" i="33"/>
  <c r="L266" i="33" s="1"/>
  <c r="K282" i="33"/>
  <c r="L282" i="33" s="1"/>
  <c r="K135" i="33"/>
  <c r="L135" i="33" s="1"/>
  <c r="K302" i="33"/>
  <c r="L302" i="33" s="1"/>
  <c r="K212" i="33"/>
  <c r="L212" i="33" s="1"/>
  <c r="K243" i="33"/>
  <c r="L243" i="33" s="1"/>
  <c r="K245" i="33"/>
  <c r="L245" i="33" s="1"/>
  <c r="K252" i="33"/>
  <c r="L252" i="33" s="1"/>
  <c r="K217" i="33"/>
  <c r="L217" i="33" s="1"/>
  <c r="K117" i="33"/>
  <c r="L117" i="33" s="1"/>
  <c r="K115" i="33"/>
  <c r="L115" i="33" s="1"/>
  <c r="K12" i="33"/>
  <c r="L12" i="33" s="1"/>
  <c r="K78" i="33"/>
  <c r="L78" i="33" s="1"/>
  <c r="K180" i="33"/>
  <c r="L180" i="33" s="1"/>
  <c r="K184" i="33"/>
  <c r="L184" i="33" s="1"/>
  <c r="K93" i="33"/>
  <c r="L93" i="33" s="1"/>
  <c r="K23" i="33"/>
  <c r="L23" i="33" s="1"/>
  <c r="K120" i="33"/>
  <c r="L120" i="33" s="1"/>
  <c r="K280" i="33"/>
  <c r="L280" i="33" s="1"/>
  <c r="K157" i="33"/>
  <c r="L157" i="33" s="1"/>
  <c r="K192" i="33"/>
  <c r="L192" i="33" s="1"/>
  <c r="K31" i="33"/>
  <c r="L31" i="33" s="1"/>
  <c r="K281" i="33"/>
  <c r="L281" i="33" s="1"/>
  <c r="K43" i="33"/>
  <c r="L43" i="33" s="1"/>
  <c r="K61" i="33"/>
  <c r="L61" i="33" s="1"/>
  <c r="K83" i="33"/>
  <c r="L83" i="33" s="1"/>
  <c r="K106" i="33"/>
  <c r="L106" i="33" s="1"/>
  <c r="K165" i="33"/>
  <c r="L165" i="33" s="1"/>
  <c r="K118" i="33"/>
  <c r="L118" i="33" s="1"/>
  <c r="K202" i="33"/>
  <c r="L202" i="33" s="1"/>
  <c r="K253" i="33"/>
  <c r="L253" i="33" s="1"/>
  <c r="K303" i="33"/>
  <c r="L303" i="33" s="1"/>
  <c r="K148" i="33"/>
  <c r="L148" i="33" s="1"/>
  <c r="K235" i="33"/>
  <c r="L235" i="33" s="1"/>
  <c r="K219" i="33"/>
  <c r="L219" i="33" s="1"/>
  <c r="K9" i="33"/>
  <c r="L9" i="33" s="1"/>
  <c r="K127" i="33"/>
  <c r="L127" i="33" s="1"/>
  <c r="K81" i="33"/>
  <c r="L81" i="33" s="1"/>
  <c r="K233" i="33"/>
  <c r="L233" i="33" s="1"/>
  <c r="K275" i="33"/>
  <c r="L275" i="33" s="1"/>
  <c r="K178" i="33"/>
  <c r="L178" i="33" s="1"/>
  <c r="K260" i="33"/>
  <c r="L260" i="33" s="1"/>
  <c r="K244" i="33"/>
  <c r="L244" i="33" s="1"/>
  <c r="K307" i="33"/>
  <c r="L307" i="33" s="1"/>
  <c r="K122" i="33"/>
  <c r="L122" i="33" s="1"/>
  <c r="K274" i="33"/>
  <c r="L274" i="33" s="1"/>
  <c r="K163" i="33"/>
  <c r="L163" i="33" s="1"/>
  <c r="K105" i="33"/>
  <c r="L105" i="33" s="1"/>
  <c r="K75" i="33"/>
  <c r="L75" i="33" s="1"/>
  <c r="K67" i="33"/>
  <c r="L67" i="33" s="1"/>
  <c r="K185" i="33"/>
  <c r="L185" i="33" s="1"/>
  <c r="K58" i="33"/>
  <c r="L58" i="33" s="1"/>
  <c r="K273" i="33"/>
  <c r="L273" i="33" s="1"/>
  <c r="K199" i="33"/>
  <c r="L199" i="33" s="1"/>
  <c r="K200" i="33"/>
  <c r="L200" i="33" s="1"/>
  <c r="K241" i="33"/>
  <c r="L241" i="33" s="1"/>
  <c r="K193" i="33"/>
  <c r="L193" i="33" s="1"/>
  <c r="K176" i="33"/>
  <c r="L176" i="33" s="1"/>
  <c r="K136" i="33"/>
  <c r="L136" i="33" s="1"/>
  <c r="K87" i="33"/>
  <c r="L87" i="33" s="1"/>
  <c r="K160" i="33"/>
  <c r="L160" i="33" s="1"/>
  <c r="K17" i="33"/>
  <c r="L17" i="33" s="1"/>
  <c r="K33" i="33"/>
  <c r="L33" i="33" s="1"/>
  <c r="K29" i="33"/>
  <c r="L29" i="33" s="1"/>
  <c r="K65" i="33"/>
  <c r="L65" i="33" s="1"/>
  <c r="K262" i="33"/>
  <c r="L262" i="33" s="1"/>
  <c r="K142" i="33"/>
  <c r="L142" i="33" s="1"/>
  <c r="K263" i="33"/>
  <c r="L263" i="33" s="1"/>
  <c r="K268" i="33"/>
  <c r="L268" i="33" s="1"/>
  <c r="K91" i="33"/>
  <c r="L91" i="33" s="1"/>
  <c r="K167" i="33"/>
  <c r="L167" i="33" s="1"/>
  <c r="K171" i="33"/>
  <c r="L171" i="33" s="1"/>
  <c r="K237" i="33"/>
  <c r="L237" i="33" s="1"/>
  <c r="K45" i="33"/>
  <c r="L45" i="33" s="1"/>
  <c r="K96" i="33"/>
  <c r="L96" i="33" s="1"/>
  <c r="K146" i="33"/>
  <c r="L146" i="33" s="1"/>
  <c r="K183" i="33"/>
  <c r="L183" i="33" s="1"/>
  <c r="K300" i="33"/>
  <c r="L300" i="33" s="1"/>
  <c r="K234" i="33"/>
  <c r="L234" i="33" s="1"/>
  <c r="K132" i="33"/>
  <c r="L132" i="33" s="1"/>
  <c r="K226" i="33"/>
  <c r="L226" i="33" s="1"/>
  <c r="K269" i="33"/>
  <c r="L269" i="33" s="1"/>
  <c r="K229" i="33"/>
  <c r="L229" i="33" s="1"/>
  <c r="K299" i="33"/>
  <c r="L299" i="33" s="1"/>
  <c r="K179" i="33"/>
  <c r="L179" i="33" s="1"/>
  <c r="K130" i="33"/>
  <c r="L130" i="33" s="1"/>
  <c r="K64" i="33"/>
  <c r="L64" i="33" s="1"/>
  <c r="K5" i="33"/>
  <c r="M178" i="33" l="1"/>
  <c r="E184" i="9"/>
  <c r="M209" i="33"/>
  <c r="E215" i="9"/>
  <c r="M16" i="33"/>
  <c r="E22" i="9"/>
  <c r="M312" i="33"/>
  <c r="E318" i="9"/>
  <c r="M257" i="33"/>
  <c r="E263" i="9"/>
  <c r="M42" i="33"/>
  <c r="E48" i="9"/>
  <c r="M126" i="33"/>
  <c r="E132" i="9"/>
  <c r="M279" i="33"/>
  <c r="E285" i="9"/>
  <c r="M130" i="33"/>
  <c r="E136" i="9"/>
  <c r="M300" i="33"/>
  <c r="E306" i="9"/>
  <c r="M91" i="33"/>
  <c r="E97" i="9"/>
  <c r="M17" i="33"/>
  <c r="E23" i="9"/>
  <c r="M199" i="33"/>
  <c r="E205" i="9"/>
  <c r="M105" i="33"/>
  <c r="E111" i="9"/>
  <c r="M275" i="33"/>
  <c r="E281" i="9"/>
  <c r="M303" i="33"/>
  <c r="E309" i="9"/>
  <c r="M43" i="33"/>
  <c r="E49" i="9"/>
  <c r="M93" i="33"/>
  <c r="E99" i="9"/>
  <c r="M117" i="33"/>
  <c r="E123" i="9"/>
  <c r="M282" i="33"/>
  <c r="E288" i="9"/>
  <c r="M298" i="33"/>
  <c r="E304" i="9"/>
  <c r="M207" i="33"/>
  <c r="E213" i="9"/>
  <c r="M47" i="33"/>
  <c r="E53" i="9"/>
  <c r="M286" i="33"/>
  <c r="E292" i="9"/>
  <c r="M73" i="33"/>
  <c r="E79" i="9"/>
  <c r="M230" i="33"/>
  <c r="E236" i="9"/>
  <c r="M116" i="33"/>
  <c r="E122" i="9"/>
  <c r="M161" i="33"/>
  <c r="E167" i="9"/>
  <c r="M68" i="33"/>
  <c r="E74" i="9"/>
  <c r="M114" i="33"/>
  <c r="E120" i="9"/>
  <c r="M62" i="33"/>
  <c r="E68" i="9"/>
  <c r="M20" i="33"/>
  <c r="E26" i="9"/>
  <c r="M129" i="33"/>
  <c r="E135" i="9"/>
  <c r="M210" i="33"/>
  <c r="E216" i="9"/>
  <c r="M301" i="33"/>
  <c r="E307" i="9"/>
  <c r="M109" i="33"/>
  <c r="E115" i="9"/>
  <c r="M232" i="33"/>
  <c r="E238" i="9"/>
  <c r="M295" i="33"/>
  <c r="E301" i="9"/>
  <c r="M191" i="33"/>
  <c r="E197" i="9"/>
  <c r="M82" i="33"/>
  <c r="E88" i="9"/>
  <c r="M49" i="33"/>
  <c r="E55" i="9"/>
  <c r="M175" i="33"/>
  <c r="E181" i="9"/>
  <c r="M44" i="33"/>
  <c r="E50" i="9"/>
  <c r="M218" i="33"/>
  <c r="E224" i="9"/>
  <c r="M196" i="33"/>
  <c r="E202" i="9"/>
  <c r="M37" i="33"/>
  <c r="E43" i="9"/>
  <c r="M113" i="33"/>
  <c r="E119" i="9"/>
  <c r="M33" i="33"/>
  <c r="E39" i="9"/>
  <c r="M23" i="33"/>
  <c r="E29" i="9"/>
  <c r="M255" i="33"/>
  <c r="E261" i="9"/>
  <c r="M26" i="33"/>
  <c r="E32" i="9"/>
  <c r="M53" i="33"/>
  <c r="E59" i="9"/>
  <c r="M278" i="33"/>
  <c r="E284" i="9"/>
  <c r="M77" i="33"/>
  <c r="E83" i="9"/>
  <c r="M179" i="33"/>
  <c r="E185" i="9"/>
  <c r="M183" i="33"/>
  <c r="E189" i="9"/>
  <c r="M268" i="33"/>
  <c r="E274" i="9"/>
  <c r="M160" i="33"/>
  <c r="E166" i="9"/>
  <c r="M273" i="33"/>
  <c r="E279" i="9"/>
  <c r="M163" i="33"/>
  <c r="E169" i="9"/>
  <c r="M233" i="33"/>
  <c r="E239" i="9"/>
  <c r="M253" i="33"/>
  <c r="E259" i="9"/>
  <c r="M281" i="33"/>
  <c r="E287" i="9"/>
  <c r="M184" i="33"/>
  <c r="E190" i="9"/>
  <c r="M217" i="33"/>
  <c r="E223" i="9"/>
  <c r="M266" i="33"/>
  <c r="E272" i="9"/>
  <c r="M124" i="33"/>
  <c r="E130" i="9"/>
  <c r="M28" i="33"/>
  <c r="E34" i="9"/>
  <c r="M224" i="33"/>
  <c r="E230" i="9"/>
  <c r="M151" i="33"/>
  <c r="E157" i="9"/>
  <c r="M154" i="33"/>
  <c r="E160" i="9"/>
  <c r="M57" i="33"/>
  <c r="E63" i="9"/>
  <c r="M270" i="33"/>
  <c r="E276" i="9"/>
  <c r="M55" i="33"/>
  <c r="E61" i="9"/>
  <c r="M238" i="33"/>
  <c r="E244" i="9"/>
  <c r="M242" i="33"/>
  <c r="E248" i="9"/>
  <c r="M158" i="33"/>
  <c r="E164" i="9"/>
  <c r="M152" i="33"/>
  <c r="E158" i="9"/>
  <c r="M145" i="33"/>
  <c r="E151" i="9"/>
  <c r="M170" i="33"/>
  <c r="E176" i="9"/>
  <c r="M221" i="33"/>
  <c r="E227" i="9"/>
  <c r="M97" i="33"/>
  <c r="E103" i="9"/>
  <c r="M128" i="33"/>
  <c r="E134" i="9"/>
  <c r="M56" i="33"/>
  <c r="E62" i="9"/>
  <c r="M139" i="33"/>
  <c r="E145" i="9"/>
  <c r="M156" i="33"/>
  <c r="E162" i="9"/>
  <c r="M60" i="33"/>
  <c r="E66" i="9"/>
  <c r="M51" i="33"/>
  <c r="E57" i="9"/>
  <c r="M140" i="33"/>
  <c r="E146" i="9"/>
  <c r="M285" i="33"/>
  <c r="E291" i="9"/>
  <c r="M143" i="33"/>
  <c r="E149" i="9"/>
  <c r="M7" i="33"/>
  <c r="E13" i="9"/>
  <c r="M11" i="33"/>
  <c r="E17" i="9"/>
  <c r="M75" i="33"/>
  <c r="E81" i="9"/>
  <c r="M135" i="33"/>
  <c r="E141" i="9"/>
  <c r="M228" i="33"/>
  <c r="E234" i="9"/>
  <c r="M168" i="33"/>
  <c r="E174" i="9"/>
  <c r="M94" i="33"/>
  <c r="E100" i="9"/>
  <c r="M258" i="33"/>
  <c r="E264" i="9"/>
  <c r="M18" i="33"/>
  <c r="E24" i="9"/>
  <c r="M299" i="33"/>
  <c r="E305" i="9"/>
  <c r="M146" i="33"/>
  <c r="E152" i="9"/>
  <c r="M263" i="33"/>
  <c r="E269" i="9"/>
  <c r="M87" i="33"/>
  <c r="E93" i="9"/>
  <c r="M58" i="33"/>
  <c r="E64" i="9"/>
  <c r="M274" i="33"/>
  <c r="E280" i="9"/>
  <c r="M81" i="33"/>
  <c r="E87" i="9"/>
  <c r="M202" i="33"/>
  <c r="E208" i="9"/>
  <c r="M31" i="33"/>
  <c r="E37" i="9"/>
  <c r="M180" i="33"/>
  <c r="E186" i="9"/>
  <c r="M252" i="33"/>
  <c r="E258" i="9"/>
  <c r="M99" i="33"/>
  <c r="E105" i="9"/>
  <c r="M194" i="33"/>
  <c r="E200" i="9"/>
  <c r="M98" i="33"/>
  <c r="E104" i="9"/>
  <c r="M272" i="33"/>
  <c r="E278" i="9"/>
  <c r="M174" i="33"/>
  <c r="E180" i="9"/>
  <c r="M276" i="33"/>
  <c r="E282" i="9"/>
  <c r="M38" i="33"/>
  <c r="E44" i="9"/>
  <c r="M70" i="33"/>
  <c r="E76" i="9"/>
  <c r="M84" i="33"/>
  <c r="E90" i="9"/>
  <c r="M138" i="33"/>
  <c r="E144" i="9"/>
  <c r="M213" i="33"/>
  <c r="E219" i="9"/>
  <c r="M30" i="33"/>
  <c r="E36" i="9"/>
  <c r="M288" i="33"/>
  <c r="E294" i="9"/>
  <c r="M50" i="33"/>
  <c r="E56" i="9"/>
  <c r="M247" i="33"/>
  <c r="E253" i="9"/>
  <c r="M182" i="33"/>
  <c r="E188" i="9"/>
  <c r="M48" i="33"/>
  <c r="E54" i="9"/>
  <c r="M144" i="33"/>
  <c r="E150" i="9"/>
  <c r="M162" i="33"/>
  <c r="E168" i="9"/>
  <c r="M133" i="33"/>
  <c r="E139" i="9"/>
  <c r="M125" i="33"/>
  <c r="E131" i="9"/>
  <c r="M69" i="33"/>
  <c r="E75" i="9"/>
  <c r="M59" i="33"/>
  <c r="E65" i="9"/>
  <c r="M251" i="33"/>
  <c r="E257" i="9"/>
  <c r="M225" i="33"/>
  <c r="E231" i="9"/>
  <c r="M189" i="33"/>
  <c r="E195" i="9"/>
  <c r="M92" i="33"/>
  <c r="E98" i="9"/>
  <c r="M100" i="33"/>
  <c r="E106" i="9"/>
  <c r="M167" i="33"/>
  <c r="E173" i="9"/>
  <c r="M61" i="33"/>
  <c r="E67" i="9"/>
  <c r="M220" i="33"/>
  <c r="E226" i="9"/>
  <c r="M155" i="33"/>
  <c r="E161" i="9"/>
  <c r="M112" i="33"/>
  <c r="E118" i="9"/>
  <c r="M173" i="33"/>
  <c r="E179" i="9"/>
  <c r="M96" i="33"/>
  <c r="E102" i="9"/>
  <c r="M136" i="33"/>
  <c r="E142" i="9"/>
  <c r="M122" i="33"/>
  <c r="E128" i="9"/>
  <c r="M127" i="33"/>
  <c r="E133" i="9"/>
  <c r="M192" i="33"/>
  <c r="E198" i="9"/>
  <c r="M78" i="33"/>
  <c r="E84" i="9"/>
  <c r="M245" i="33"/>
  <c r="E251" i="9"/>
  <c r="M54" i="33"/>
  <c r="E60" i="9"/>
  <c r="M66" i="33"/>
  <c r="E72" i="9"/>
  <c r="M304" i="33"/>
  <c r="E310" i="9"/>
  <c r="M297" i="33"/>
  <c r="E303" i="9"/>
  <c r="M166" i="33"/>
  <c r="E172" i="9"/>
  <c r="M250" i="33"/>
  <c r="E256" i="9"/>
  <c r="M88" i="33"/>
  <c r="E94" i="9"/>
  <c r="M19" i="33"/>
  <c r="E25" i="9"/>
  <c r="M46" i="33"/>
  <c r="E52" i="9"/>
  <c r="M290" i="33"/>
  <c r="E296" i="9"/>
  <c r="M254" i="33"/>
  <c r="E260" i="9"/>
  <c r="M76" i="33"/>
  <c r="E82" i="9"/>
  <c r="M40" i="33"/>
  <c r="E46" i="9"/>
  <c r="M147" i="33"/>
  <c r="E153" i="9"/>
  <c r="M107" i="33"/>
  <c r="E113" i="9"/>
  <c r="M134" i="33"/>
  <c r="E140" i="9"/>
  <c r="M102" i="33"/>
  <c r="E108" i="9"/>
  <c r="M35" i="33"/>
  <c r="E41" i="9"/>
  <c r="M187" i="33"/>
  <c r="E193" i="9"/>
  <c r="M239" i="33"/>
  <c r="E245" i="9"/>
  <c r="M293" i="33"/>
  <c r="E299" i="9"/>
  <c r="M177" i="33"/>
  <c r="E183" i="9"/>
  <c r="M248" i="33"/>
  <c r="E254" i="9"/>
  <c r="M267" i="33"/>
  <c r="E273" i="9"/>
  <c r="M119" i="33"/>
  <c r="E125" i="9"/>
  <c r="M291" i="33"/>
  <c r="E297" i="9"/>
  <c r="M74" i="33"/>
  <c r="E80" i="9"/>
  <c r="M8" i="33"/>
  <c r="E14" i="9"/>
  <c r="M64" i="33"/>
  <c r="E70" i="9"/>
  <c r="M148" i="33"/>
  <c r="E154" i="9"/>
  <c r="M215" i="33"/>
  <c r="E221" i="9"/>
  <c r="M313" i="33"/>
  <c r="E319" i="9"/>
  <c r="M13" i="33"/>
  <c r="E19" i="9"/>
  <c r="M249" i="33"/>
  <c r="E255" i="9"/>
  <c r="M229" i="33"/>
  <c r="E235" i="9"/>
  <c r="M142" i="33"/>
  <c r="E148" i="9"/>
  <c r="M185" i="33"/>
  <c r="E191" i="9"/>
  <c r="M118" i="33"/>
  <c r="E124" i="9"/>
  <c r="M269" i="33"/>
  <c r="E275" i="9"/>
  <c r="M45" i="33"/>
  <c r="E51" i="9"/>
  <c r="M262" i="33"/>
  <c r="E268" i="9"/>
  <c r="M176" i="33"/>
  <c r="E182" i="9"/>
  <c r="M67" i="33"/>
  <c r="E73" i="9"/>
  <c r="M307" i="33"/>
  <c r="E313" i="9"/>
  <c r="M9" i="33"/>
  <c r="E15" i="9"/>
  <c r="M165" i="33"/>
  <c r="E171" i="9"/>
  <c r="M157" i="33"/>
  <c r="E163" i="9"/>
  <c r="M12" i="33"/>
  <c r="E18" i="9"/>
  <c r="M243" i="33"/>
  <c r="E249" i="9"/>
  <c r="M104" i="33"/>
  <c r="E110" i="9"/>
  <c r="M72" i="33"/>
  <c r="E78" i="9"/>
  <c r="M264" i="33"/>
  <c r="E270" i="9"/>
  <c r="M111" i="33"/>
  <c r="E117" i="9"/>
  <c r="M311" i="33"/>
  <c r="E317" i="9"/>
  <c r="M172" i="33"/>
  <c r="E178" i="9"/>
  <c r="M14" i="33"/>
  <c r="E20" i="9"/>
  <c r="M15" i="33"/>
  <c r="E21" i="9"/>
  <c r="M123" i="33"/>
  <c r="E129" i="9"/>
  <c r="M236" i="33"/>
  <c r="E242" i="9"/>
  <c r="M150" i="33"/>
  <c r="E156" i="9"/>
  <c r="M21" i="33"/>
  <c r="E27" i="9"/>
  <c r="M208" i="33"/>
  <c r="E214" i="9"/>
  <c r="M283" i="33"/>
  <c r="E289" i="9"/>
  <c r="M188" i="33"/>
  <c r="E194" i="9"/>
  <c r="M214" i="33"/>
  <c r="E220" i="9"/>
  <c r="M256" i="33"/>
  <c r="E262" i="9"/>
  <c r="M227" i="33"/>
  <c r="E233" i="9"/>
  <c r="M292" i="33"/>
  <c r="E298" i="9"/>
  <c r="M164" i="33"/>
  <c r="E170" i="9"/>
  <c r="M259" i="33"/>
  <c r="E265" i="9"/>
  <c r="M32" i="33"/>
  <c r="E38" i="9"/>
  <c r="M79" i="33"/>
  <c r="E85" i="9"/>
  <c r="M246" i="33"/>
  <c r="E252" i="9"/>
  <c r="M195" i="33"/>
  <c r="E201" i="9"/>
  <c r="M287" i="33"/>
  <c r="E293" i="9"/>
  <c r="M121" i="33"/>
  <c r="E127" i="9"/>
  <c r="M222" i="33"/>
  <c r="E228" i="9"/>
  <c r="M234" i="33"/>
  <c r="E240" i="9"/>
  <c r="M89" i="33"/>
  <c r="E95" i="9"/>
  <c r="M226" i="33"/>
  <c r="E232" i="9"/>
  <c r="M237" i="33"/>
  <c r="E243" i="9"/>
  <c r="M65" i="33"/>
  <c r="E71" i="9"/>
  <c r="M193" i="33"/>
  <c r="E199" i="9"/>
  <c r="M244" i="33"/>
  <c r="E250" i="9"/>
  <c r="M219" i="33"/>
  <c r="E225" i="9"/>
  <c r="M106" i="33"/>
  <c r="E112" i="9"/>
  <c r="M280" i="33"/>
  <c r="E286" i="9"/>
  <c r="M212" i="33"/>
  <c r="E218" i="9"/>
  <c r="M294" i="33"/>
  <c r="E300" i="9"/>
  <c r="M95" i="33"/>
  <c r="E101" i="9"/>
  <c r="M36" i="33"/>
  <c r="E42" i="9"/>
  <c r="M149" i="33"/>
  <c r="E155" i="9"/>
  <c r="M159" i="33"/>
  <c r="E165" i="9"/>
  <c r="M261" i="33"/>
  <c r="E267" i="9"/>
  <c r="M22" i="33"/>
  <c r="E28" i="9"/>
  <c r="M216" i="33"/>
  <c r="E222" i="9"/>
  <c r="M186" i="33"/>
  <c r="E192" i="9"/>
  <c r="M197" i="33"/>
  <c r="E203" i="9"/>
  <c r="M284" i="33"/>
  <c r="E290" i="9"/>
  <c r="M85" i="33"/>
  <c r="E91" i="9"/>
  <c r="M305" i="33"/>
  <c r="E311" i="9"/>
  <c r="M308" i="33"/>
  <c r="E314" i="9"/>
  <c r="M141" i="33"/>
  <c r="E147" i="9"/>
  <c r="M205" i="33"/>
  <c r="E211" i="9"/>
  <c r="M39" i="33"/>
  <c r="E45" i="9"/>
  <c r="M289" i="33"/>
  <c r="E295" i="9"/>
  <c r="M198" i="33"/>
  <c r="E204" i="9"/>
  <c r="M6" i="33"/>
  <c r="E12" i="9"/>
  <c r="M211" i="33"/>
  <c r="E217" i="9"/>
  <c r="M231" i="33"/>
  <c r="E237" i="9"/>
  <c r="M86" i="33"/>
  <c r="E92" i="9"/>
  <c r="M90" i="33"/>
  <c r="E96" i="9"/>
  <c r="M52" i="33"/>
  <c r="E58" i="9"/>
  <c r="M41" i="33"/>
  <c r="E47" i="9"/>
  <c r="M27" i="33"/>
  <c r="E33" i="9"/>
  <c r="M71" i="33"/>
  <c r="E77" i="9"/>
  <c r="M200" i="33"/>
  <c r="E206" i="9"/>
  <c r="M115" i="33"/>
  <c r="E121" i="9"/>
  <c r="M310" i="33"/>
  <c r="E316" i="9"/>
  <c r="M132" i="33"/>
  <c r="E138" i="9"/>
  <c r="M171" i="33"/>
  <c r="E177" i="9"/>
  <c r="M29" i="33"/>
  <c r="E35" i="9"/>
  <c r="M241" i="33"/>
  <c r="E247" i="9"/>
  <c r="M260" i="33"/>
  <c r="E266" i="9"/>
  <c r="M235" i="33"/>
  <c r="E241" i="9"/>
  <c r="M83" i="33"/>
  <c r="E89" i="9"/>
  <c r="M120" i="33"/>
  <c r="E126" i="9"/>
  <c r="M302" i="33"/>
  <c r="E308" i="9"/>
  <c r="M277" i="33"/>
  <c r="E283" i="9"/>
  <c r="M10" i="33"/>
  <c r="E16" i="9"/>
  <c r="M223" i="33"/>
  <c r="E229" i="9"/>
  <c r="M181" i="33"/>
  <c r="E187" i="9"/>
  <c r="M271" i="33"/>
  <c r="E277" i="9"/>
  <c r="M204" i="33"/>
  <c r="E210" i="9"/>
  <c r="M101" i="33"/>
  <c r="E107" i="9"/>
  <c r="M137" i="33"/>
  <c r="E143" i="9"/>
  <c r="M306" i="33"/>
  <c r="E312" i="9"/>
  <c r="M190" i="33"/>
  <c r="E196" i="9"/>
  <c r="M201" i="33"/>
  <c r="E207" i="9"/>
  <c r="M63" i="33"/>
  <c r="E69" i="9"/>
  <c r="M153" i="33"/>
  <c r="E159" i="9"/>
  <c r="M206" i="33"/>
  <c r="E212" i="9"/>
  <c r="M25" i="33"/>
  <c r="E31" i="9"/>
  <c r="M131" i="33"/>
  <c r="E137" i="9"/>
  <c r="M296" i="33"/>
  <c r="E302" i="9"/>
  <c r="M108" i="33"/>
  <c r="E114" i="9"/>
  <c r="M110" i="33"/>
  <c r="E116" i="9"/>
  <c r="M103" i="33"/>
  <c r="E109" i="9"/>
  <c r="M80" i="33"/>
  <c r="E86" i="9"/>
  <c r="M24" i="33"/>
  <c r="E30" i="9"/>
  <c r="M169" i="33"/>
  <c r="E175" i="9"/>
  <c r="M203" i="33"/>
  <c r="E209" i="9"/>
  <c r="M309" i="33"/>
  <c r="E315" i="9"/>
  <c r="M34" i="33"/>
  <c r="E40" i="9"/>
  <c r="M240" i="33"/>
  <c r="E246" i="9"/>
  <c r="M265" i="33"/>
  <c r="E271" i="9"/>
  <c r="D18" i="48"/>
  <c r="L5" i="33"/>
  <c r="M5" i="33" s="1"/>
  <c r="C5" i="11" s="1"/>
  <c r="H5" i="11" s="1"/>
  <c r="I5" i="11" s="1"/>
  <c r="N296" i="33" l="1"/>
  <c r="D296" i="37" s="1"/>
  <c r="M297" i="49"/>
  <c r="C307" i="34"/>
  <c r="C296" i="11"/>
  <c r="N52" i="33"/>
  <c r="D52" i="37" s="1"/>
  <c r="M53" i="49"/>
  <c r="C52" i="11"/>
  <c r="C63" i="34"/>
  <c r="N219" i="33"/>
  <c r="D219" i="37" s="1"/>
  <c r="M220" i="49"/>
  <c r="C219" i="11"/>
  <c r="C230" i="34"/>
  <c r="N203" i="33"/>
  <c r="D203" i="37" s="1"/>
  <c r="M204" i="49"/>
  <c r="C203" i="11"/>
  <c r="C214" i="34"/>
  <c r="N131" i="33"/>
  <c r="D131" i="37" s="1"/>
  <c r="M132" i="49"/>
  <c r="C131" i="11"/>
  <c r="C142" i="34"/>
  <c r="N181" i="33"/>
  <c r="D181" i="37" s="1"/>
  <c r="M182" i="49"/>
  <c r="C181" i="11"/>
  <c r="C192" i="34"/>
  <c r="N260" i="33"/>
  <c r="D260" i="37" s="1"/>
  <c r="M261" i="49"/>
  <c r="C260" i="11"/>
  <c r="C271" i="34"/>
  <c r="N71" i="33"/>
  <c r="D71" i="37" s="1"/>
  <c r="M72" i="49"/>
  <c r="C82" i="34"/>
  <c r="C71" i="11"/>
  <c r="H71" i="11" s="1"/>
  <c r="I71" i="11" s="1"/>
  <c r="N6" i="33"/>
  <c r="D6" i="37" s="1"/>
  <c r="M7" i="49"/>
  <c r="C6" i="11"/>
  <c r="C17" i="34"/>
  <c r="N85" i="33"/>
  <c r="D85" i="37" s="1"/>
  <c r="M86" i="49"/>
  <c r="C96" i="34"/>
  <c r="C85" i="11"/>
  <c r="H85" i="11" s="1"/>
  <c r="I85" i="11" s="1"/>
  <c r="N149" i="33"/>
  <c r="D149" i="37" s="1"/>
  <c r="M150" i="49"/>
  <c r="C149" i="11"/>
  <c r="C160" i="34"/>
  <c r="N244" i="33"/>
  <c r="D244" i="37" s="1"/>
  <c r="M245" i="49"/>
  <c r="C244" i="11"/>
  <c r="C255" i="34"/>
  <c r="N226" i="33"/>
  <c r="D226" i="37" s="1"/>
  <c r="M227" i="49"/>
  <c r="C226" i="11"/>
  <c r="C237" i="34"/>
  <c r="N79" i="33"/>
  <c r="D79" i="37" s="1"/>
  <c r="M80" i="49"/>
  <c r="C90" i="34"/>
  <c r="C79" i="11"/>
  <c r="H79" i="11" s="1"/>
  <c r="I79" i="11" s="1"/>
  <c r="N292" i="33"/>
  <c r="D292" i="37" s="1"/>
  <c r="M293" i="49"/>
  <c r="C292" i="11"/>
  <c r="C303" i="34"/>
  <c r="N150" i="33"/>
  <c r="D150" i="37" s="1"/>
  <c r="M151" i="49"/>
  <c r="C150" i="11"/>
  <c r="C161" i="34"/>
  <c r="N14" i="33"/>
  <c r="D14" i="37" s="1"/>
  <c r="M15" i="49"/>
  <c r="C14" i="11"/>
  <c r="C25" i="34"/>
  <c r="N264" i="33"/>
  <c r="D264" i="37" s="1"/>
  <c r="M265" i="49"/>
  <c r="C275" i="34"/>
  <c r="C264" i="11"/>
  <c r="H264" i="11" s="1"/>
  <c r="I264" i="11" s="1"/>
  <c r="N12" i="33"/>
  <c r="D12" i="37" s="1"/>
  <c r="M13" i="49"/>
  <c r="C12" i="11"/>
  <c r="C23" i="34"/>
  <c r="N307" i="33"/>
  <c r="D307" i="37" s="1"/>
  <c r="M308" i="49"/>
  <c r="C307" i="11"/>
  <c r="C318" i="34"/>
  <c r="N45" i="33"/>
  <c r="D45" i="37" s="1"/>
  <c r="M46" i="49"/>
  <c r="C45" i="11"/>
  <c r="C56" i="34"/>
  <c r="N142" i="33"/>
  <c r="D142" i="37" s="1"/>
  <c r="M143" i="49"/>
  <c r="C142" i="11"/>
  <c r="C153" i="34"/>
  <c r="N313" i="33"/>
  <c r="D313" i="37" s="1"/>
  <c r="M314" i="49"/>
  <c r="C313" i="11"/>
  <c r="C324" i="34"/>
  <c r="N8" i="33"/>
  <c r="D8" i="37" s="1"/>
  <c r="M9" i="49"/>
  <c r="C19" i="34"/>
  <c r="C8" i="11"/>
  <c r="N267" i="33"/>
  <c r="D267" i="37" s="1"/>
  <c r="M268" i="49"/>
  <c r="C267" i="11"/>
  <c r="C278" i="34"/>
  <c r="N239" i="33"/>
  <c r="D239" i="37" s="1"/>
  <c r="M240" i="49"/>
  <c r="C239" i="11"/>
  <c r="H239" i="11" s="1"/>
  <c r="I239" i="11" s="1"/>
  <c r="C250" i="34"/>
  <c r="N134" i="33"/>
  <c r="D134" i="37" s="1"/>
  <c r="M135" i="49"/>
  <c r="C134" i="11"/>
  <c r="H134" i="11" s="1"/>
  <c r="I134" i="11" s="1"/>
  <c r="C145" i="34"/>
  <c r="N76" i="33"/>
  <c r="D76" i="37" s="1"/>
  <c r="M77" i="49"/>
  <c r="C76" i="11"/>
  <c r="C87" i="34"/>
  <c r="N19" i="33"/>
  <c r="D19" i="37" s="1"/>
  <c r="M20" i="49"/>
  <c r="C19" i="11"/>
  <c r="C30" i="34"/>
  <c r="N297" i="33"/>
  <c r="D297" i="37" s="1"/>
  <c r="M298" i="49"/>
  <c r="C297" i="11"/>
  <c r="C308" i="34"/>
  <c r="N245" i="33"/>
  <c r="D245" i="37" s="1"/>
  <c r="M246" i="49"/>
  <c r="C245" i="11"/>
  <c r="C256" i="34"/>
  <c r="N122" i="33"/>
  <c r="D122" i="37" s="1"/>
  <c r="M123" i="49"/>
  <c r="C122" i="11"/>
  <c r="C133" i="34"/>
  <c r="N112" i="33"/>
  <c r="D112" i="37" s="1"/>
  <c r="M113" i="49"/>
  <c r="C123" i="34"/>
  <c r="C112" i="11"/>
  <c r="N167" i="33"/>
  <c r="D167" i="37" s="1"/>
  <c r="M168" i="49"/>
  <c r="C178" i="34"/>
  <c r="C167" i="11"/>
  <c r="H167" i="11" s="1"/>
  <c r="I167" i="11" s="1"/>
  <c r="N225" i="33"/>
  <c r="D225" i="37" s="1"/>
  <c r="M226" i="49"/>
  <c r="C225" i="11"/>
  <c r="C236" i="34"/>
  <c r="N125" i="33"/>
  <c r="D125" i="37" s="1"/>
  <c r="M126" i="49"/>
  <c r="C136" i="34"/>
  <c r="C125" i="11"/>
  <c r="H125" i="11" s="1"/>
  <c r="I125" i="11" s="1"/>
  <c r="N48" i="33"/>
  <c r="D48" i="37" s="1"/>
  <c r="M49" i="49"/>
  <c r="C59" i="34"/>
  <c r="C48" i="11"/>
  <c r="N288" i="33"/>
  <c r="D288" i="37" s="1"/>
  <c r="M289" i="49"/>
  <c r="C299" i="34"/>
  <c r="C288" i="11"/>
  <c r="H288" i="11" s="1"/>
  <c r="I288" i="11" s="1"/>
  <c r="N84" i="33"/>
  <c r="D84" i="37" s="1"/>
  <c r="M85" i="49"/>
  <c r="C84" i="11"/>
  <c r="C95" i="34"/>
  <c r="N174" i="33"/>
  <c r="D174" i="37" s="1"/>
  <c r="M175" i="49"/>
  <c r="C174" i="11"/>
  <c r="C185" i="34"/>
  <c r="N99" i="33"/>
  <c r="D99" i="37" s="1"/>
  <c r="M100" i="49"/>
  <c r="C110" i="34"/>
  <c r="C99" i="11"/>
  <c r="N202" i="33"/>
  <c r="D202" i="37" s="1"/>
  <c r="M203" i="49"/>
  <c r="C202" i="11"/>
  <c r="C213" i="34"/>
  <c r="N87" i="33"/>
  <c r="D87" i="37" s="1"/>
  <c r="M88" i="49"/>
  <c r="C98" i="34"/>
  <c r="C87" i="11"/>
  <c r="N18" i="33"/>
  <c r="D18" i="37" s="1"/>
  <c r="M19" i="49"/>
  <c r="C18" i="11"/>
  <c r="C29" i="34"/>
  <c r="N228" i="33"/>
  <c r="D228" i="37" s="1"/>
  <c r="M229" i="49"/>
  <c r="C228" i="11"/>
  <c r="C239" i="34"/>
  <c r="N7" i="33"/>
  <c r="D7" i="37" s="1"/>
  <c r="M8" i="49"/>
  <c r="C18" i="34"/>
  <c r="C7" i="11"/>
  <c r="H7" i="11" s="1"/>
  <c r="I7" i="11" s="1"/>
  <c r="N51" i="33"/>
  <c r="D51" i="37" s="1"/>
  <c r="M52" i="49"/>
  <c r="C51" i="11"/>
  <c r="H51" i="11" s="1"/>
  <c r="I51" i="11" s="1"/>
  <c r="C62" i="34"/>
  <c r="N56" i="33"/>
  <c r="D56" i="37" s="1"/>
  <c r="M57" i="49"/>
  <c r="C67" i="34"/>
  <c r="C56" i="11"/>
  <c r="H56" i="11" s="1"/>
  <c r="I56" i="11" s="1"/>
  <c r="N170" i="33"/>
  <c r="D170" i="37" s="1"/>
  <c r="M171" i="49"/>
  <c r="C170" i="11"/>
  <c r="C181" i="34"/>
  <c r="N242" i="33"/>
  <c r="D242" i="37" s="1"/>
  <c r="M243" i="49"/>
  <c r="C242" i="11"/>
  <c r="C253" i="34"/>
  <c r="N57" i="33"/>
  <c r="D57" i="37" s="1"/>
  <c r="M58" i="49"/>
  <c r="C57" i="11"/>
  <c r="H57" i="11" s="1"/>
  <c r="I57" i="11" s="1"/>
  <c r="C68" i="34"/>
  <c r="N28" i="33"/>
  <c r="D28" i="37" s="1"/>
  <c r="M29" i="49"/>
  <c r="C28" i="11"/>
  <c r="C39" i="34"/>
  <c r="N184" i="33"/>
  <c r="D184" i="37" s="1"/>
  <c r="M185" i="49"/>
  <c r="C184" i="11"/>
  <c r="C195" i="34"/>
  <c r="N163" i="33"/>
  <c r="D163" i="37" s="1"/>
  <c r="M164" i="49"/>
  <c r="C163" i="11"/>
  <c r="H163" i="11" s="1"/>
  <c r="I163" i="11" s="1"/>
  <c r="C174" i="34"/>
  <c r="N183" i="33"/>
  <c r="D183" i="37" s="1"/>
  <c r="M184" i="49"/>
  <c r="C194" i="34"/>
  <c r="C183" i="11"/>
  <c r="N53" i="33"/>
  <c r="D53" i="37" s="1"/>
  <c r="M54" i="49"/>
  <c r="C64" i="34"/>
  <c r="C53" i="11"/>
  <c r="H53" i="11" s="1"/>
  <c r="I53" i="11" s="1"/>
  <c r="N33" i="33"/>
  <c r="D33" i="37" s="1"/>
  <c r="M34" i="49"/>
  <c r="C33" i="11"/>
  <c r="H33" i="11" s="1"/>
  <c r="I33" i="11" s="1"/>
  <c r="C44" i="34"/>
  <c r="N218" i="33"/>
  <c r="D218" i="37" s="1"/>
  <c r="M219" i="49"/>
  <c r="C218" i="11"/>
  <c r="C229" i="34"/>
  <c r="N82" i="33"/>
  <c r="D82" i="37" s="1"/>
  <c r="M83" i="49"/>
  <c r="C82" i="11"/>
  <c r="C93" i="34"/>
  <c r="N109" i="33"/>
  <c r="D109" i="37" s="1"/>
  <c r="M110" i="49"/>
  <c r="C120" i="34"/>
  <c r="C109" i="11"/>
  <c r="H109" i="11" s="1"/>
  <c r="I109" i="11" s="1"/>
  <c r="N20" i="33"/>
  <c r="D20" i="37" s="1"/>
  <c r="M21" i="49"/>
  <c r="C31" i="34"/>
  <c r="C20" i="11"/>
  <c r="N161" i="33"/>
  <c r="D161" i="37" s="1"/>
  <c r="M162" i="49"/>
  <c r="C161" i="11"/>
  <c r="C172" i="34"/>
  <c r="N286" i="33"/>
  <c r="D286" i="37" s="1"/>
  <c r="M287" i="49"/>
  <c r="C286" i="11"/>
  <c r="C297" i="34"/>
  <c r="N282" i="33"/>
  <c r="D282" i="37" s="1"/>
  <c r="M283" i="49"/>
  <c r="C282" i="11"/>
  <c r="C293" i="34"/>
  <c r="N303" i="33"/>
  <c r="D303" i="37" s="1"/>
  <c r="M304" i="49"/>
  <c r="C303" i="11"/>
  <c r="C314" i="34"/>
  <c r="N17" i="33"/>
  <c r="D17" i="37" s="1"/>
  <c r="M18" i="49"/>
  <c r="C17" i="11"/>
  <c r="C28" i="34"/>
  <c r="N279" i="33"/>
  <c r="D279" i="37" s="1"/>
  <c r="M280" i="49"/>
  <c r="C279" i="11"/>
  <c r="C290" i="34"/>
  <c r="N312" i="33"/>
  <c r="D312" i="37" s="1"/>
  <c r="M313" i="49"/>
  <c r="C323" i="34"/>
  <c r="C312" i="11"/>
  <c r="H312" i="11" s="1"/>
  <c r="I312" i="11" s="1"/>
  <c r="N153" i="33"/>
  <c r="D153" i="37" s="1"/>
  <c r="M154" i="49"/>
  <c r="C153" i="11"/>
  <c r="C164" i="34"/>
  <c r="N200" i="33"/>
  <c r="D200" i="37" s="1"/>
  <c r="M201" i="49"/>
  <c r="C211" i="34"/>
  <c r="C200" i="11"/>
  <c r="H200" i="11" s="1"/>
  <c r="I200" i="11" s="1"/>
  <c r="N186" i="33"/>
  <c r="D186" i="37" s="1"/>
  <c r="M187" i="49"/>
  <c r="C186" i="11"/>
  <c r="C197" i="34"/>
  <c r="N265" i="33"/>
  <c r="D265" i="37" s="1"/>
  <c r="M266" i="49"/>
  <c r="C265" i="11"/>
  <c r="C276" i="34"/>
  <c r="N103" i="33"/>
  <c r="D103" i="37" s="1"/>
  <c r="M104" i="49"/>
  <c r="C114" i="34"/>
  <c r="C103" i="11"/>
  <c r="N63" i="33"/>
  <c r="D63" i="37" s="1"/>
  <c r="M64" i="49"/>
  <c r="C74" i="34"/>
  <c r="C63" i="11"/>
  <c r="H63" i="11" s="1"/>
  <c r="I63" i="11" s="1"/>
  <c r="N137" i="33"/>
  <c r="D137" i="37" s="1"/>
  <c r="M138" i="49"/>
  <c r="C137" i="11"/>
  <c r="C148" i="34"/>
  <c r="N302" i="33"/>
  <c r="D302" i="37" s="1"/>
  <c r="M303" i="49"/>
  <c r="C302" i="11"/>
  <c r="H302" i="11" s="1"/>
  <c r="I302" i="11" s="1"/>
  <c r="C313" i="34"/>
  <c r="N132" i="33"/>
  <c r="D132" i="37" s="1"/>
  <c r="M133" i="49"/>
  <c r="C132" i="11"/>
  <c r="C143" i="34"/>
  <c r="N90" i="33"/>
  <c r="D90" i="37" s="1"/>
  <c r="M91" i="49"/>
  <c r="C101" i="34"/>
  <c r="C90" i="11"/>
  <c r="H90" i="11" s="1"/>
  <c r="I90" i="11" s="1"/>
  <c r="N205" i="33"/>
  <c r="D205" i="37" s="1"/>
  <c r="M206" i="49"/>
  <c r="C205" i="11"/>
  <c r="C216" i="34"/>
  <c r="N216" i="33"/>
  <c r="D216" i="37" s="1"/>
  <c r="M217" i="49"/>
  <c r="C227" i="34"/>
  <c r="C216" i="11"/>
  <c r="H216" i="11" s="1"/>
  <c r="I216" i="11" s="1"/>
  <c r="N212" i="33"/>
  <c r="D212" i="37" s="1"/>
  <c r="M213" i="49"/>
  <c r="C212" i="11"/>
  <c r="C223" i="34"/>
  <c r="N121" i="33"/>
  <c r="D121" i="37" s="1"/>
  <c r="M122" i="49"/>
  <c r="C121" i="11"/>
  <c r="C132" i="34"/>
  <c r="N188" i="33"/>
  <c r="D188" i="37" s="1"/>
  <c r="M189" i="49"/>
  <c r="C188" i="11"/>
  <c r="H188" i="11" s="1"/>
  <c r="I188" i="11" s="1"/>
  <c r="C199" i="34"/>
  <c r="N80" i="33"/>
  <c r="D80" i="37" s="1"/>
  <c r="M81" i="49"/>
  <c r="C91" i="34"/>
  <c r="C80" i="11"/>
  <c r="H80" i="11" s="1"/>
  <c r="I80" i="11" s="1"/>
  <c r="N171" i="33"/>
  <c r="D171" i="37" s="1"/>
  <c r="M172" i="49"/>
  <c r="C171" i="11"/>
  <c r="C182" i="34"/>
  <c r="N159" i="33"/>
  <c r="D159" i="37" s="1"/>
  <c r="M160" i="49"/>
  <c r="C170" i="34"/>
  <c r="C159" i="11"/>
  <c r="H159" i="11" s="1"/>
  <c r="I159" i="11" s="1"/>
  <c r="N240" i="33"/>
  <c r="D240" i="37" s="1"/>
  <c r="M241" i="49"/>
  <c r="C251" i="34"/>
  <c r="C240" i="11"/>
  <c r="N169" i="33"/>
  <c r="D169" i="37" s="1"/>
  <c r="M170" i="49"/>
  <c r="C169" i="11"/>
  <c r="H169" i="11" s="1"/>
  <c r="I169" i="11" s="1"/>
  <c r="C180" i="34"/>
  <c r="N110" i="33"/>
  <c r="D110" i="37" s="1"/>
  <c r="M111" i="49"/>
  <c r="C110" i="11"/>
  <c r="C121" i="34"/>
  <c r="N25" i="33"/>
  <c r="D25" i="37" s="1"/>
  <c r="M26" i="49"/>
  <c r="C25" i="11"/>
  <c r="C36" i="34"/>
  <c r="N201" i="33"/>
  <c r="D201" i="37" s="1"/>
  <c r="M202" i="49"/>
  <c r="C201" i="11"/>
  <c r="H201" i="11" s="1"/>
  <c r="I201" i="11" s="1"/>
  <c r="C212" i="34"/>
  <c r="N101" i="33"/>
  <c r="D101" i="37" s="1"/>
  <c r="M102" i="49"/>
  <c r="C112" i="34"/>
  <c r="C101" i="11"/>
  <c r="N223" i="33"/>
  <c r="D223" i="37" s="1"/>
  <c r="M224" i="49"/>
  <c r="C223" i="11"/>
  <c r="C234" i="34"/>
  <c r="N120" i="33"/>
  <c r="D120" i="37" s="1"/>
  <c r="M121" i="49"/>
  <c r="C131" i="34"/>
  <c r="C120" i="11"/>
  <c r="H120" i="11" s="1"/>
  <c r="I120" i="11" s="1"/>
  <c r="N241" i="33"/>
  <c r="D241" i="37" s="1"/>
  <c r="M242" i="49"/>
  <c r="C241" i="11"/>
  <c r="C252" i="34"/>
  <c r="N310" i="33"/>
  <c r="D310" i="37" s="1"/>
  <c r="M311" i="49"/>
  <c r="C310" i="11"/>
  <c r="H310" i="11" s="1"/>
  <c r="I310" i="11" s="1"/>
  <c r="C321" i="34"/>
  <c r="N27" i="33"/>
  <c r="D27" i="37" s="1"/>
  <c r="M28" i="49"/>
  <c r="C27" i="11"/>
  <c r="C38" i="34"/>
  <c r="N86" i="33"/>
  <c r="D86" i="37" s="1"/>
  <c r="M87" i="49"/>
  <c r="C86" i="11"/>
  <c r="C97" i="34"/>
  <c r="N198" i="33"/>
  <c r="D198" i="37" s="1"/>
  <c r="M199" i="49"/>
  <c r="C198" i="11"/>
  <c r="C209" i="34"/>
  <c r="N141" i="33"/>
  <c r="D141" i="37" s="1"/>
  <c r="M142" i="49"/>
  <c r="C141" i="11"/>
  <c r="C152" i="34"/>
  <c r="N284" i="33"/>
  <c r="D284" i="37" s="1"/>
  <c r="M285" i="49"/>
  <c r="C284" i="11"/>
  <c r="C295" i="34"/>
  <c r="N22" i="33"/>
  <c r="D22" i="37" s="1"/>
  <c r="M23" i="49"/>
  <c r="C22" i="11"/>
  <c r="C33" i="34"/>
  <c r="N36" i="33"/>
  <c r="D36" i="37" s="1"/>
  <c r="M37" i="49"/>
  <c r="C36" i="11"/>
  <c r="C47" i="34"/>
  <c r="N280" i="33"/>
  <c r="D280" i="37" s="1"/>
  <c r="M281" i="49"/>
  <c r="C291" i="34"/>
  <c r="C280" i="11"/>
  <c r="H280" i="11" s="1"/>
  <c r="I280" i="11" s="1"/>
  <c r="N193" i="33"/>
  <c r="D193" i="37" s="1"/>
  <c r="M194" i="49"/>
  <c r="C193" i="11"/>
  <c r="H193" i="11" s="1"/>
  <c r="I193" i="11" s="1"/>
  <c r="C204" i="34"/>
  <c r="N89" i="33"/>
  <c r="D89" i="37" s="1"/>
  <c r="M90" i="49"/>
  <c r="C89" i="11"/>
  <c r="H89" i="11" s="1"/>
  <c r="I89" i="11" s="1"/>
  <c r="C100" i="34"/>
  <c r="N287" i="33"/>
  <c r="D287" i="37" s="1"/>
  <c r="M288" i="49"/>
  <c r="C298" i="34"/>
  <c r="C287" i="11"/>
  <c r="N32" i="33"/>
  <c r="D32" i="37" s="1"/>
  <c r="M33" i="49"/>
  <c r="C32" i="11"/>
  <c r="C43" i="34"/>
  <c r="N227" i="33"/>
  <c r="D227" i="37" s="1"/>
  <c r="M228" i="49"/>
  <c r="C227" i="11"/>
  <c r="C238" i="34"/>
  <c r="N283" i="33"/>
  <c r="D283" i="37" s="1"/>
  <c r="M284" i="49"/>
  <c r="C283" i="11"/>
  <c r="C294" i="34"/>
  <c r="N236" i="33"/>
  <c r="D236" i="37" s="1"/>
  <c r="M237" i="49"/>
  <c r="C236" i="11"/>
  <c r="C247" i="34"/>
  <c r="N172" i="33"/>
  <c r="D172" i="37" s="1"/>
  <c r="M173" i="49"/>
  <c r="C172" i="11"/>
  <c r="C183" i="34"/>
  <c r="N72" i="33"/>
  <c r="D72" i="37" s="1"/>
  <c r="M73" i="49"/>
  <c r="C83" i="34"/>
  <c r="C72" i="11"/>
  <c r="N157" i="33"/>
  <c r="D157" i="37" s="1"/>
  <c r="M158" i="49"/>
  <c r="C157" i="11"/>
  <c r="H157" i="11" s="1"/>
  <c r="I157" i="11" s="1"/>
  <c r="C168" i="34"/>
  <c r="N67" i="33"/>
  <c r="D67" i="37" s="1"/>
  <c r="M68" i="49"/>
  <c r="C67" i="11"/>
  <c r="C78" i="34"/>
  <c r="N269" i="33"/>
  <c r="D269" i="37" s="1"/>
  <c r="M270" i="49"/>
  <c r="C269" i="11"/>
  <c r="C280" i="34"/>
  <c r="N229" i="33"/>
  <c r="D229" i="37" s="1"/>
  <c r="M230" i="49"/>
  <c r="C229" i="11"/>
  <c r="H229" i="11" s="1"/>
  <c r="I229" i="11" s="1"/>
  <c r="C240" i="34"/>
  <c r="N215" i="33"/>
  <c r="D215" i="37" s="1"/>
  <c r="M216" i="49"/>
  <c r="C215" i="11"/>
  <c r="H215" i="11" s="1"/>
  <c r="I215" i="11" s="1"/>
  <c r="C226" i="34"/>
  <c r="N74" i="33"/>
  <c r="D74" i="37" s="1"/>
  <c r="M75" i="49"/>
  <c r="C74" i="11"/>
  <c r="C85" i="34"/>
  <c r="N248" i="33"/>
  <c r="D248" i="37" s="1"/>
  <c r="M249" i="49"/>
  <c r="C259" i="34"/>
  <c r="C248" i="11"/>
  <c r="H248" i="11" s="1"/>
  <c r="I248" i="11" s="1"/>
  <c r="N187" i="33"/>
  <c r="D187" i="37" s="1"/>
  <c r="M188" i="49"/>
  <c r="C187" i="11"/>
  <c r="H187" i="11" s="1"/>
  <c r="I187" i="11" s="1"/>
  <c r="C198" i="34"/>
  <c r="N107" i="33"/>
  <c r="D107" i="37" s="1"/>
  <c r="M108" i="49"/>
  <c r="C107" i="11"/>
  <c r="C118" i="34"/>
  <c r="N254" i="33"/>
  <c r="D254" i="37" s="1"/>
  <c r="M255" i="49"/>
  <c r="C254" i="11"/>
  <c r="C265" i="34"/>
  <c r="N88" i="33"/>
  <c r="D88" i="37" s="1"/>
  <c r="M89" i="49"/>
  <c r="C99" i="34"/>
  <c r="C88" i="11"/>
  <c r="H88" i="11" s="1"/>
  <c r="I88" i="11" s="1"/>
  <c r="N304" i="33"/>
  <c r="D304" i="37" s="1"/>
  <c r="M305" i="49"/>
  <c r="C315" i="34"/>
  <c r="C304" i="11"/>
  <c r="N78" i="33"/>
  <c r="D78" i="37" s="1"/>
  <c r="M79" i="49"/>
  <c r="C78" i="11"/>
  <c r="H78" i="11" s="1"/>
  <c r="I78" i="11" s="1"/>
  <c r="C89" i="34"/>
  <c r="N136" i="33"/>
  <c r="D136" i="37" s="1"/>
  <c r="M137" i="49"/>
  <c r="C147" i="34"/>
  <c r="C136" i="11"/>
  <c r="N155" i="33"/>
  <c r="D155" i="37" s="1"/>
  <c r="M156" i="49"/>
  <c r="C155" i="11"/>
  <c r="H155" i="11" s="1"/>
  <c r="I155" i="11" s="1"/>
  <c r="C166" i="34"/>
  <c r="N100" i="33"/>
  <c r="D100" i="37" s="1"/>
  <c r="M101" i="49"/>
  <c r="C100" i="11"/>
  <c r="H100" i="11" s="1"/>
  <c r="I100" i="11" s="1"/>
  <c r="C111" i="34"/>
  <c r="N251" i="33"/>
  <c r="D251" i="37" s="1"/>
  <c r="M252" i="49"/>
  <c r="C251" i="11"/>
  <c r="H251" i="11" s="1"/>
  <c r="I251" i="11" s="1"/>
  <c r="C262" i="34"/>
  <c r="N133" i="33"/>
  <c r="D133" i="37" s="1"/>
  <c r="M134" i="49"/>
  <c r="C133" i="11"/>
  <c r="H133" i="11" s="1"/>
  <c r="I133" i="11" s="1"/>
  <c r="C144" i="34"/>
  <c r="N182" i="33"/>
  <c r="D182" i="37" s="1"/>
  <c r="M183" i="49"/>
  <c r="C182" i="11"/>
  <c r="H182" i="11" s="1"/>
  <c r="I182" i="11" s="1"/>
  <c r="C193" i="34"/>
  <c r="N30" i="33"/>
  <c r="D30" i="37" s="1"/>
  <c r="M31" i="49"/>
  <c r="C30" i="11"/>
  <c r="H30" i="11" s="1"/>
  <c r="I30" i="11" s="1"/>
  <c r="C41" i="34"/>
  <c r="N70" i="33"/>
  <c r="D70" i="37" s="1"/>
  <c r="M71" i="49"/>
  <c r="C70" i="11"/>
  <c r="H70" i="11" s="1"/>
  <c r="I70" i="11" s="1"/>
  <c r="C81" i="34"/>
  <c r="N272" i="33"/>
  <c r="D272" i="37" s="1"/>
  <c r="M273" i="49"/>
  <c r="C283" i="34"/>
  <c r="C272" i="11"/>
  <c r="N252" i="33"/>
  <c r="D252" i="37" s="1"/>
  <c r="M253" i="49"/>
  <c r="C252" i="11"/>
  <c r="H252" i="11" s="1"/>
  <c r="I252" i="11" s="1"/>
  <c r="C263" i="34"/>
  <c r="N81" i="33"/>
  <c r="D81" i="37" s="1"/>
  <c r="M82" i="49"/>
  <c r="C81" i="11"/>
  <c r="C92" i="34"/>
  <c r="N263" i="33"/>
  <c r="D263" i="37" s="1"/>
  <c r="M264" i="49"/>
  <c r="C274" i="34"/>
  <c r="C263" i="11"/>
  <c r="H263" i="11" s="1"/>
  <c r="I263" i="11" s="1"/>
  <c r="N258" i="33"/>
  <c r="D258" i="37" s="1"/>
  <c r="M259" i="49"/>
  <c r="C258" i="11"/>
  <c r="C269" i="34"/>
  <c r="N135" i="33"/>
  <c r="D135" i="37" s="1"/>
  <c r="M136" i="49"/>
  <c r="C146" i="34"/>
  <c r="C135" i="11"/>
  <c r="H135" i="11" s="1"/>
  <c r="I135" i="11" s="1"/>
  <c r="N143" i="33"/>
  <c r="D143" i="37" s="1"/>
  <c r="M144" i="49"/>
  <c r="C143" i="11"/>
  <c r="C154" i="34"/>
  <c r="N60" i="33"/>
  <c r="D60" i="37" s="1"/>
  <c r="M61" i="49"/>
  <c r="C60" i="11"/>
  <c r="H60" i="11" s="1"/>
  <c r="I60" i="11" s="1"/>
  <c r="C71" i="34"/>
  <c r="N128" i="33"/>
  <c r="D128" i="37" s="1"/>
  <c r="M129" i="49"/>
  <c r="C128" i="11"/>
  <c r="H128" i="11" s="1"/>
  <c r="I128" i="11" s="1"/>
  <c r="C139" i="34"/>
  <c r="N145" i="33"/>
  <c r="D145" i="37" s="1"/>
  <c r="M146" i="49"/>
  <c r="C145" i="11"/>
  <c r="H145" i="11" s="1"/>
  <c r="I145" i="11" s="1"/>
  <c r="C156" i="34"/>
  <c r="N238" i="33"/>
  <c r="D238" i="37" s="1"/>
  <c r="M239" i="49"/>
  <c r="C238" i="11"/>
  <c r="C249" i="34"/>
  <c r="N154" i="33"/>
  <c r="D154" i="37" s="1"/>
  <c r="M155" i="49"/>
  <c r="C154" i="11"/>
  <c r="H154" i="11" s="1"/>
  <c r="I154" i="11" s="1"/>
  <c r="C165" i="34"/>
  <c r="N124" i="33"/>
  <c r="D124" i="37" s="1"/>
  <c r="M125" i="49"/>
  <c r="C124" i="11"/>
  <c r="H124" i="11" s="1"/>
  <c r="I124" i="11" s="1"/>
  <c r="C135" i="34"/>
  <c r="N281" i="33"/>
  <c r="D281" i="37" s="1"/>
  <c r="M282" i="49"/>
  <c r="C281" i="11"/>
  <c r="C292" i="34"/>
  <c r="N273" i="33"/>
  <c r="D273" i="37" s="1"/>
  <c r="M274" i="49"/>
  <c r="C273" i="11"/>
  <c r="C284" i="34"/>
  <c r="N179" i="33"/>
  <c r="D179" i="37" s="1"/>
  <c r="M180" i="49"/>
  <c r="C179" i="11"/>
  <c r="H179" i="11" s="1"/>
  <c r="I179" i="11" s="1"/>
  <c r="C190" i="34"/>
  <c r="N26" i="33"/>
  <c r="D26" i="37" s="1"/>
  <c r="M27" i="49"/>
  <c r="C26" i="11"/>
  <c r="C37" i="34"/>
  <c r="N113" i="33"/>
  <c r="D113" i="37" s="1"/>
  <c r="M114" i="49"/>
  <c r="C113" i="11"/>
  <c r="H113" i="11" s="1"/>
  <c r="I113" i="11" s="1"/>
  <c r="C124" i="34"/>
  <c r="N44" i="33"/>
  <c r="D44" i="37" s="1"/>
  <c r="M45" i="49"/>
  <c r="C44" i="11"/>
  <c r="C55" i="34"/>
  <c r="N191" i="33"/>
  <c r="D191" i="37" s="1"/>
  <c r="M192" i="49"/>
  <c r="C191" i="11"/>
  <c r="H191" i="11" s="1"/>
  <c r="I191" i="11" s="1"/>
  <c r="C202" i="34"/>
  <c r="N301" i="33"/>
  <c r="D301" i="37" s="1"/>
  <c r="M302" i="49"/>
  <c r="C301" i="11"/>
  <c r="C312" i="34"/>
  <c r="N62" i="33"/>
  <c r="D62" i="37" s="1"/>
  <c r="M63" i="49"/>
  <c r="C62" i="11"/>
  <c r="H62" i="11" s="1"/>
  <c r="I62" i="11" s="1"/>
  <c r="C73" i="34"/>
  <c r="N116" i="33"/>
  <c r="D116" i="37" s="1"/>
  <c r="M117" i="49"/>
  <c r="C127" i="34"/>
  <c r="C116" i="11"/>
  <c r="N47" i="33"/>
  <c r="D47" i="37" s="1"/>
  <c r="M48" i="49"/>
  <c r="C58" i="34"/>
  <c r="C47" i="11"/>
  <c r="H47" i="11" s="1"/>
  <c r="I47" i="11" s="1"/>
  <c r="N117" i="33"/>
  <c r="D117" i="37" s="1"/>
  <c r="M118" i="49"/>
  <c r="C117" i="11"/>
  <c r="C128" i="34"/>
  <c r="N275" i="33"/>
  <c r="D275" i="37" s="1"/>
  <c r="M276" i="49"/>
  <c r="C275" i="11"/>
  <c r="H275" i="11" s="1"/>
  <c r="I275" i="11" s="1"/>
  <c r="C286" i="34"/>
  <c r="N91" i="33"/>
  <c r="D91" i="37" s="1"/>
  <c r="M92" i="49"/>
  <c r="C91" i="11"/>
  <c r="H91" i="11" s="1"/>
  <c r="I91" i="11" s="1"/>
  <c r="C102" i="34"/>
  <c r="N126" i="33"/>
  <c r="D126" i="37" s="1"/>
  <c r="M127" i="49"/>
  <c r="C126" i="11"/>
  <c r="H126" i="11" s="1"/>
  <c r="I126" i="11" s="1"/>
  <c r="C137" i="34"/>
  <c r="N16" i="33"/>
  <c r="D16" i="37" s="1"/>
  <c r="M17" i="49"/>
  <c r="C16" i="11"/>
  <c r="H16" i="11" s="1"/>
  <c r="I16" i="11" s="1"/>
  <c r="C27" i="34"/>
  <c r="N277" i="33"/>
  <c r="D277" i="37" s="1"/>
  <c r="M278" i="49"/>
  <c r="C277" i="11"/>
  <c r="H277" i="11" s="1"/>
  <c r="I277" i="11" s="1"/>
  <c r="C288" i="34"/>
  <c r="N39" i="33"/>
  <c r="D39" i="37" s="1"/>
  <c r="M40" i="49"/>
  <c r="C50" i="34"/>
  <c r="C39" i="11"/>
  <c r="N309" i="33"/>
  <c r="D309" i="37" s="1"/>
  <c r="M310" i="49"/>
  <c r="C309" i="11"/>
  <c r="H309" i="11" s="1"/>
  <c r="I309" i="11" s="1"/>
  <c r="C320" i="34"/>
  <c r="N235" i="33"/>
  <c r="D235" i="37" s="1"/>
  <c r="M236" i="49"/>
  <c r="C235" i="11"/>
  <c r="C246" i="34"/>
  <c r="N294" i="33"/>
  <c r="D294" i="37" s="1"/>
  <c r="M295" i="49"/>
  <c r="C294" i="11"/>
  <c r="H294" i="11" s="1"/>
  <c r="I294" i="11" s="1"/>
  <c r="C305" i="34"/>
  <c r="N34" i="33"/>
  <c r="D34" i="37" s="1"/>
  <c r="M35" i="49"/>
  <c r="C34" i="11"/>
  <c r="H34" i="11" s="1"/>
  <c r="I34" i="11" s="1"/>
  <c r="C45" i="34"/>
  <c r="N108" i="33"/>
  <c r="D108" i="37" s="1"/>
  <c r="M109" i="49"/>
  <c r="C108" i="11"/>
  <c r="H108" i="11" s="1"/>
  <c r="I108" i="11" s="1"/>
  <c r="C119" i="34"/>
  <c r="N206" i="33"/>
  <c r="D206" i="37" s="1"/>
  <c r="M207" i="49"/>
  <c r="C206" i="11"/>
  <c r="C217" i="34"/>
  <c r="N204" i="33"/>
  <c r="D204" i="37" s="1"/>
  <c r="M205" i="49"/>
  <c r="C204" i="11"/>
  <c r="H204" i="11" s="1"/>
  <c r="I204" i="11" s="1"/>
  <c r="C215" i="34"/>
  <c r="N10" i="33"/>
  <c r="D10" i="37" s="1"/>
  <c r="M11" i="49"/>
  <c r="C10" i="11"/>
  <c r="C21" i="34"/>
  <c r="N29" i="33"/>
  <c r="D29" i="37" s="1"/>
  <c r="M30" i="49"/>
  <c r="C40" i="34"/>
  <c r="C29" i="11"/>
  <c r="N41" i="33"/>
  <c r="D41" i="37" s="1"/>
  <c r="M42" i="49"/>
  <c r="C41" i="11"/>
  <c r="C52" i="34"/>
  <c r="N289" i="33"/>
  <c r="D289" i="37" s="1"/>
  <c r="M290" i="49"/>
  <c r="C289" i="11"/>
  <c r="H289" i="11" s="1"/>
  <c r="I289" i="11" s="1"/>
  <c r="C300" i="34"/>
  <c r="N197" i="33"/>
  <c r="D197" i="37" s="1"/>
  <c r="M198" i="49"/>
  <c r="C197" i="11"/>
  <c r="C208" i="34"/>
  <c r="N261" i="33"/>
  <c r="D261" i="37" s="1"/>
  <c r="M262" i="49"/>
  <c r="C261" i="11"/>
  <c r="H261" i="11" s="1"/>
  <c r="I261" i="11" s="1"/>
  <c r="C272" i="34"/>
  <c r="N106" i="33"/>
  <c r="D106" i="37" s="1"/>
  <c r="M107" i="49"/>
  <c r="C106" i="11"/>
  <c r="H106" i="11" s="1"/>
  <c r="I106" i="11" s="1"/>
  <c r="C117" i="34"/>
  <c r="N234" i="33"/>
  <c r="D234" i="37" s="1"/>
  <c r="M235" i="49"/>
  <c r="C234" i="11"/>
  <c r="H234" i="11" s="1"/>
  <c r="I234" i="11" s="1"/>
  <c r="C245" i="34"/>
  <c r="N259" i="33"/>
  <c r="D259" i="37" s="1"/>
  <c r="M260" i="49"/>
  <c r="C259" i="11"/>
  <c r="H259" i="11" s="1"/>
  <c r="I259" i="11" s="1"/>
  <c r="C270" i="34"/>
  <c r="N256" i="33"/>
  <c r="D256" i="37" s="1"/>
  <c r="M257" i="49"/>
  <c r="C267" i="34"/>
  <c r="C256" i="11"/>
  <c r="H256" i="11" s="1"/>
  <c r="I256" i="11" s="1"/>
  <c r="N123" i="33"/>
  <c r="D123" i="37" s="1"/>
  <c r="M124" i="49"/>
  <c r="C123" i="11"/>
  <c r="H123" i="11" s="1"/>
  <c r="I123" i="11" s="1"/>
  <c r="C134" i="34"/>
  <c r="N311" i="33"/>
  <c r="D311" i="37" s="1"/>
  <c r="M312" i="49"/>
  <c r="C311" i="11"/>
  <c r="H311" i="11" s="1"/>
  <c r="I311" i="11" s="1"/>
  <c r="C322" i="34"/>
  <c r="N104" i="33"/>
  <c r="D104" i="37" s="1"/>
  <c r="M105" i="49"/>
  <c r="C115" i="34"/>
  <c r="C104" i="11"/>
  <c r="N165" i="33"/>
  <c r="D165" i="37" s="1"/>
  <c r="M166" i="49"/>
  <c r="C165" i="11"/>
  <c r="H165" i="11" s="1"/>
  <c r="I165" i="11" s="1"/>
  <c r="C176" i="34"/>
  <c r="N176" i="33"/>
  <c r="D176" i="37" s="1"/>
  <c r="M177" i="49"/>
  <c r="C176" i="11"/>
  <c r="H176" i="11" s="1"/>
  <c r="I176" i="11" s="1"/>
  <c r="C187" i="34"/>
  <c r="N118" i="33"/>
  <c r="D118" i="37" s="1"/>
  <c r="M119" i="49"/>
  <c r="C118" i="11"/>
  <c r="H118" i="11" s="1"/>
  <c r="I118" i="11" s="1"/>
  <c r="C129" i="34"/>
  <c r="N148" i="33"/>
  <c r="D148" i="37" s="1"/>
  <c r="M149" i="49"/>
  <c r="C148" i="11"/>
  <c r="H148" i="11" s="1"/>
  <c r="I148" i="11" s="1"/>
  <c r="C159" i="34"/>
  <c r="N291" i="33"/>
  <c r="D291" i="37" s="1"/>
  <c r="M292" i="49"/>
  <c r="C291" i="11"/>
  <c r="H291" i="11" s="1"/>
  <c r="I291" i="11" s="1"/>
  <c r="C302" i="34"/>
  <c r="N177" i="33"/>
  <c r="D177" i="37" s="1"/>
  <c r="M178" i="49"/>
  <c r="C177" i="11"/>
  <c r="C188" i="34"/>
  <c r="N35" i="33"/>
  <c r="D35" i="37" s="1"/>
  <c r="M36" i="49"/>
  <c r="C35" i="11"/>
  <c r="H35" i="11" s="1"/>
  <c r="I35" i="11" s="1"/>
  <c r="C46" i="34"/>
  <c r="N147" i="33"/>
  <c r="D147" i="37" s="1"/>
  <c r="M148" i="49"/>
  <c r="C147" i="11"/>
  <c r="H147" i="11" s="1"/>
  <c r="I147" i="11" s="1"/>
  <c r="C158" i="34"/>
  <c r="N290" i="33"/>
  <c r="D290" i="37" s="1"/>
  <c r="M291" i="49"/>
  <c r="C290" i="11"/>
  <c r="H290" i="11" s="1"/>
  <c r="I290" i="11" s="1"/>
  <c r="C301" i="34"/>
  <c r="N250" i="33"/>
  <c r="D250" i="37" s="1"/>
  <c r="M251" i="49"/>
  <c r="C250" i="11"/>
  <c r="H250" i="11" s="1"/>
  <c r="I250" i="11" s="1"/>
  <c r="C261" i="34"/>
  <c r="N66" i="33"/>
  <c r="D66" i="37" s="1"/>
  <c r="M67" i="49"/>
  <c r="C66" i="11"/>
  <c r="H66" i="11" s="1"/>
  <c r="I66" i="11" s="1"/>
  <c r="C77" i="34"/>
  <c r="N192" i="33"/>
  <c r="D192" i="37" s="1"/>
  <c r="M193" i="49"/>
  <c r="C203" i="34"/>
  <c r="C192" i="11"/>
  <c r="N96" i="33"/>
  <c r="D96" i="37" s="1"/>
  <c r="M97" i="49"/>
  <c r="C107" i="34"/>
  <c r="C96" i="11"/>
  <c r="H96" i="11" s="1"/>
  <c r="I96" i="11" s="1"/>
  <c r="N220" i="33"/>
  <c r="D220" i="37" s="1"/>
  <c r="M221" i="49"/>
  <c r="C220" i="11"/>
  <c r="C231" i="34"/>
  <c r="N92" i="33"/>
  <c r="D92" i="37" s="1"/>
  <c r="M93" i="49"/>
  <c r="C103" i="34"/>
  <c r="C92" i="11"/>
  <c r="H92" i="11" s="1"/>
  <c r="I92" i="11" s="1"/>
  <c r="N59" i="33"/>
  <c r="D59" i="37" s="1"/>
  <c r="M60" i="49"/>
  <c r="C59" i="11"/>
  <c r="H59" i="11" s="1"/>
  <c r="I59" i="11" s="1"/>
  <c r="C70" i="34"/>
  <c r="N162" i="33"/>
  <c r="D162" i="37" s="1"/>
  <c r="M163" i="49"/>
  <c r="C162" i="11"/>
  <c r="C173" i="34"/>
  <c r="N247" i="33"/>
  <c r="D247" i="37" s="1"/>
  <c r="M248" i="49"/>
  <c r="C247" i="11"/>
  <c r="H247" i="11" s="1"/>
  <c r="I247" i="11" s="1"/>
  <c r="C258" i="34"/>
  <c r="N213" i="33"/>
  <c r="D213" i="37" s="1"/>
  <c r="M214" i="49"/>
  <c r="C213" i="11"/>
  <c r="H213" i="11" s="1"/>
  <c r="I213" i="11" s="1"/>
  <c r="C224" i="34"/>
  <c r="N38" i="33"/>
  <c r="D38" i="37" s="1"/>
  <c r="M39" i="49"/>
  <c r="C38" i="11"/>
  <c r="H38" i="11" s="1"/>
  <c r="I38" i="11" s="1"/>
  <c r="C49" i="34"/>
  <c r="N98" i="33"/>
  <c r="D98" i="37" s="1"/>
  <c r="M99" i="49"/>
  <c r="C98" i="11"/>
  <c r="H98" i="11" s="1"/>
  <c r="I98" i="11" s="1"/>
  <c r="C109" i="34"/>
  <c r="N180" i="33"/>
  <c r="D180" i="37" s="1"/>
  <c r="M181" i="49"/>
  <c r="C180" i="11"/>
  <c r="H180" i="11" s="1"/>
  <c r="I180" i="11" s="1"/>
  <c r="C191" i="34"/>
  <c r="N274" i="33"/>
  <c r="D274" i="37" s="1"/>
  <c r="M275" i="49"/>
  <c r="C274" i="11"/>
  <c r="H274" i="11" s="1"/>
  <c r="I274" i="11" s="1"/>
  <c r="C285" i="34"/>
  <c r="N146" i="33"/>
  <c r="D146" i="37" s="1"/>
  <c r="M147" i="49"/>
  <c r="C146" i="11"/>
  <c r="C157" i="34"/>
  <c r="N94" i="33"/>
  <c r="D94" i="37" s="1"/>
  <c r="M95" i="49"/>
  <c r="C94" i="11"/>
  <c r="H94" i="11" s="1"/>
  <c r="I94" i="11" s="1"/>
  <c r="C105" i="34"/>
  <c r="N75" i="33"/>
  <c r="D75" i="37" s="1"/>
  <c r="M76" i="49"/>
  <c r="C75" i="11"/>
  <c r="H75" i="11" s="1"/>
  <c r="I75" i="11" s="1"/>
  <c r="C86" i="34"/>
  <c r="N285" i="33"/>
  <c r="D285" i="37" s="1"/>
  <c r="M286" i="49"/>
  <c r="C285" i="11"/>
  <c r="H285" i="11" s="1"/>
  <c r="I285" i="11" s="1"/>
  <c r="C296" i="34"/>
  <c r="N156" i="33"/>
  <c r="D156" i="37" s="1"/>
  <c r="M157" i="49"/>
  <c r="C156" i="11"/>
  <c r="C167" i="34"/>
  <c r="N97" i="33"/>
  <c r="D97" i="37" s="1"/>
  <c r="M98" i="49"/>
  <c r="C97" i="11"/>
  <c r="H97" i="11" s="1"/>
  <c r="I97" i="11" s="1"/>
  <c r="C108" i="34"/>
  <c r="N152" i="33"/>
  <c r="D152" i="37" s="1"/>
  <c r="M153" i="49"/>
  <c r="C163" i="34"/>
  <c r="C152" i="11"/>
  <c r="N55" i="33"/>
  <c r="D55" i="37" s="1"/>
  <c r="M56" i="49"/>
  <c r="C66" i="34"/>
  <c r="C55" i="11"/>
  <c r="H55" i="11" s="1"/>
  <c r="I55" i="11" s="1"/>
  <c r="N151" i="33"/>
  <c r="D151" i="37" s="1"/>
  <c r="M152" i="49"/>
  <c r="C151" i="11"/>
  <c r="H151" i="11" s="1"/>
  <c r="I151" i="11" s="1"/>
  <c r="C162" i="34"/>
  <c r="N266" i="33"/>
  <c r="D266" i="37" s="1"/>
  <c r="M267" i="49"/>
  <c r="C266" i="11"/>
  <c r="H266" i="11" s="1"/>
  <c r="I266" i="11" s="1"/>
  <c r="C277" i="34"/>
  <c r="N253" i="33"/>
  <c r="D253" i="37" s="1"/>
  <c r="M254" i="49"/>
  <c r="C253" i="11"/>
  <c r="H253" i="11" s="1"/>
  <c r="I253" i="11" s="1"/>
  <c r="C264" i="34"/>
  <c r="N160" i="33"/>
  <c r="D160" i="37" s="1"/>
  <c r="M161" i="49"/>
  <c r="C160" i="11"/>
  <c r="H160" i="11" s="1"/>
  <c r="I160" i="11" s="1"/>
  <c r="C171" i="34"/>
  <c r="N77" i="33"/>
  <c r="D77" i="37" s="1"/>
  <c r="M78" i="49"/>
  <c r="C77" i="11"/>
  <c r="C88" i="34"/>
  <c r="N255" i="33"/>
  <c r="D255" i="37" s="1"/>
  <c r="M256" i="49"/>
  <c r="C266" i="34"/>
  <c r="C255" i="11"/>
  <c r="H255" i="11" s="1"/>
  <c r="I255" i="11" s="1"/>
  <c r="N37" i="33"/>
  <c r="D37" i="37" s="1"/>
  <c r="M38" i="49"/>
  <c r="C48" i="34"/>
  <c r="C37" i="11"/>
  <c r="N175" i="33"/>
  <c r="D175" i="37" s="1"/>
  <c r="M176" i="49"/>
  <c r="C175" i="11"/>
  <c r="H175" i="11" s="1"/>
  <c r="I175" i="11" s="1"/>
  <c r="C186" i="34"/>
  <c r="N295" i="33"/>
  <c r="D295" i="37" s="1"/>
  <c r="M296" i="49"/>
  <c r="C306" i="34"/>
  <c r="C295" i="11"/>
  <c r="N210" i="33"/>
  <c r="D210" i="37" s="1"/>
  <c r="M211" i="49"/>
  <c r="C210" i="11"/>
  <c r="H210" i="11" s="1"/>
  <c r="I210" i="11" s="1"/>
  <c r="C221" i="34"/>
  <c r="N114" i="33"/>
  <c r="D114" i="37" s="1"/>
  <c r="M115" i="49"/>
  <c r="C125" i="34"/>
  <c r="C114" i="11"/>
  <c r="N230" i="33"/>
  <c r="D230" i="37" s="1"/>
  <c r="M231" i="49"/>
  <c r="C230" i="11"/>
  <c r="H230" i="11" s="1"/>
  <c r="I230" i="11" s="1"/>
  <c r="C241" i="34"/>
  <c r="N207" i="33"/>
  <c r="D207" i="37" s="1"/>
  <c r="M208" i="49"/>
  <c r="C207" i="11"/>
  <c r="H207" i="11" s="1"/>
  <c r="I207" i="11" s="1"/>
  <c r="C218" i="34"/>
  <c r="N93" i="33"/>
  <c r="D93" i="37" s="1"/>
  <c r="M94" i="49"/>
  <c r="C93" i="11"/>
  <c r="H93" i="11" s="1"/>
  <c r="I93" i="11" s="1"/>
  <c r="C104" i="34"/>
  <c r="N105" i="33"/>
  <c r="D105" i="37" s="1"/>
  <c r="M106" i="49"/>
  <c r="C105" i="11"/>
  <c r="C116" i="34"/>
  <c r="N300" i="33"/>
  <c r="D300" i="37" s="1"/>
  <c r="M301" i="49"/>
  <c r="C300" i="11"/>
  <c r="H300" i="11" s="1"/>
  <c r="I300" i="11" s="1"/>
  <c r="C311" i="34"/>
  <c r="N42" i="33"/>
  <c r="D42" i="37" s="1"/>
  <c r="M43" i="49"/>
  <c r="C42" i="11"/>
  <c r="H42" i="11" s="1"/>
  <c r="I42" i="11" s="1"/>
  <c r="C53" i="34"/>
  <c r="N209" i="33"/>
  <c r="D209" i="37" s="1"/>
  <c r="M210" i="49"/>
  <c r="C209" i="11"/>
  <c r="H209" i="11" s="1"/>
  <c r="I209" i="11" s="1"/>
  <c r="C220" i="34"/>
  <c r="N306" i="33"/>
  <c r="D306" i="37" s="1"/>
  <c r="M307" i="49"/>
  <c r="C306" i="11"/>
  <c r="H306" i="11" s="1"/>
  <c r="I306" i="11" s="1"/>
  <c r="C317" i="34"/>
  <c r="N24" i="33"/>
  <c r="D24" i="37" s="1"/>
  <c r="M25" i="49"/>
  <c r="C24" i="11"/>
  <c r="H24" i="11" s="1"/>
  <c r="I24" i="11" s="1"/>
  <c r="C35" i="34"/>
  <c r="N190" i="33"/>
  <c r="D190" i="37" s="1"/>
  <c r="M191" i="49"/>
  <c r="C190" i="11"/>
  <c r="C201" i="34"/>
  <c r="N83" i="33"/>
  <c r="D83" i="37" s="1"/>
  <c r="M84" i="49"/>
  <c r="C83" i="11"/>
  <c r="H83" i="11" s="1"/>
  <c r="I83" i="11" s="1"/>
  <c r="C94" i="34"/>
  <c r="N115" i="33"/>
  <c r="D115" i="37" s="1"/>
  <c r="M116" i="49"/>
  <c r="C115" i="11"/>
  <c r="C126" i="34"/>
  <c r="N231" i="33"/>
  <c r="D231" i="37" s="1"/>
  <c r="M232" i="49"/>
  <c r="C242" i="34"/>
  <c r="C231" i="11"/>
  <c r="H231" i="11" s="1"/>
  <c r="I231" i="11" s="1"/>
  <c r="N308" i="33"/>
  <c r="D308" i="37" s="1"/>
  <c r="M309" i="49"/>
  <c r="C308" i="11"/>
  <c r="H308" i="11" s="1"/>
  <c r="I308" i="11" s="1"/>
  <c r="C319" i="34"/>
  <c r="N95" i="33"/>
  <c r="D95" i="37" s="1"/>
  <c r="M96" i="49"/>
  <c r="C95" i="11"/>
  <c r="H95" i="11" s="1"/>
  <c r="I95" i="11" s="1"/>
  <c r="C106" i="34"/>
  <c r="N65" i="33"/>
  <c r="D65" i="37" s="1"/>
  <c r="M66" i="49"/>
  <c r="C65" i="11"/>
  <c r="C76" i="34"/>
  <c r="N195" i="33"/>
  <c r="D195" i="37" s="1"/>
  <c r="M196" i="49"/>
  <c r="C195" i="11"/>
  <c r="H195" i="11" s="1"/>
  <c r="I195" i="11" s="1"/>
  <c r="C206" i="34"/>
  <c r="N208" i="33"/>
  <c r="D208" i="37" s="1"/>
  <c r="M209" i="49"/>
  <c r="C208" i="11"/>
  <c r="H208" i="11" s="1"/>
  <c r="I208" i="11" s="1"/>
  <c r="C219" i="34"/>
  <c r="N249" i="33"/>
  <c r="D249" i="37" s="1"/>
  <c r="M250" i="49"/>
  <c r="C249" i="11"/>
  <c r="C260" i="34"/>
  <c r="N271" i="33"/>
  <c r="D271" i="37" s="1"/>
  <c r="M272" i="49"/>
  <c r="C271" i="11"/>
  <c r="C282" i="34"/>
  <c r="N211" i="33"/>
  <c r="D211" i="37" s="1"/>
  <c r="M212" i="49"/>
  <c r="C211" i="11"/>
  <c r="H211" i="11" s="1"/>
  <c r="I211" i="11" s="1"/>
  <c r="C222" i="34"/>
  <c r="N305" i="33"/>
  <c r="D305" i="37" s="1"/>
  <c r="M306" i="49"/>
  <c r="C305" i="11"/>
  <c r="H305" i="11" s="1"/>
  <c r="I305" i="11" s="1"/>
  <c r="C316" i="34"/>
  <c r="N237" i="33"/>
  <c r="D237" i="37" s="1"/>
  <c r="M238" i="49"/>
  <c r="C237" i="11"/>
  <c r="H237" i="11" s="1"/>
  <c r="I237" i="11" s="1"/>
  <c r="C248" i="34"/>
  <c r="N222" i="33"/>
  <c r="D222" i="37" s="1"/>
  <c r="M223" i="49"/>
  <c r="C222" i="11"/>
  <c r="H222" i="11" s="1"/>
  <c r="I222" i="11" s="1"/>
  <c r="C233" i="34"/>
  <c r="N246" i="33"/>
  <c r="D246" i="37" s="1"/>
  <c r="M247" i="49"/>
  <c r="C246" i="11"/>
  <c r="H246" i="11" s="1"/>
  <c r="I246" i="11" s="1"/>
  <c r="C257" i="34"/>
  <c r="N164" i="33"/>
  <c r="D164" i="37" s="1"/>
  <c r="M165" i="49"/>
  <c r="C164" i="11"/>
  <c r="H164" i="11" s="1"/>
  <c r="I164" i="11" s="1"/>
  <c r="C175" i="34"/>
  <c r="N214" i="33"/>
  <c r="D214" i="37" s="1"/>
  <c r="M215" i="49"/>
  <c r="C214" i="11"/>
  <c r="H214" i="11" s="1"/>
  <c r="I214" i="11" s="1"/>
  <c r="C225" i="34"/>
  <c r="N21" i="33"/>
  <c r="D21" i="37" s="1"/>
  <c r="M22" i="49"/>
  <c r="C21" i="11"/>
  <c r="C32" i="34"/>
  <c r="N15" i="33"/>
  <c r="D15" i="37" s="1"/>
  <c r="M16" i="49"/>
  <c r="C15" i="11"/>
  <c r="H15" i="11" s="1"/>
  <c r="I15" i="11" s="1"/>
  <c r="C26" i="34"/>
  <c r="N111" i="33"/>
  <c r="D111" i="37" s="1"/>
  <c r="M112" i="49"/>
  <c r="C122" i="34"/>
  <c r="C111" i="11"/>
  <c r="N243" i="33"/>
  <c r="D243" i="37" s="1"/>
  <c r="M244" i="49"/>
  <c r="C243" i="11"/>
  <c r="H243" i="11" s="1"/>
  <c r="I243" i="11" s="1"/>
  <c r="C254" i="34"/>
  <c r="N9" i="33"/>
  <c r="D9" i="37" s="1"/>
  <c r="M10" i="49"/>
  <c r="C9" i="11"/>
  <c r="H9" i="11" s="1"/>
  <c r="I9" i="11" s="1"/>
  <c r="C20" i="34"/>
  <c r="N262" i="33"/>
  <c r="D262" i="37" s="1"/>
  <c r="M263" i="49"/>
  <c r="C262" i="11"/>
  <c r="H262" i="11" s="1"/>
  <c r="I262" i="11" s="1"/>
  <c r="C273" i="34"/>
  <c r="N185" i="33"/>
  <c r="D185" i="37" s="1"/>
  <c r="M186" i="49"/>
  <c r="C185" i="11"/>
  <c r="H185" i="11" s="1"/>
  <c r="I185" i="11" s="1"/>
  <c r="C196" i="34"/>
  <c r="N13" i="33"/>
  <c r="D13" i="37" s="1"/>
  <c r="M14" i="49"/>
  <c r="C24" i="34"/>
  <c r="C13" i="11"/>
  <c r="H13" i="11" s="1"/>
  <c r="I13" i="11" s="1"/>
  <c r="N64" i="33"/>
  <c r="D64" i="37" s="1"/>
  <c r="M65" i="49"/>
  <c r="C75" i="34"/>
  <c r="C64" i="11"/>
  <c r="H64" i="11" s="1"/>
  <c r="I64" i="11" s="1"/>
  <c r="N119" i="33"/>
  <c r="D119" i="37" s="1"/>
  <c r="M120" i="49"/>
  <c r="C119" i="11"/>
  <c r="H119" i="11" s="1"/>
  <c r="I119" i="11" s="1"/>
  <c r="C130" i="34"/>
  <c r="N293" i="33"/>
  <c r="D293" i="37" s="1"/>
  <c r="M294" i="49"/>
  <c r="C293" i="11"/>
  <c r="C304" i="34"/>
  <c r="N102" i="33"/>
  <c r="D102" i="37" s="1"/>
  <c r="M103" i="49"/>
  <c r="C102" i="11"/>
  <c r="H102" i="11" s="1"/>
  <c r="I102" i="11" s="1"/>
  <c r="C113" i="34"/>
  <c r="N40" i="33"/>
  <c r="D40" i="37" s="1"/>
  <c r="M41" i="49"/>
  <c r="C51" i="34"/>
  <c r="C40" i="11"/>
  <c r="N46" i="33"/>
  <c r="D46" i="37" s="1"/>
  <c r="M47" i="49"/>
  <c r="C46" i="11"/>
  <c r="H46" i="11" s="1"/>
  <c r="I46" i="11" s="1"/>
  <c r="C57" i="34"/>
  <c r="N166" i="33"/>
  <c r="D166" i="37" s="1"/>
  <c r="M167" i="49"/>
  <c r="C166" i="11"/>
  <c r="C177" i="34"/>
  <c r="N54" i="33"/>
  <c r="D54" i="37" s="1"/>
  <c r="M55" i="49"/>
  <c r="C54" i="11"/>
  <c r="C65" i="34"/>
  <c r="N127" i="33"/>
  <c r="D127" i="37" s="1"/>
  <c r="M128" i="49"/>
  <c r="C138" i="34"/>
  <c r="C127" i="11"/>
  <c r="H127" i="11" s="1"/>
  <c r="I127" i="11" s="1"/>
  <c r="N173" i="33"/>
  <c r="D173" i="37" s="1"/>
  <c r="M174" i="49"/>
  <c r="C173" i="11"/>
  <c r="H173" i="11" s="1"/>
  <c r="I173" i="11" s="1"/>
  <c r="C184" i="34"/>
  <c r="N61" i="33"/>
  <c r="D61" i="37" s="1"/>
  <c r="M62" i="49"/>
  <c r="C61" i="11"/>
  <c r="C72" i="34"/>
  <c r="N189" i="33"/>
  <c r="D189" i="37" s="1"/>
  <c r="M190" i="49"/>
  <c r="C189" i="11"/>
  <c r="H189" i="11" s="1"/>
  <c r="I189" i="11" s="1"/>
  <c r="C200" i="34"/>
  <c r="N69" i="33"/>
  <c r="D69" i="37" s="1"/>
  <c r="M70" i="49"/>
  <c r="C80" i="34"/>
  <c r="C69" i="11"/>
  <c r="N144" i="33"/>
  <c r="D144" i="37" s="1"/>
  <c r="M145" i="49"/>
  <c r="C144" i="11"/>
  <c r="H144" i="11" s="1"/>
  <c r="I144" i="11" s="1"/>
  <c r="C155" i="34"/>
  <c r="N50" i="33"/>
  <c r="D50" i="37" s="1"/>
  <c r="M51" i="49"/>
  <c r="C50" i="11"/>
  <c r="H50" i="11" s="1"/>
  <c r="I50" i="11" s="1"/>
  <c r="C61" i="34"/>
  <c r="N138" i="33"/>
  <c r="D138" i="37" s="1"/>
  <c r="M139" i="49"/>
  <c r="C138" i="11"/>
  <c r="H138" i="11" s="1"/>
  <c r="I138" i="11" s="1"/>
  <c r="C149" i="34"/>
  <c r="N276" i="33"/>
  <c r="D276" i="37" s="1"/>
  <c r="M277" i="49"/>
  <c r="C276" i="11"/>
  <c r="C287" i="34"/>
  <c r="N194" i="33"/>
  <c r="D194" i="37" s="1"/>
  <c r="M195" i="49"/>
  <c r="C194" i="11"/>
  <c r="H194" i="11" s="1"/>
  <c r="I194" i="11" s="1"/>
  <c r="C205" i="34"/>
  <c r="N31" i="33"/>
  <c r="D31" i="37" s="1"/>
  <c r="M32" i="49"/>
  <c r="C42" i="34"/>
  <c r="C31" i="11"/>
  <c r="H31" i="11" s="1"/>
  <c r="I31" i="11" s="1"/>
  <c r="N58" i="33"/>
  <c r="D58" i="37" s="1"/>
  <c r="M59" i="49"/>
  <c r="C58" i="11"/>
  <c r="H58" i="11" s="1"/>
  <c r="I58" i="11" s="1"/>
  <c r="C69" i="34"/>
  <c r="N299" i="33"/>
  <c r="D299" i="37" s="1"/>
  <c r="M300" i="49"/>
  <c r="C299" i="11"/>
  <c r="H299" i="11" s="1"/>
  <c r="I299" i="11" s="1"/>
  <c r="C310" i="34"/>
  <c r="N168" i="33"/>
  <c r="D168" i="37" s="1"/>
  <c r="M169" i="49"/>
  <c r="C179" i="34"/>
  <c r="C168" i="11"/>
  <c r="H168" i="11" s="1"/>
  <c r="I168" i="11" s="1"/>
  <c r="N11" i="33"/>
  <c r="D11" i="37" s="1"/>
  <c r="M12" i="49"/>
  <c r="C11" i="11"/>
  <c r="C22" i="34"/>
  <c r="N140" i="33"/>
  <c r="D140" i="37" s="1"/>
  <c r="M141" i="49"/>
  <c r="C140" i="11"/>
  <c r="H140" i="11" s="1"/>
  <c r="I140" i="11" s="1"/>
  <c r="C151" i="34"/>
  <c r="N139" i="33"/>
  <c r="D139" i="37" s="1"/>
  <c r="M140" i="49"/>
  <c r="C139" i="11"/>
  <c r="C150" i="34"/>
  <c r="N221" i="33"/>
  <c r="D221" i="37" s="1"/>
  <c r="M222" i="49"/>
  <c r="C221" i="11"/>
  <c r="H221" i="11" s="1"/>
  <c r="I221" i="11" s="1"/>
  <c r="C232" i="34"/>
  <c r="N158" i="33"/>
  <c r="D158" i="37" s="1"/>
  <c r="M159" i="49"/>
  <c r="C158" i="11"/>
  <c r="H158" i="11" s="1"/>
  <c r="I158" i="11" s="1"/>
  <c r="C169" i="34"/>
  <c r="N270" i="33"/>
  <c r="D270" i="37" s="1"/>
  <c r="M271" i="49"/>
  <c r="C270" i="11"/>
  <c r="H270" i="11" s="1"/>
  <c r="I270" i="11" s="1"/>
  <c r="C281" i="34"/>
  <c r="N224" i="33"/>
  <c r="D224" i="37" s="1"/>
  <c r="M225" i="49"/>
  <c r="C235" i="34"/>
  <c r="C224" i="11"/>
  <c r="N217" i="33"/>
  <c r="D217" i="37" s="1"/>
  <c r="M218" i="49"/>
  <c r="C217" i="11"/>
  <c r="H217" i="11" s="1"/>
  <c r="I217" i="11" s="1"/>
  <c r="C228" i="34"/>
  <c r="N233" i="33"/>
  <c r="D233" i="37" s="1"/>
  <c r="M234" i="49"/>
  <c r="C233" i="11"/>
  <c r="H233" i="11" s="1"/>
  <c r="I233" i="11" s="1"/>
  <c r="C244" i="34"/>
  <c r="N268" i="33"/>
  <c r="D268" i="37" s="1"/>
  <c r="M269" i="49"/>
  <c r="C268" i="11"/>
  <c r="H268" i="11" s="1"/>
  <c r="I268" i="11" s="1"/>
  <c r="C279" i="34"/>
  <c r="N278" i="33"/>
  <c r="D278" i="37" s="1"/>
  <c r="M279" i="49"/>
  <c r="C278" i="11"/>
  <c r="H278" i="11" s="1"/>
  <c r="I278" i="11" s="1"/>
  <c r="C289" i="34"/>
  <c r="N23" i="33"/>
  <c r="D23" i="37" s="1"/>
  <c r="M24" i="49"/>
  <c r="C23" i="11"/>
  <c r="H23" i="11" s="1"/>
  <c r="I23" i="11" s="1"/>
  <c r="C34" i="34"/>
  <c r="N196" i="33"/>
  <c r="D196" i="37" s="1"/>
  <c r="M197" i="49"/>
  <c r="C196" i="11"/>
  <c r="H196" i="11" s="1"/>
  <c r="I196" i="11" s="1"/>
  <c r="C207" i="34"/>
  <c r="N49" i="33"/>
  <c r="D49" i="37" s="1"/>
  <c r="M50" i="49"/>
  <c r="C49" i="11"/>
  <c r="H49" i="11" s="1"/>
  <c r="I49" i="11" s="1"/>
  <c r="C60" i="34"/>
  <c r="N232" i="33"/>
  <c r="D232" i="37" s="1"/>
  <c r="M233" i="49"/>
  <c r="C243" i="34"/>
  <c r="C232" i="11"/>
  <c r="N129" i="33"/>
  <c r="D129" i="37" s="1"/>
  <c r="M130" i="49"/>
  <c r="C129" i="11"/>
  <c r="H129" i="11" s="1"/>
  <c r="I129" i="11" s="1"/>
  <c r="C140" i="34"/>
  <c r="N68" i="33"/>
  <c r="D68" i="37" s="1"/>
  <c r="M69" i="49"/>
  <c r="C68" i="11"/>
  <c r="H68" i="11" s="1"/>
  <c r="I68" i="11" s="1"/>
  <c r="C79" i="34"/>
  <c r="N73" i="33"/>
  <c r="D73" i="37" s="1"/>
  <c r="M74" i="49"/>
  <c r="C73" i="11"/>
  <c r="H73" i="11" s="1"/>
  <c r="I73" i="11" s="1"/>
  <c r="C84" i="34"/>
  <c r="N298" i="33"/>
  <c r="D298" i="37" s="1"/>
  <c r="M299" i="49"/>
  <c r="C298" i="11"/>
  <c r="H298" i="11" s="1"/>
  <c r="I298" i="11" s="1"/>
  <c r="C309" i="34"/>
  <c r="N43" i="33"/>
  <c r="D43" i="37" s="1"/>
  <c r="M44" i="49"/>
  <c r="C43" i="11"/>
  <c r="H43" i="11" s="1"/>
  <c r="I43" i="11" s="1"/>
  <c r="C54" i="34"/>
  <c r="N199" i="33"/>
  <c r="D199" i="37" s="1"/>
  <c r="M200" i="49"/>
  <c r="C199" i="11"/>
  <c r="H199" i="11" s="1"/>
  <c r="I199" i="11" s="1"/>
  <c r="C210" i="34"/>
  <c r="N130" i="33"/>
  <c r="D130" i="37" s="1"/>
  <c r="M131" i="49"/>
  <c r="C141" i="34"/>
  <c r="C130" i="11"/>
  <c r="H130" i="11" s="1"/>
  <c r="I130" i="11" s="1"/>
  <c r="N257" i="33"/>
  <c r="D257" i="37" s="1"/>
  <c r="M258" i="49"/>
  <c r="C257" i="11"/>
  <c r="H257" i="11" s="1"/>
  <c r="I257" i="11" s="1"/>
  <c r="C268" i="34"/>
  <c r="N178" i="33"/>
  <c r="D178" i="37" s="1"/>
  <c r="M179" i="49"/>
  <c r="C178" i="11"/>
  <c r="H178" i="11" s="1"/>
  <c r="I178" i="11" s="1"/>
  <c r="C189" i="34"/>
  <c r="E190" i="25"/>
  <c r="E221" i="25"/>
  <c r="H220" i="11"/>
  <c r="I220" i="11" s="1"/>
  <c r="E24" i="25"/>
  <c r="E40" i="25"/>
  <c r="H39" i="11"/>
  <c r="I39" i="11" s="1"/>
  <c r="E130" i="25"/>
  <c r="H29" i="11"/>
  <c r="I29" i="11" s="1"/>
  <c r="E30" i="25"/>
  <c r="E198" i="25"/>
  <c r="H197" i="11"/>
  <c r="I197" i="11" s="1"/>
  <c r="E134" i="25"/>
  <c r="E227" i="25"/>
  <c r="H226" i="11"/>
  <c r="I226" i="11" s="1"/>
  <c r="H8" i="11"/>
  <c r="I8" i="11" s="1"/>
  <c r="E9" i="25"/>
  <c r="E244" i="25"/>
  <c r="E276" i="25"/>
  <c r="E300" i="25"/>
  <c r="E234" i="25"/>
  <c r="E128" i="25"/>
  <c r="E311" i="25"/>
  <c r="E266" i="25"/>
  <c r="H265" i="11"/>
  <c r="I265" i="11" s="1"/>
  <c r="H45" i="11"/>
  <c r="I45" i="11" s="1"/>
  <c r="E46" i="25"/>
  <c r="E220" i="25"/>
  <c r="H219" i="11"/>
  <c r="I219" i="11" s="1"/>
  <c r="E72" i="25"/>
  <c r="E58" i="25"/>
  <c r="E19" i="25"/>
  <c r="H18" i="11"/>
  <c r="I18" i="11" s="1"/>
  <c r="E120" i="25"/>
  <c r="E270" i="25"/>
  <c r="H269" i="11"/>
  <c r="I269" i="11" s="1"/>
  <c r="E39" i="25"/>
  <c r="E189" i="25"/>
  <c r="E301" i="25"/>
  <c r="E256" i="25"/>
  <c r="E148" i="25"/>
  <c r="E252" i="25"/>
  <c r="E240" i="25"/>
  <c r="E138" i="25"/>
  <c r="H137" i="11"/>
  <c r="I137" i="11" s="1"/>
  <c r="E124" i="25"/>
  <c r="E48" i="25"/>
  <c r="E103" i="25"/>
  <c r="H254" i="11"/>
  <c r="I254" i="11" s="1"/>
  <c r="E255" i="25"/>
  <c r="E57" i="25"/>
  <c r="E187" i="25"/>
  <c r="H186" i="11"/>
  <c r="I186" i="11" s="1"/>
  <c r="E299" i="25"/>
  <c r="E66" i="25"/>
  <c r="H65" i="11"/>
  <c r="I65" i="11" s="1"/>
  <c r="E131" i="25"/>
  <c r="E65" i="25"/>
  <c r="E87" i="25"/>
  <c r="H86" i="11"/>
  <c r="I86" i="11" s="1"/>
  <c r="E109" i="25"/>
  <c r="E302" i="25"/>
  <c r="H301" i="11"/>
  <c r="I301" i="11" s="1"/>
  <c r="E309" i="25"/>
  <c r="E145" i="25"/>
  <c r="E201" i="25"/>
  <c r="E155" i="25"/>
  <c r="E135" i="25"/>
  <c r="E280" i="25"/>
  <c r="H279" i="11"/>
  <c r="I279" i="11" s="1"/>
  <c r="E101" i="25"/>
  <c r="E203" i="25"/>
  <c r="H202" i="11"/>
  <c r="I202" i="11" s="1"/>
  <c r="E241" i="25"/>
  <c r="H240" i="11"/>
  <c r="I240" i="11" s="1"/>
  <c r="E153" i="25"/>
  <c r="H152" i="11"/>
  <c r="I152" i="11" s="1"/>
  <c r="E176" i="25"/>
  <c r="E211" i="25"/>
  <c r="E71" i="25"/>
  <c r="E52" i="25"/>
  <c r="E243" i="25"/>
  <c r="E291" i="25"/>
  <c r="E8" i="25"/>
  <c r="H40" i="11"/>
  <c r="I40" i="11" s="1"/>
  <c r="E41" i="25"/>
  <c r="E160" i="25"/>
  <c r="E268" i="25"/>
  <c r="H267" i="11"/>
  <c r="I267" i="11" s="1"/>
  <c r="E158" i="25"/>
  <c r="E236" i="25"/>
  <c r="H235" i="11"/>
  <c r="I235" i="11" s="1"/>
  <c r="E14" i="25"/>
  <c r="E76" i="25"/>
  <c r="E74" i="25"/>
  <c r="E25" i="25"/>
  <c r="H273" i="11"/>
  <c r="I273" i="11" s="1"/>
  <c r="E274" i="25"/>
  <c r="H313" i="11"/>
  <c r="I313" i="11" s="1"/>
  <c r="E314" i="25"/>
  <c r="E80" i="25"/>
  <c r="H281" i="11"/>
  <c r="I281" i="11" s="1"/>
  <c r="E282" i="25"/>
  <c r="E44" i="25"/>
  <c r="E7" i="25"/>
  <c r="H6" i="11"/>
  <c r="I6" i="11" s="1"/>
  <c r="E306" i="25"/>
  <c r="H307" i="11"/>
  <c r="I307" i="11" s="1"/>
  <c r="E308" i="25"/>
  <c r="E165" i="25"/>
  <c r="E33" i="25"/>
  <c r="H32" i="11"/>
  <c r="I32" i="11" s="1"/>
  <c r="E197" i="25"/>
  <c r="E199" i="25"/>
  <c r="H198" i="11"/>
  <c r="I198" i="11" s="1"/>
  <c r="E60" i="25"/>
  <c r="E126" i="25"/>
  <c r="E205" i="25"/>
  <c r="E36" i="25"/>
  <c r="E143" i="25"/>
  <c r="H142" i="11"/>
  <c r="I142" i="11" s="1"/>
  <c r="E172" i="25"/>
  <c r="H171" i="11"/>
  <c r="I171" i="11" s="1"/>
  <c r="E208" i="25"/>
  <c r="E212" i="25"/>
  <c r="E136" i="25"/>
  <c r="E67" i="25"/>
  <c r="E175" i="25"/>
  <c r="H174" i="11"/>
  <c r="I174" i="11" s="1"/>
  <c r="E152" i="25"/>
  <c r="E112" i="25"/>
  <c r="H111" i="11"/>
  <c r="I111" i="11" s="1"/>
  <c r="E90" i="25"/>
  <c r="E110" i="25"/>
  <c r="H77" i="11"/>
  <c r="I77" i="11" s="1"/>
  <c r="E78" i="25"/>
  <c r="E92" i="25"/>
  <c r="H283" i="11"/>
  <c r="I283" i="11" s="1"/>
  <c r="E284" i="25"/>
  <c r="E232" i="25"/>
  <c r="E292" i="25"/>
  <c r="E269" i="25"/>
  <c r="E164" i="25"/>
  <c r="E305" i="25"/>
  <c r="H304" i="11"/>
  <c r="I304" i="11" s="1"/>
  <c r="E170" i="25"/>
  <c r="E294" i="25"/>
  <c r="H293" i="11"/>
  <c r="I293" i="11" s="1"/>
  <c r="E34" i="25"/>
  <c r="E214" i="25"/>
  <c r="E183" i="25"/>
  <c r="E245" i="25"/>
  <c r="H244" i="11"/>
  <c r="I244" i="11" s="1"/>
  <c r="E55" i="25"/>
  <c r="H54" i="11"/>
  <c r="I54" i="11" s="1"/>
  <c r="E149" i="25"/>
  <c r="E275" i="25"/>
  <c r="E161" i="25"/>
  <c r="E113" i="25"/>
  <c r="H112" i="11"/>
  <c r="I112" i="11" s="1"/>
  <c r="E137" i="25"/>
  <c r="H136" i="11"/>
  <c r="I136" i="11" s="1"/>
  <c r="E261" i="25"/>
  <c r="H260" i="11"/>
  <c r="I260" i="11" s="1"/>
  <c r="E157" i="25"/>
  <c r="H156" i="11"/>
  <c r="I156" i="11" s="1"/>
  <c r="E97" i="25"/>
  <c r="E182" i="25"/>
  <c r="H181" i="11"/>
  <c r="I181" i="11" s="1"/>
  <c r="E285" i="25"/>
  <c r="H284" i="11"/>
  <c r="I284" i="11" s="1"/>
  <c r="E186" i="25"/>
  <c r="E273" i="25"/>
  <c r="H272" i="11"/>
  <c r="I272" i="11" s="1"/>
  <c r="E238" i="25"/>
  <c r="E196" i="25"/>
  <c r="E258" i="25"/>
  <c r="H48" i="11"/>
  <c r="I48" i="11" s="1"/>
  <c r="E49" i="25"/>
  <c r="E254" i="25"/>
  <c r="E68" i="25"/>
  <c r="H67" i="11"/>
  <c r="I67" i="11" s="1"/>
  <c r="E188" i="25"/>
  <c r="E295" i="25"/>
  <c r="E142" i="25"/>
  <c r="H141" i="11"/>
  <c r="I141" i="11" s="1"/>
  <c r="E204" i="25"/>
  <c r="H203" i="11"/>
  <c r="I203" i="11" s="1"/>
  <c r="E191" i="25"/>
  <c r="H190" i="11"/>
  <c r="I190" i="11" s="1"/>
  <c r="E32" i="25"/>
  <c r="E123" i="25"/>
  <c r="H122" i="11"/>
  <c r="I122" i="11" s="1"/>
  <c r="E192" i="25"/>
  <c r="E242" i="25"/>
  <c r="H241" i="11"/>
  <c r="I241" i="11" s="1"/>
  <c r="E230" i="25"/>
  <c r="E116" i="25"/>
  <c r="H115" i="11"/>
  <c r="I115" i="11" s="1"/>
  <c r="E174" i="25"/>
  <c r="E84" i="25"/>
  <c r="E180" i="25"/>
  <c r="H21" i="11"/>
  <c r="I21" i="11" s="1"/>
  <c r="E22" i="25"/>
  <c r="E15" i="25"/>
  <c r="H14" i="11"/>
  <c r="I14" i="11" s="1"/>
  <c r="E27" i="25"/>
  <c r="H26" i="11"/>
  <c r="I26" i="11" s="1"/>
  <c r="E53" i="25"/>
  <c r="H52" i="11"/>
  <c r="I52" i="11" s="1"/>
  <c r="E215" i="25"/>
  <c r="E151" i="25"/>
  <c r="H150" i="11"/>
  <c r="I150" i="11" s="1"/>
  <c r="E82" i="25"/>
  <c r="H81" i="11"/>
  <c r="I81" i="11" s="1"/>
  <c r="E251" i="25"/>
  <c r="E150" i="25"/>
  <c r="H149" i="11"/>
  <c r="I149" i="11" s="1"/>
  <c r="E257" i="25"/>
  <c r="H72" i="11"/>
  <c r="I72" i="11" s="1"/>
  <c r="E73" i="25"/>
  <c r="E303" i="25"/>
  <c r="E283" i="25"/>
  <c r="H282" i="11"/>
  <c r="I282" i="11" s="1"/>
  <c r="E50" i="25"/>
  <c r="E312" i="25"/>
  <c r="E89" i="25"/>
  <c r="E185" i="25"/>
  <c r="H184" i="11"/>
  <c r="I184" i="11" s="1"/>
  <c r="E253" i="25"/>
  <c r="E179" i="25"/>
  <c r="E229" i="25"/>
  <c r="H228" i="11"/>
  <c r="I228" i="11" s="1"/>
  <c r="E115" i="25"/>
  <c r="H114" i="11"/>
  <c r="I114" i="11" s="1"/>
  <c r="E202" i="25"/>
  <c r="E289" i="25"/>
  <c r="E51" i="25"/>
  <c r="E171" i="25"/>
  <c r="H170" i="11"/>
  <c r="I170" i="11" s="1"/>
  <c r="E111" i="25"/>
  <c r="H110" i="11"/>
  <c r="I110" i="11" s="1"/>
  <c r="E297" i="25"/>
  <c r="H296" i="11"/>
  <c r="I296" i="11" s="1"/>
  <c r="E141" i="25"/>
  <c r="E260" i="25"/>
  <c r="E140" i="25"/>
  <c r="H139" i="11"/>
  <c r="I139" i="11" s="1"/>
  <c r="E93" i="25"/>
  <c r="E310" i="25"/>
  <c r="E118" i="25"/>
  <c r="H117" i="11"/>
  <c r="I117" i="11" s="1"/>
  <c r="E248" i="25"/>
  <c r="E104" i="25"/>
  <c r="H103" i="11"/>
  <c r="I103" i="11" s="1"/>
  <c r="E105" i="25"/>
  <c r="H104" i="11"/>
  <c r="I104" i="11" s="1"/>
  <c r="E166" i="25"/>
  <c r="E237" i="25"/>
  <c r="H236" i="11"/>
  <c r="I236" i="11" s="1"/>
  <c r="E47" i="25"/>
  <c r="E95" i="25"/>
  <c r="H258" i="11"/>
  <c r="I258" i="11" s="1"/>
  <c r="E259" i="25"/>
  <c r="E239" i="25"/>
  <c r="H238" i="11"/>
  <c r="I238" i="11" s="1"/>
  <c r="E267" i="25"/>
  <c r="E139" i="25"/>
  <c r="E235" i="25"/>
  <c r="E129" i="25"/>
  <c r="E81" i="25"/>
  <c r="E193" i="25"/>
  <c r="H192" i="11"/>
  <c r="I192" i="11" s="1"/>
  <c r="E247" i="25"/>
  <c r="E281" i="25"/>
  <c r="E61" i="25"/>
  <c r="E177" i="25"/>
  <c r="E42" i="25"/>
  <c r="H41" i="11"/>
  <c r="I41" i="11" s="1"/>
  <c r="E83" i="25"/>
  <c r="H82" i="11"/>
  <c r="I82" i="11" s="1"/>
  <c r="E108" i="25"/>
  <c r="H107" i="11"/>
  <c r="I107" i="11" s="1"/>
  <c r="E262" i="25"/>
  <c r="E64" i="25"/>
  <c r="E28" i="25"/>
  <c r="H27" i="11"/>
  <c r="I27" i="11" s="1"/>
  <c r="E223" i="25"/>
  <c r="E16" i="25"/>
  <c r="E279" i="25"/>
  <c r="E37" i="25"/>
  <c r="H36" i="11"/>
  <c r="I36" i="11" s="1"/>
  <c r="E31" i="25"/>
  <c r="E88" i="25"/>
  <c r="H87" i="11"/>
  <c r="I87" i="11" s="1"/>
  <c r="E96" i="25"/>
  <c r="E272" i="25"/>
  <c r="H271" i="11"/>
  <c r="I271" i="11" s="1"/>
  <c r="E233" i="25"/>
  <c r="H232" i="11"/>
  <c r="I232" i="11" s="1"/>
  <c r="E264" i="25"/>
  <c r="E26" i="25"/>
  <c r="H25" i="11"/>
  <c r="I25" i="11" s="1"/>
  <c r="E94" i="25"/>
  <c r="E11" i="25"/>
  <c r="H10" i="11"/>
  <c r="I10" i="11" s="1"/>
  <c r="E86" i="25"/>
  <c r="E210" i="25"/>
  <c r="E127" i="25"/>
  <c r="E216" i="25"/>
  <c r="E122" i="25"/>
  <c r="H121" i="11"/>
  <c r="I121" i="11" s="1"/>
  <c r="E184" i="25"/>
  <c r="H183" i="11"/>
  <c r="I183" i="11" s="1"/>
  <c r="E18" i="25"/>
  <c r="H17" i="11"/>
  <c r="I17" i="11" s="1"/>
  <c r="E146" i="25"/>
  <c r="E114" i="25"/>
  <c r="E12" i="25"/>
  <c r="H11" i="11"/>
  <c r="I11" i="11" s="1"/>
  <c r="E304" i="25"/>
  <c r="H303" i="11"/>
  <c r="I303" i="11" s="1"/>
  <c r="E29" i="25"/>
  <c r="H28" i="11"/>
  <c r="I28" i="11" s="1"/>
  <c r="E217" i="25"/>
  <c r="E100" i="25"/>
  <c r="H99" i="11"/>
  <c r="I99" i="11" s="1"/>
  <c r="E79" i="25"/>
  <c r="E194" i="25"/>
  <c r="E106" i="25"/>
  <c r="H105" i="11"/>
  <c r="I105" i="11" s="1"/>
  <c r="E59" i="25"/>
  <c r="E21" i="25"/>
  <c r="H20" i="11"/>
  <c r="I20" i="11" s="1"/>
  <c r="H297" i="11"/>
  <c r="I297" i="11" s="1"/>
  <c r="E298" i="25"/>
  <c r="E91" i="25"/>
  <c r="E10" i="25"/>
  <c r="E102" i="25"/>
  <c r="H101" i="11"/>
  <c r="I101" i="11" s="1"/>
  <c r="E228" i="25"/>
  <c r="H227" i="11"/>
  <c r="I227" i="11" s="1"/>
  <c r="E63" i="25"/>
  <c r="E168" i="25"/>
  <c r="E43" i="25"/>
  <c r="E154" i="25"/>
  <c r="H153" i="11"/>
  <c r="I153" i="11" s="1"/>
  <c r="E224" i="25"/>
  <c r="H223" i="11"/>
  <c r="I223" i="11" s="1"/>
  <c r="E107" i="25"/>
  <c r="E23" i="25"/>
  <c r="H22" i="11"/>
  <c r="I22" i="11" s="1"/>
  <c r="E286" i="25"/>
  <c r="E206" i="25"/>
  <c r="H205" i="11"/>
  <c r="I205" i="11" s="1"/>
  <c r="E195" i="25"/>
  <c r="E85" i="25"/>
  <c r="H84" i="11"/>
  <c r="I84" i="11" s="1"/>
  <c r="E178" i="25"/>
  <c r="H177" i="11"/>
  <c r="I177" i="11" s="1"/>
  <c r="H37" i="11"/>
  <c r="I37" i="11" s="1"/>
  <c r="E38" i="25"/>
  <c r="E45" i="25"/>
  <c r="H44" i="11"/>
  <c r="I44" i="11" s="1"/>
  <c r="E35" i="25"/>
  <c r="E54" i="25"/>
  <c r="E200" i="25"/>
  <c r="E20" i="25"/>
  <c r="H19" i="11"/>
  <c r="I19" i="11" s="1"/>
  <c r="E290" i="25"/>
  <c r="H69" i="11"/>
  <c r="I69" i="11" s="1"/>
  <c r="E70" i="25"/>
  <c r="E222" i="25"/>
  <c r="E226" i="25"/>
  <c r="H225" i="11"/>
  <c r="I225" i="11" s="1"/>
  <c r="E288" i="25"/>
  <c r="H287" i="11"/>
  <c r="I287" i="11" s="1"/>
  <c r="H61" i="11"/>
  <c r="I61" i="11" s="1"/>
  <c r="E62" i="25"/>
  <c r="E207" i="25"/>
  <c r="H206" i="11"/>
  <c r="I206" i="11" s="1"/>
  <c r="E162" i="25"/>
  <c r="H161" i="11"/>
  <c r="I161" i="11" s="1"/>
  <c r="E75" i="25"/>
  <c r="H74" i="11"/>
  <c r="I74" i="11" s="1"/>
  <c r="E98" i="25"/>
  <c r="E278" i="25"/>
  <c r="E246" i="25"/>
  <c r="H245" i="11"/>
  <c r="I245" i="11" s="1"/>
  <c r="E263" i="25"/>
  <c r="E250" i="25"/>
  <c r="H249" i="11"/>
  <c r="I249" i="11" s="1"/>
  <c r="E159" i="25"/>
  <c r="E13" i="25"/>
  <c r="H12" i="11"/>
  <c r="I12" i="11" s="1"/>
  <c r="E133" i="25"/>
  <c r="H132" i="11"/>
  <c r="I132" i="11" s="1"/>
  <c r="E144" i="25"/>
  <c r="H143" i="11"/>
  <c r="I143" i="11" s="1"/>
  <c r="E69" i="25"/>
  <c r="E17" i="25"/>
  <c r="E56" i="25"/>
  <c r="E225" i="25"/>
  <c r="H224" i="11"/>
  <c r="I224" i="11" s="1"/>
  <c r="E77" i="25"/>
  <c r="H76" i="11"/>
  <c r="I76" i="11" s="1"/>
  <c r="E219" i="25"/>
  <c r="H218" i="11"/>
  <c r="I218" i="11" s="1"/>
  <c r="E231" i="25"/>
  <c r="E125" i="25"/>
  <c r="E296" i="25"/>
  <c r="H295" i="11"/>
  <c r="I295" i="11" s="1"/>
  <c r="E293" i="25"/>
  <c r="H292" i="11"/>
  <c r="I292" i="11" s="1"/>
  <c r="E277" i="25"/>
  <c r="H276" i="11"/>
  <c r="I276" i="11" s="1"/>
  <c r="E313" i="25"/>
  <c r="E99" i="25"/>
  <c r="E169" i="25"/>
  <c r="E307" i="25"/>
  <c r="E121" i="25"/>
  <c r="E156" i="25"/>
  <c r="E209" i="25"/>
  <c r="E167" i="25"/>
  <c r="H166" i="11"/>
  <c r="I166" i="11" s="1"/>
  <c r="E119" i="25"/>
  <c r="E218" i="25"/>
  <c r="E163" i="25"/>
  <c r="H162" i="11"/>
  <c r="I162" i="11" s="1"/>
  <c r="E173" i="25"/>
  <c r="H172" i="11"/>
  <c r="I172" i="11" s="1"/>
  <c r="E147" i="25"/>
  <c r="H146" i="11"/>
  <c r="I146" i="11" s="1"/>
  <c r="E181" i="25"/>
  <c r="E117" i="25"/>
  <c r="H116" i="11"/>
  <c r="I116" i="11" s="1"/>
  <c r="E265" i="25"/>
  <c r="E287" i="25"/>
  <c r="H286" i="11"/>
  <c r="I286" i="11" s="1"/>
  <c r="E271" i="25"/>
  <c r="E249" i="25"/>
  <c r="E213" i="25"/>
  <c r="H212" i="11"/>
  <c r="I212" i="11" s="1"/>
  <c r="F18" i="48"/>
  <c r="E11" i="9"/>
  <c r="M6" i="49"/>
  <c r="L314" i="33"/>
  <c r="C6" i="9" s="1"/>
  <c r="C7" i="9" s="1"/>
  <c r="H242" i="11" l="1"/>
  <c r="I242" i="11" s="1"/>
  <c r="L242" i="11"/>
  <c r="M242" i="11" s="1"/>
  <c r="E132" i="25"/>
  <c r="H131" i="11"/>
  <c r="I131" i="11" s="1"/>
  <c r="L288" i="11"/>
  <c r="M288" i="11" s="1"/>
  <c r="L114" i="11"/>
  <c r="M114" i="11" s="1"/>
  <c r="L64" i="11"/>
  <c r="M64" i="11" s="1"/>
  <c r="L75" i="11"/>
  <c r="M75" i="11" s="1"/>
  <c r="L13" i="11"/>
  <c r="M13" i="11" s="1"/>
  <c r="L37" i="11"/>
  <c r="M37" i="11" s="1"/>
  <c r="L137" i="11"/>
  <c r="M137" i="11" s="1"/>
  <c r="L121" i="11"/>
  <c r="M121" i="11" s="1"/>
  <c r="L89" i="11"/>
  <c r="M89" i="11" s="1"/>
  <c r="L87" i="11"/>
  <c r="M87" i="11" s="1"/>
  <c r="L17" i="11"/>
  <c r="M17" i="11" s="1"/>
  <c r="L49" i="11"/>
  <c r="M49" i="11" s="1"/>
  <c r="L19" i="11"/>
  <c r="M19" i="11" s="1"/>
  <c r="L34" i="11"/>
  <c r="M34" i="11" s="1"/>
  <c r="L66" i="11"/>
  <c r="M66" i="11" s="1"/>
  <c r="L108" i="11"/>
  <c r="M108" i="11" s="1"/>
  <c r="L158" i="11"/>
  <c r="M158" i="11" s="1"/>
  <c r="L206" i="11"/>
  <c r="M206" i="11" s="1"/>
  <c r="L271" i="11"/>
  <c r="M271" i="11" s="1"/>
  <c r="L311" i="11"/>
  <c r="M311" i="11" s="1"/>
  <c r="L260" i="11"/>
  <c r="M260" i="11" s="1"/>
  <c r="L256" i="11"/>
  <c r="M256" i="11" s="1"/>
  <c r="L281" i="11"/>
  <c r="M281" i="11" s="1"/>
  <c r="L249" i="11"/>
  <c r="M249" i="11" s="1"/>
  <c r="L147" i="11"/>
  <c r="M147" i="11" s="1"/>
  <c r="L14" i="11"/>
  <c r="M14" i="11" s="1"/>
  <c r="L188" i="11"/>
  <c r="M188" i="11" s="1"/>
  <c r="L156" i="11"/>
  <c r="M156" i="11" s="1"/>
  <c r="L110" i="11"/>
  <c r="M110" i="11" s="1"/>
  <c r="L78" i="11"/>
  <c r="M78" i="11" s="1"/>
  <c r="L99" i="11"/>
  <c r="M99" i="11" s="1"/>
  <c r="L85" i="11"/>
  <c r="M85" i="11" s="1"/>
  <c r="L36" i="11"/>
  <c r="M36" i="11" s="1"/>
  <c r="L79" i="11"/>
  <c r="M79" i="11" s="1"/>
  <c r="L23" i="11"/>
  <c r="M23" i="11" s="1"/>
  <c r="L38" i="11"/>
  <c r="M38" i="11" s="1"/>
  <c r="L139" i="11"/>
  <c r="M139" i="11" s="1"/>
  <c r="L112" i="11"/>
  <c r="M112" i="11" s="1"/>
  <c r="L146" i="11"/>
  <c r="M146" i="11" s="1"/>
  <c r="L178" i="11"/>
  <c r="M178" i="11" s="1"/>
  <c r="L210" i="11"/>
  <c r="M210" i="11" s="1"/>
  <c r="L243" i="11"/>
  <c r="M243" i="11" s="1"/>
  <c r="L275" i="11"/>
  <c r="M275" i="11" s="1"/>
  <c r="L297" i="11"/>
  <c r="M297" i="11" s="1"/>
  <c r="L313" i="11"/>
  <c r="M313" i="11" s="1"/>
  <c r="L252" i="11"/>
  <c r="M252" i="11" s="1"/>
  <c r="L298" i="11"/>
  <c r="M298" i="11" s="1"/>
  <c r="L215" i="11"/>
  <c r="M215" i="11" s="1"/>
  <c r="L151" i="11"/>
  <c r="M151" i="11" s="1"/>
  <c r="L43" i="11"/>
  <c r="M43" i="11" s="1"/>
  <c r="L270" i="11"/>
  <c r="M270" i="11" s="1"/>
  <c r="L254" i="11"/>
  <c r="M254" i="11" s="1"/>
  <c r="L237" i="11"/>
  <c r="M237" i="11" s="1"/>
  <c r="L221" i="11"/>
  <c r="M221" i="11" s="1"/>
  <c r="L171" i="11"/>
  <c r="M171" i="11" s="1"/>
  <c r="L63" i="11"/>
  <c r="M63" i="11" s="1"/>
  <c r="L6" i="11"/>
  <c r="M6" i="11" s="1"/>
  <c r="L209" i="11"/>
  <c r="M209" i="11" s="1"/>
  <c r="L193" i="11"/>
  <c r="M193" i="11" s="1"/>
  <c r="L177" i="11"/>
  <c r="M177" i="11" s="1"/>
  <c r="L161" i="11"/>
  <c r="M161" i="11" s="1"/>
  <c r="L145" i="11"/>
  <c r="M145" i="11" s="1"/>
  <c r="L138" i="11"/>
  <c r="M138" i="11" s="1"/>
  <c r="L106" i="11"/>
  <c r="M106" i="11" s="1"/>
  <c r="L48" i="11"/>
  <c r="M48" i="11" s="1"/>
  <c r="L123" i="11"/>
  <c r="M123" i="11" s="1"/>
  <c r="L113" i="11"/>
  <c r="M113" i="11" s="1"/>
  <c r="L81" i="11"/>
  <c r="M81" i="11" s="1"/>
  <c r="L60" i="11"/>
  <c r="M60" i="11" s="1"/>
  <c r="L71" i="11"/>
  <c r="M71" i="11" s="1"/>
  <c r="L33" i="11"/>
  <c r="M33" i="11" s="1"/>
  <c r="L27" i="11"/>
  <c r="M27" i="11" s="1"/>
  <c r="L42" i="11"/>
  <c r="M42" i="11" s="1"/>
  <c r="L68" i="11"/>
  <c r="M68" i="11" s="1"/>
  <c r="L116" i="11"/>
  <c r="M116" i="11" s="1"/>
  <c r="L150" i="11"/>
  <c r="M150" i="11" s="1"/>
  <c r="L182" i="11"/>
  <c r="M182" i="11" s="1"/>
  <c r="L214" i="11"/>
  <c r="M214" i="11" s="1"/>
  <c r="L247" i="11"/>
  <c r="M247" i="11" s="1"/>
  <c r="L279" i="11"/>
  <c r="M279" i="11" s="1"/>
  <c r="L299" i="11"/>
  <c r="M299" i="11" s="1"/>
  <c r="L310" i="11"/>
  <c r="M310" i="11" s="1"/>
  <c r="L272" i="11"/>
  <c r="M272" i="11" s="1"/>
  <c r="L207" i="11"/>
  <c r="M207" i="11" s="1"/>
  <c r="L143" i="11"/>
  <c r="M143" i="11" s="1"/>
  <c r="L35" i="11"/>
  <c r="M35" i="11" s="1"/>
  <c r="L277" i="11"/>
  <c r="M277" i="11" s="1"/>
  <c r="L261" i="11"/>
  <c r="M261" i="11" s="1"/>
  <c r="L245" i="11"/>
  <c r="M245" i="11" s="1"/>
  <c r="L228" i="11"/>
  <c r="M228" i="11" s="1"/>
  <c r="L163" i="11"/>
  <c r="M163" i="11" s="1"/>
  <c r="L55" i="11"/>
  <c r="M55" i="11" s="1"/>
  <c r="L216" i="11"/>
  <c r="M216" i="11" s="1"/>
  <c r="L200" i="11"/>
  <c r="M200" i="11" s="1"/>
  <c r="L184" i="11"/>
  <c r="M184" i="11" s="1"/>
  <c r="L168" i="11"/>
  <c r="M168" i="11" s="1"/>
  <c r="L152" i="11"/>
  <c r="M152" i="11" s="1"/>
  <c r="L134" i="11"/>
  <c r="M134" i="11" s="1"/>
  <c r="L102" i="11"/>
  <c r="M102" i="11" s="1"/>
  <c r="L86" i="11"/>
  <c r="M86" i="11" s="1"/>
  <c r="L40" i="11"/>
  <c r="M40" i="11" s="1"/>
  <c r="L115" i="11"/>
  <c r="M115" i="11" s="1"/>
  <c r="L109" i="11"/>
  <c r="M109" i="11" s="1"/>
  <c r="L77" i="11"/>
  <c r="M77" i="11" s="1"/>
  <c r="L52" i="11"/>
  <c r="M52" i="11" s="1"/>
  <c r="L127" i="11"/>
  <c r="M127" i="11" s="1"/>
  <c r="L62" i="11"/>
  <c r="M62" i="11" s="1"/>
  <c r="L88" i="11"/>
  <c r="M88" i="11" s="1"/>
  <c r="L104" i="11"/>
  <c r="M104" i="11" s="1"/>
  <c r="L136" i="11"/>
  <c r="M136" i="11" s="1"/>
  <c r="L170" i="11"/>
  <c r="M170" i="11" s="1"/>
  <c r="L202" i="11"/>
  <c r="M202" i="11" s="1"/>
  <c r="L234" i="11"/>
  <c r="M234" i="11" s="1"/>
  <c r="L267" i="11"/>
  <c r="M267" i="11" s="1"/>
  <c r="L293" i="11"/>
  <c r="M293" i="11" s="1"/>
  <c r="L309" i="11"/>
  <c r="M309" i="11" s="1"/>
  <c r="L268" i="11"/>
  <c r="M268" i="11" s="1"/>
  <c r="L306" i="11"/>
  <c r="M306" i="11" s="1"/>
  <c r="L264" i="11"/>
  <c r="M264" i="11" s="1"/>
  <c r="L199" i="11"/>
  <c r="M199" i="11" s="1"/>
  <c r="L25" i="11"/>
  <c r="M25" i="11" s="1"/>
  <c r="L282" i="11"/>
  <c r="M282" i="11" s="1"/>
  <c r="L266" i="11"/>
  <c r="M266" i="11" s="1"/>
  <c r="L250" i="11"/>
  <c r="M250" i="11" s="1"/>
  <c r="L233" i="11"/>
  <c r="M233" i="11" s="1"/>
  <c r="L217" i="11"/>
  <c r="M217" i="11" s="1"/>
  <c r="L155" i="11"/>
  <c r="M155" i="11" s="1"/>
  <c r="L47" i="11"/>
  <c r="M47" i="11" s="1"/>
  <c r="L205" i="11"/>
  <c r="M205" i="11" s="1"/>
  <c r="L189" i="11"/>
  <c r="M189" i="11" s="1"/>
  <c r="L173" i="11"/>
  <c r="M173" i="11" s="1"/>
  <c r="L157" i="11"/>
  <c r="M157" i="11" s="1"/>
  <c r="L141" i="11"/>
  <c r="M141" i="11" s="1"/>
  <c r="L142" i="11"/>
  <c r="M142" i="11" s="1"/>
  <c r="L222" i="11"/>
  <c r="M222" i="11" s="1"/>
  <c r="L287" i="11"/>
  <c r="M287" i="11" s="1"/>
  <c r="L286" i="11"/>
  <c r="M286" i="11" s="1"/>
  <c r="L159" i="11"/>
  <c r="M159" i="11" s="1"/>
  <c r="L18" i="11"/>
  <c r="M18" i="11" s="1"/>
  <c r="L257" i="11"/>
  <c r="M257" i="11" s="1"/>
  <c r="L224" i="11"/>
  <c r="M224" i="11" s="1"/>
  <c r="L179" i="11"/>
  <c r="M179" i="11" s="1"/>
  <c r="L39" i="11"/>
  <c r="M39" i="11" s="1"/>
  <c r="L196" i="11"/>
  <c r="M196" i="11" s="1"/>
  <c r="L164" i="11"/>
  <c r="M164" i="11" s="1"/>
  <c r="L126" i="11"/>
  <c r="M126" i="11" s="1"/>
  <c r="L61" i="11"/>
  <c r="M61" i="11" s="1"/>
  <c r="L101" i="11"/>
  <c r="M101" i="11" s="1"/>
  <c r="L111" i="11"/>
  <c r="M111" i="11" s="1"/>
  <c r="L9" i="11"/>
  <c r="M9" i="11" s="1"/>
  <c r="L300" i="11"/>
  <c r="M300" i="11" s="1"/>
  <c r="L280" i="11"/>
  <c r="M280" i="11" s="1"/>
  <c r="L296" i="11"/>
  <c r="M296" i="11" s="1"/>
  <c r="L308" i="11"/>
  <c r="M308" i="11" s="1"/>
  <c r="L284" i="11"/>
  <c r="M284" i="11" s="1"/>
  <c r="L312" i="11"/>
  <c r="M312" i="11" s="1"/>
  <c r="L276" i="11"/>
  <c r="M276" i="11" s="1"/>
  <c r="L292" i="11"/>
  <c r="M292" i="11" s="1"/>
  <c r="L304" i="11"/>
  <c r="M304" i="11" s="1"/>
  <c r="L98" i="11"/>
  <c r="M98" i="11" s="1"/>
  <c r="L82" i="11"/>
  <c r="M82" i="11" s="1"/>
  <c r="L32" i="11"/>
  <c r="M32" i="11" s="1"/>
  <c r="L107" i="11"/>
  <c r="M107" i="11" s="1"/>
  <c r="L105" i="11"/>
  <c r="M105" i="11" s="1"/>
  <c r="L73" i="11"/>
  <c r="M73" i="11" s="1"/>
  <c r="L44" i="11"/>
  <c r="M44" i="11" s="1"/>
  <c r="L119" i="11"/>
  <c r="M119" i="11" s="1"/>
  <c r="L50" i="11"/>
  <c r="M50" i="11" s="1"/>
  <c r="L76" i="11"/>
  <c r="M76" i="11" s="1"/>
  <c r="L92" i="11"/>
  <c r="M92" i="11" s="1"/>
  <c r="L124" i="11"/>
  <c r="M124" i="11" s="1"/>
  <c r="L174" i="11"/>
  <c r="M174" i="11" s="1"/>
  <c r="L238" i="11"/>
  <c r="M238" i="11" s="1"/>
  <c r="L295" i="11"/>
  <c r="M295" i="11" s="1"/>
  <c r="L302" i="11"/>
  <c r="M302" i="11" s="1"/>
  <c r="L191" i="11"/>
  <c r="M191" i="11" s="1"/>
  <c r="L51" i="11"/>
  <c r="M51" i="11" s="1"/>
  <c r="L265" i="11"/>
  <c r="M265" i="11" s="1"/>
  <c r="L232" i="11"/>
  <c r="M232" i="11" s="1"/>
  <c r="L211" i="11"/>
  <c r="M211" i="11" s="1"/>
  <c r="L204" i="11"/>
  <c r="M204" i="11" s="1"/>
  <c r="L172" i="11"/>
  <c r="M172" i="11" s="1"/>
  <c r="L140" i="11"/>
  <c r="M140" i="11" s="1"/>
  <c r="L67" i="11"/>
  <c r="M67" i="11" s="1"/>
  <c r="L22" i="11"/>
  <c r="M22" i="11" s="1"/>
  <c r="L117" i="11"/>
  <c r="M117" i="11" s="1"/>
  <c r="L41" i="11"/>
  <c r="M41" i="11" s="1"/>
  <c r="L30" i="11"/>
  <c r="M30" i="11" s="1"/>
  <c r="L8" i="11"/>
  <c r="M8" i="11" s="1"/>
  <c r="L54" i="11"/>
  <c r="M54" i="11" s="1"/>
  <c r="L80" i="11"/>
  <c r="M80" i="11" s="1"/>
  <c r="L96" i="11"/>
  <c r="M96" i="11" s="1"/>
  <c r="L128" i="11"/>
  <c r="M128" i="11" s="1"/>
  <c r="L162" i="11"/>
  <c r="M162" i="11" s="1"/>
  <c r="L194" i="11"/>
  <c r="M194" i="11" s="1"/>
  <c r="L226" i="11"/>
  <c r="M226" i="11" s="1"/>
  <c r="L259" i="11"/>
  <c r="M259" i="11" s="1"/>
  <c r="L289" i="11"/>
  <c r="M289" i="11" s="1"/>
  <c r="L305" i="11"/>
  <c r="M305" i="11" s="1"/>
  <c r="L219" i="11"/>
  <c r="M219" i="11" s="1"/>
  <c r="L248" i="11"/>
  <c r="M248" i="11" s="1"/>
  <c r="L183" i="11"/>
  <c r="M183" i="11" s="1"/>
  <c r="L10" i="11"/>
  <c r="M10" i="11" s="1"/>
  <c r="L278" i="11"/>
  <c r="M278" i="11" s="1"/>
  <c r="L262" i="11"/>
  <c r="M262" i="11" s="1"/>
  <c r="L246" i="11"/>
  <c r="M246" i="11" s="1"/>
  <c r="L229" i="11"/>
  <c r="M229" i="11" s="1"/>
  <c r="L203" i="11"/>
  <c r="M203" i="11" s="1"/>
  <c r="L31" i="11"/>
  <c r="M31" i="11" s="1"/>
  <c r="L201" i="11"/>
  <c r="M201" i="11" s="1"/>
  <c r="L185" i="11"/>
  <c r="M185" i="11" s="1"/>
  <c r="L169" i="11"/>
  <c r="M169" i="11" s="1"/>
  <c r="L153" i="11"/>
  <c r="M153" i="11" s="1"/>
  <c r="L122" i="11"/>
  <c r="M122" i="11" s="1"/>
  <c r="L90" i="11"/>
  <c r="M90" i="11" s="1"/>
  <c r="L74" i="11"/>
  <c r="M74" i="11" s="1"/>
  <c r="L91" i="11"/>
  <c r="M91" i="11" s="1"/>
  <c r="L28" i="11"/>
  <c r="M28" i="11" s="1"/>
  <c r="L53" i="11"/>
  <c r="M53" i="11" s="1"/>
  <c r="L15" i="11"/>
  <c r="M15" i="11" s="1"/>
  <c r="L129" i="11"/>
  <c r="M129" i="11" s="1"/>
  <c r="L97" i="11"/>
  <c r="M97" i="11" s="1"/>
  <c r="L135" i="11"/>
  <c r="M135" i="11" s="1"/>
  <c r="L103" i="11"/>
  <c r="M103" i="11" s="1"/>
  <c r="L65" i="11"/>
  <c r="M65" i="11" s="1"/>
  <c r="L12" i="11"/>
  <c r="M12" i="11" s="1"/>
  <c r="L58" i="11"/>
  <c r="M58" i="11" s="1"/>
  <c r="L84" i="11"/>
  <c r="M84" i="11" s="1"/>
  <c r="L100" i="11"/>
  <c r="M100" i="11" s="1"/>
  <c r="L132" i="11"/>
  <c r="M132" i="11" s="1"/>
  <c r="L166" i="11"/>
  <c r="M166" i="11" s="1"/>
  <c r="L198" i="11"/>
  <c r="M198" i="11" s="1"/>
  <c r="L230" i="11"/>
  <c r="M230" i="11" s="1"/>
  <c r="L263" i="11"/>
  <c r="M263" i="11" s="1"/>
  <c r="L291" i="11"/>
  <c r="M291" i="11" s="1"/>
  <c r="L307" i="11"/>
  <c r="M307" i="11" s="1"/>
  <c r="L244" i="11"/>
  <c r="M244" i="11" s="1"/>
  <c r="L294" i="11"/>
  <c r="M294" i="11" s="1"/>
  <c r="L239" i="11"/>
  <c r="M239" i="11" s="1"/>
  <c r="L175" i="11"/>
  <c r="M175" i="11" s="1"/>
  <c r="L285" i="11"/>
  <c r="M285" i="11" s="1"/>
  <c r="L269" i="11"/>
  <c r="M269" i="11" s="1"/>
  <c r="L253" i="11"/>
  <c r="M253" i="11" s="1"/>
  <c r="L236" i="11"/>
  <c r="M236" i="11" s="1"/>
  <c r="L220" i="11"/>
  <c r="M220" i="11" s="1"/>
  <c r="L195" i="11"/>
  <c r="M195" i="11" s="1"/>
  <c r="L29" i="11"/>
  <c r="M29" i="11" s="1"/>
  <c r="L208" i="11"/>
  <c r="M208" i="11" s="1"/>
  <c r="L192" i="11"/>
  <c r="M192" i="11" s="1"/>
  <c r="L176" i="11"/>
  <c r="M176" i="11" s="1"/>
  <c r="L160" i="11"/>
  <c r="M160" i="11" s="1"/>
  <c r="L144" i="11"/>
  <c r="M144" i="11" s="1"/>
  <c r="L118" i="11"/>
  <c r="M118" i="11" s="1"/>
  <c r="L70" i="11"/>
  <c r="M70" i="11" s="1"/>
  <c r="L83" i="11"/>
  <c r="M83" i="11" s="1"/>
  <c r="L20" i="11"/>
  <c r="M20" i="11" s="1"/>
  <c r="L45" i="11"/>
  <c r="M45" i="11" s="1"/>
  <c r="L7" i="11"/>
  <c r="M7" i="11" s="1"/>
  <c r="L125" i="11"/>
  <c r="M125" i="11" s="1"/>
  <c r="L93" i="11"/>
  <c r="M93" i="11" s="1"/>
  <c r="L95" i="11"/>
  <c r="M95" i="11" s="1"/>
  <c r="L24" i="11"/>
  <c r="M24" i="11" s="1"/>
  <c r="L57" i="11"/>
  <c r="M57" i="11" s="1"/>
  <c r="L26" i="11"/>
  <c r="M26" i="11" s="1"/>
  <c r="L16" i="11"/>
  <c r="M16" i="11" s="1"/>
  <c r="L46" i="11"/>
  <c r="M46" i="11" s="1"/>
  <c r="L72" i="11"/>
  <c r="M72" i="11" s="1"/>
  <c r="L120" i="11"/>
  <c r="M120" i="11" s="1"/>
  <c r="L154" i="11"/>
  <c r="M154" i="11" s="1"/>
  <c r="L186" i="11"/>
  <c r="M186" i="11" s="1"/>
  <c r="L218" i="11"/>
  <c r="M218" i="11" s="1"/>
  <c r="L251" i="11"/>
  <c r="M251" i="11" s="1"/>
  <c r="L283" i="11"/>
  <c r="M283" i="11" s="1"/>
  <c r="L301" i="11"/>
  <c r="M301" i="11" s="1"/>
  <c r="L235" i="11"/>
  <c r="M235" i="11" s="1"/>
  <c r="L290" i="11"/>
  <c r="M290" i="11" s="1"/>
  <c r="L231" i="11"/>
  <c r="M231" i="11" s="1"/>
  <c r="L167" i="11"/>
  <c r="M167" i="11" s="1"/>
  <c r="L59" i="11"/>
  <c r="M59" i="11" s="1"/>
  <c r="L274" i="11"/>
  <c r="M274" i="11" s="1"/>
  <c r="L258" i="11"/>
  <c r="M258" i="11" s="1"/>
  <c r="L241" i="11"/>
  <c r="M241" i="11" s="1"/>
  <c r="L225" i="11"/>
  <c r="M225" i="11" s="1"/>
  <c r="L187" i="11"/>
  <c r="M187" i="11" s="1"/>
  <c r="L21" i="11"/>
  <c r="M21" i="11" s="1"/>
  <c r="L213" i="11"/>
  <c r="M213" i="11" s="1"/>
  <c r="L197" i="11"/>
  <c r="M197" i="11" s="1"/>
  <c r="L181" i="11"/>
  <c r="M181" i="11" s="1"/>
  <c r="L165" i="11"/>
  <c r="M165" i="11" s="1"/>
  <c r="L149" i="11"/>
  <c r="M149" i="11" s="1"/>
  <c r="L190" i="11"/>
  <c r="M190" i="11" s="1"/>
  <c r="L255" i="11"/>
  <c r="M255" i="11" s="1"/>
  <c r="L303" i="11"/>
  <c r="M303" i="11" s="1"/>
  <c r="L227" i="11"/>
  <c r="M227" i="11" s="1"/>
  <c r="L223" i="11"/>
  <c r="M223" i="11" s="1"/>
  <c r="L273" i="11"/>
  <c r="M273" i="11" s="1"/>
  <c r="L240" i="11"/>
  <c r="M240" i="11" s="1"/>
  <c r="L212" i="11"/>
  <c r="M212" i="11" s="1"/>
  <c r="L180" i="11"/>
  <c r="M180" i="11" s="1"/>
  <c r="L148" i="11"/>
  <c r="M148" i="11" s="1"/>
  <c r="L94" i="11"/>
  <c r="M94" i="11" s="1"/>
  <c r="L56" i="11"/>
  <c r="M56" i="11" s="1"/>
  <c r="L133" i="11"/>
  <c r="M133" i="11" s="1"/>
  <c r="L69" i="11"/>
  <c r="M69" i="11" s="1"/>
  <c r="L11" i="11"/>
  <c r="M11" i="11" s="1"/>
  <c r="E320" i="9"/>
  <c r="M314" i="33"/>
  <c r="N314" i="33" s="1"/>
  <c r="C16" i="34"/>
  <c r="F10" i="48" s="1"/>
  <c r="N5" i="33"/>
  <c r="E6" i="25"/>
  <c r="O234" i="33" l="1"/>
  <c r="O23" i="33"/>
  <c r="O228" i="33"/>
  <c r="O13" i="33"/>
  <c r="O249" i="33"/>
  <c r="O17" i="33"/>
  <c r="O282" i="33"/>
  <c r="O161" i="33"/>
  <c r="O109" i="33"/>
  <c r="O218" i="33"/>
  <c r="O163" i="33"/>
  <c r="O28" i="33"/>
  <c r="O242" i="33"/>
  <c r="O56" i="33"/>
  <c r="O7" i="33"/>
  <c r="O31" i="33"/>
  <c r="O276" i="33"/>
  <c r="O50" i="33"/>
  <c r="O69" i="33"/>
  <c r="O96" i="33"/>
  <c r="O78" i="33"/>
  <c r="O88" i="33"/>
  <c r="O107" i="33"/>
  <c r="O248" i="33"/>
  <c r="O262" i="33"/>
  <c r="O243" i="33"/>
  <c r="O15" i="33"/>
  <c r="O214" i="33"/>
  <c r="O246" i="33"/>
  <c r="O237" i="33"/>
  <c r="O294" i="33"/>
  <c r="O186" i="33"/>
  <c r="O39" i="33"/>
  <c r="O171" i="33"/>
  <c r="O302" i="33"/>
  <c r="O137" i="33"/>
  <c r="O131" i="33"/>
  <c r="O203" i="33"/>
  <c r="O167" i="33"/>
  <c r="O115" i="33"/>
  <c r="O16" i="33"/>
  <c r="O94" i="33"/>
  <c r="O173" i="33"/>
  <c r="O199" i="33"/>
  <c r="O298" i="33"/>
  <c r="O68" i="33"/>
  <c r="O232" i="33"/>
  <c r="O196" i="33"/>
  <c r="O233" i="33"/>
  <c r="O224" i="33"/>
  <c r="O158" i="33"/>
  <c r="O139" i="33"/>
  <c r="O11" i="33"/>
  <c r="O180" i="33"/>
  <c r="O38" i="33"/>
  <c r="O247" i="33"/>
  <c r="O59" i="33"/>
  <c r="O142" i="33"/>
  <c r="O245" i="33"/>
  <c r="O19" i="33"/>
  <c r="O134" i="33"/>
  <c r="O267" i="33"/>
  <c r="O176" i="33"/>
  <c r="O104" i="33"/>
  <c r="O123" i="33"/>
  <c r="O256" i="33"/>
  <c r="O195" i="33"/>
  <c r="O65" i="33"/>
  <c r="O95" i="33"/>
  <c r="O197" i="33"/>
  <c r="O289" i="33"/>
  <c r="O41" i="33"/>
  <c r="O29" i="33"/>
  <c r="O277" i="33"/>
  <c r="O306" i="33"/>
  <c r="O296" i="33"/>
  <c r="O309" i="33"/>
  <c r="O33" i="33"/>
  <c r="O135" i="33"/>
  <c r="O313" i="33"/>
  <c r="O53" i="33"/>
  <c r="O126" i="33"/>
  <c r="O105" i="33"/>
  <c r="O207" i="33"/>
  <c r="O114" i="33"/>
  <c r="O295" i="33"/>
  <c r="O37" i="33"/>
  <c r="O253" i="33"/>
  <c r="O151" i="33"/>
  <c r="O152" i="33"/>
  <c r="O156" i="33"/>
  <c r="O263" i="33"/>
  <c r="O252" i="33"/>
  <c r="O70" i="33"/>
  <c r="O182" i="33"/>
  <c r="O251" i="33"/>
  <c r="O136" i="33"/>
  <c r="O54" i="33"/>
  <c r="O46" i="33"/>
  <c r="O102" i="33"/>
  <c r="O119" i="33"/>
  <c r="O67" i="33"/>
  <c r="O72" i="33"/>
  <c r="O236" i="33"/>
  <c r="O227" i="33"/>
  <c r="O287" i="33"/>
  <c r="O193" i="33"/>
  <c r="O36" i="33"/>
  <c r="O284" i="33"/>
  <c r="O198" i="33"/>
  <c r="O27" i="33"/>
  <c r="O241" i="33"/>
  <c r="O10" i="33"/>
  <c r="O190" i="33"/>
  <c r="O108" i="33"/>
  <c r="O34" i="33"/>
  <c r="O200" i="33"/>
  <c r="O209" i="33"/>
  <c r="O310" i="33"/>
  <c r="O112" i="33"/>
  <c r="O77" i="33"/>
  <c r="O275" i="33"/>
  <c r="O47" i="33"/>
  <c r="O62" i="33"/>
  <c r="O191" i="33"/>
  <c r="O113" i="33"/>
  <c r="O281" i="33"/>
  <c r="O154" i="33"/>
  <c r="O145" i="33"/>
  <c r="O60" i="33"/>
  <c r="O87" i="33"/>
  <c r="O99" i="33"/>
  <c r="O84" i="33"/>
  <c r="O48" i="33"/>
  <c r="O225" i="33"/>
  <c r="O185" i="33"/>
  <c r="O66" i="33"/>
  <c r="O290" i="33"/>
  <c r="O35" i="33"/>
  <c r="O291" i="33"/>
  <c r="O307" i="33"/>
  <c r="O264" i="33"/>
  <c r="O150" i="33"/>
  <c r="O292" i="33"/>
  <c r="O121" i="33"/>
  <c r="O244" i="33"/>
  <c r="O149" i="33"/>
  <c r="O85" i="33"/>
  <c r="O6" i="33"/>
  <c r="O71" i="33"/>
  <c r="O223" i="33"/>
  <c r="O201" i="33"/>
  <c r="O110" i="33"/>
  <c r="O240" i="33"/>
  <c r="O211" i="33"/>
  <c r="O75" i="33"/>
  <c r="O89" i="33"/>
  <c r="O26" i="33"/>
  <c r="O257" i="33"/>
  <c r="O18" i="33"/>
  <c r="O303" i="33"/>
  <c r="O286" i="33"/>
  <c r="O20" i="33"/>
  <c r="O82" i="33"/>
  <c r="O130" i="33"/>
  <c r="O184" i="33"/>
  <c r="O57" i="33"/>
  <c r="O170" i="33"/>
  <c r="O51" i="33"/>
  <c r="O58" i="33"/>
  <c r="O194" i="33"/>
  <c r="O138" i="33"/>
  <c r="O144" i="33"/>
  <c r="O189" i="33"/>
  <c r="O122" i="33"/>
  <c r="O304" i="33"/>
  <c r="O254" i="33"/>
  <c r="O187" i="33"/>
  <c r="O74" i="33"/>
  <c r="O9" i="33"/>
  <c r="O111" i="33"/>
  <c r="O21" i="33"/>
  <c r="O164" i="33"/>
  <c r="O222" i="33"/>
  <c r="O219" i="33"/>
  <c r="O159" i="33"/>
  <c r="O305" i="33"/>
  <c r="O299" i="33"/>
  <c r="O260" i="33"/>
  <c r="O181" i="33"/>
  <c r="O63" i="33"/>
  <c r="O103" i="33"/>
  <c r="O265" i="33"/>
  <c r="O178" i="33"/>
  <c r="O215" i="33"/>
  <c r="O155" i="33"/>
  <c r="O258" i="33"/>
  <c r="O279" i="33"/>
  <c r="O43" i="33"/>
  <c r="O73" i="33"/>
  <c r="O129" i="33"/>
  <c r="O49" i="33"/>
  <c r="O268" i="33"/>
  <c r="O217" i="33"/>
  <c r="O270" i="33"/>
  <c r="O221" i="33"/>
  <c r="O140" i="33"/>
  <c r="O274" i="33"/>
  <c r="O98" i="33"/>
  <c r="O213" i="33"/>
  <c r="O162" i="33"/>
  <c r="O92" i="33"/>
  <c r="O127" i="33"/>
  <c r="O297" i="33"/>
  <c r="O76" i="33"/>
  <c r="O239" i="33"/>
  <c r="O8" i="33"/>
  <c r="O165" i="33"/>
  <c r="O311" i="33"/>
  <c r="O208" i="33"/>
  <c r="O259" i="33"/>
  <c r="O64" i="33"/>
  <c r="O106" i="33"/>
  <c r="O261" i="33"/>
  <c r="O308" i="33"/>
  <c r="O231" i="33"/>
  <c r="O269" i="33"/>
  <c r="O235" i="33"/>
  <c r="O271" i="33"/>
  <c r="O153" i="33"/>
  <c r="O80" i="33"/>
  <c r="O148" i="33"/>
  <c r="O220" i="33"/>
  <c r="O168" i="33"/>
  <c r="O278" i="33"/>
  <c r="O300" i="33"/>
  <c r="O93" i="33"/>
  <c r="O230" i="33"/>
  <c r="O210" i="33"/>
  <c r="O175" i="33"/>
  <c r="O160" i="33"/>
  <c r="O266" i="33"/>
  <c r="O55" i="33"/>
  <c r="O97" i="33"/>
  <c r="O285" i="33"/>
  <c r="O81" i="33"/>
  <c r="O272" i="33"/>
  <c r="O30" i="33"/>
  <c r="O133" i="33"/>
  <c r="O100" i="33"/>
  <c r="O118" i="33"/>
  <c r="O166" i="33"/>
  <c r="O40" i="33"/>
  <c r="O293" i="33"/>
  <c r="O179" i="33"/>
  <c r="O157" i="33"/>
  <c r="O172" i="33"/>
  <c r="O283" i="33"/>
  <c r="O32" i="33"/>
  <c r="O146" i="33"/>
  <c r="O280" i="33"/>
  <c r="O22" i="33"/>
  <c r="O141" i="33"/>
  <c r="O86" i="33"/>
  <c r="O226" i="33"/>
  <c r="O83" i="33"/>
  <c r="O204" i="33"/>
  <c r="O206" i="33"/>
  <c r="O24" i="33"/>
  <c r="O61" i="33"/>
  <c r="O255" i="33"/>
  <c r="O312" i="33"/>
  <c r="O42" i="33"/>
  <c r="O91" i="33"/>
  <c r="O117" i="33"/>
  <c r="O116" i="33"/>
  <c r="O301" i="33"/>
  <c r="O44" i="33"/>
  <c r="O273" i="33"/>
  <c r="O124" i="33"/>
  <c r="O238" i="33"/>
  <c r="O128" i="33"/>
  <c r="O143" i="33"/>
  <c r="O202" i="33"/>
  <c r="O174" i="33"/>
  <c r="O288" i="33"/>
  <c r="O125" i="33"/>
  <c r="O183" i="33"/>
  <c r="O192" i="33"/>
  <c r="O250" i="33"/>
  <c r="O147" i="33"/>
  <c r="O177" i="33"/>
  <c r="O229" i="33"/>
  <c r="O12" i="33"/>
  <c r="O14" i="33"/>
  <c r="O188" i="33"/>
  <c r="O79" i="33"/>
  <c r="O45" i="33"/>
  <c r="O212" i="33"/>
  <c r="O216" i="33"/>
  <c r="O205" i="33"/>
  <c r="O90" i="33"/>
  <c r="O132" i="33"/>
  <c r="O120" i="33"/>
  <c r="O101" i="33"/>
  <c r="O25" i="33"/>
  <c r="O169" i="33"/>
  <c r="O52" i="33"/>
  <c r="L131" i="11"/>
  <c r="M131" i="11" s="1"/>
  <c r="C325" i="34"/>
  <c r="F15" i="34" s="1"/>
  <c r="E315" i="25"/>
  <c r="L130" i="11"/>
  <c r="M130" i="11" s="1"/>
  <c r="O5" i="33"/>
  <c r="L5" i="11"/>
  <c r="M315" i="49"/>
  <c r="N5" i="49" s="1"/>
  <c r="D314" i="37"/>
  <c r="E4" i="9"/>
  <c r="D4" i="9" s="1"/>
  <c r="G40" i="40"/>
  <c r="G42" i="40" s="1"/>
  <c r="C314" i="11"/>
  <c r="D5" i="37"/>
  <c r="E16" i="37" l="1"/>
  <c r="F16" i="37" s="1"/>
  <c r="I16" i="37" s="1"/>
  <c r="G27" i="34" s="1"/>
  <c r="H27" i="34" s="1"/>
  <c r="E35" i="37"/>
  <c r="F35" i="37" s="1"/>
  <c r="I35" i="37" s="1"/>
  <c r="G46" i="34" s="1"/>
  <c r="H46" i="34" s="1"/>
  <c r="E48" i="37"/>
  <c r="F48" i="37" s="1"/>
  <c r="I48" i="37" s="1"/>
  <c r="G59" i="34" s="1"/>
  <c r="H59" i="34" s="1"/>
  <c r="E67" i="37"/>
  <c r="F67" i="37" s="1"/>
  <c r="I67" i="37" s="1"/>
  <c r="G78" i="34" s="1"/>
  <c r="H78" i="34" s="1"/>
  <c r="E7" i="37"/>
  <c r="F7" i="37" s="1"/>
  <c r="I7" i="37" s="1"/>
  <c r="G18" i="34" s="1"/>
  <c r="H18" i="34" s="1"/>
  <c r="E20" i="37"/>
  <c r="F20" i="37" s="1"/>
  <c r="I20" i="37" s="1"/>
  <c r="G31" i="34" s="1"/>
  <c r="H31" i="34" s="1"/>
  <c r="E39" i="37"/>
  <c r="F39" i="37" s="1"/>
  <c r="I39" i="37" s="1"/>
  <c r="G50" i="34" s="1"/>
  <c r="H50" i="34" s="1"/>
  <c r="E52" i="37"/>
  <c r="F52" i="37" s="1"/>
  <c r="I52" i="37" s="1"/>
  <c r="G63" i="34" s="1"/>
  <c r="H63" i="34" s="1"/>
  <c r="E71" i="37"/>
  <c r="F71" i="37" s="1"/>
  <c r="I71" i="37" s="1"/>
  <c r="G82" i="34" s="1"/>
  <c r="H82" i="34" s="1"/>
  <c r="E84" i="37"/>
  <c r="F84" i="37" s="1"/>
  <c r="I84" i="37" s="1"/>
  <c r="G95" i="34" s="1"/>
  <c r="H95" i="34" s="1"/>
  <c r="E115" i="37"/>
  <c r="F115" i="37" s="1"/>
  <c r="I115" i="37" s="1"/>
  <c r="G126" i="34" s="1"/>
  <c r="H126" i="34" s="1"/>
  <c r="E120" i="37"/>
  <c r="F120" i="37" s="1"/>
  <c r="I120" i="37" s="1"/>
  <c r="G131" i="34" s="1"/>
  <c r="H131" i="34" s="1"/>
  <c r="E122" i="37"/>
  <c r="F122" i="37" s="1"/>
  <c r="I122" i="37" s="1"/>
  <c r="G133" i="34" s="1"/>
  <c r="H133" i="34" s="1"/>
  <c r="E11" i="37"/>
  <c r="F11" i="37" s="1"/>
  <c r="I11" i="37" s="1"/>
  <c r="G22" i="34" s="1"/>
  <c r="H22" i="34" s="1"/>
  <c r="E24" i="37"/>
  <c r="F24" i="37" s="1"/>
  <c r="I24" i="37" s="1"/>
  <c r="G35" i="34" s="1"/>
  <c r="H35" i="34" s="1"/>
  <c r="E43" i="37"/>
  <c r="F43" i="37" s="1"/>
  <c r="I43" i="37" s="1"/>
  <c r="G54" i="34" s="1"/>
  <c r="H54" i="34" s="1"/>
  <c r="E56" i="37"/>
  <c r="F56" i="37" s="1"/>
  <c r="I56" i="37" s="1"/>
  <c r="G67" i="34" s="1"/>
  <c r="H67" i="34" s="1"/>
  <c r="E75" i="37"/>
  <c r="F75" i="37" s="1"/>
  <c r="I75" i="37" s="1"/>
  <c r="G86" i="34" s="1"/>
  <c r="H86" i="34" s="1"/>
  <c r="E88" i="37"/>
  <c r="F88" i="37" s="1"/>
  <c r="I88" i="37" s="1"/>
  <c r="G99" i="34" s="1"/>
  <c r="H99" i="34" s="1"/>
  <c r="E131" i="37"/>
  <c r="F131" i="37" s="1"/>
  <c r="I131" i="37" s="1"/>
  <c r="G142" i="34" s="1"/>
  <c r="H142" i="34" s="1"/>
  <c r="E136" i="37"/>
  <c r="F136" i="37" s="1"/>
  <c r="I136" i="37" s="1"/>
  <c r="G147" i="34" s="1"/>
  <c r="H147" i="34" s="1"/>
  <c r="E15" i="37"/>
  <c r="F15" i="37" s="1"/>
  <c r="I15" i="37" s="1"/>
  <c r="G26" i="34" s="1"/>
  <c r="H26" i="34" s="1"/>
  <c r="E28" i="37"/>
  <c r="F28" i="37" s="1"/>
  <c r="I28" i="37" s="1"/>
  <c r="G39" i="34" s="1"/>
  <c r="H39" i="34" s="1"/>
  <c r="E47" i="37"/>
  <c r="F47" i="37" s="1"/>
  <c r="I47" i="37" s="1"/>
  <c r="G58" i="34" s="1"/>
  <c r="H58" i="34" s="1"/>
  <c r="E60" i="37"/>
  <c r="F60" i="37" s="1"/>
  <c r="I60" i="37" s="1"/>
  <c r="G71" i="34" s="1"/>
  <c r="H71" i="34" s="1"/>
  <c r="E79" i="37"/>
  <c r="F79" i="37" s="1"/>
  <c r="I79" i="37" s="1"/>
  <c r="G90" i="34" s="1"/>
  <c r="H90" i="34" s="1"/>
  <c r="E92" i="37"/>
  <c r="F92" i="37" s="1"/>
  <c r="I92" i="37" s="1"/>
  <c r="G103" i="34" s="1"/>
  <c r="H103" i="34" s="1"/>
  <c r="E103" i="37"/>
  <c r="F103" i="37" s="1"/>
  <c r="I103" i="37" s="1"/>
  <c r="G114" i="34" s="1"/>
  <c r="H114" i="34" s="1"/>
  <c r="E108" i="37"/>
  <c r="F108" i="37" s="1"/>
  <c r="I108" i="37" s="1"/>
  <c r="G119" i="34" s="1"/>
  <c r="H119" i="34" s="1"/>
  <c r="E119" i="37"/>
  <c r="F119" i="37" s="1"/>
  <c r="I119" i="37" s="1"/>
  <c r="G130" i="34" s="1"/>
  <c r="H130" i="34" s="1"/>
  <c r="E19" i="37"/>
  <c r="F19" i="37" s="1"/>
  <c r="I19" i="37" s="1"/>
  <c r="G30" i="34" s="1"/>
  <c r="H30" i="34" s="1"/>
  <c r="E32" i="37"/>
  <c r="F32" i="37" s="1"/>
  <c r="I32" i="37" s="1"/>
  <c r="G43" i="34" s="1"/>
  <c r="H43" i="34" s="1"/>
  <c r="E51" i="37"/>
  <c r="F51" i="37" s="1"/>
  <c r="I51" i="37" s="1"/>
  <c r="G62" i="34" s="1"/>
  <c r="H62" i="34" s="1"/>
  <c r="E23" i="37"/>
  <c r="F23" i="37" s="1"/>
  <c r="I23" i="37" s="1"/>
  <c r="G34" i="34" s="1"/>
  <c r="H34" i="34" s="1"/>
  <c r="E36" i="37"/>
  <c r="F36" i="37" s="1"/>
  <c r="I36" i="37" s="1"/>
  <c r="G47" i="34" s="1"/>
  <c r="H47" i="34" s="1"/>
  <c r="E55" i="37"/>
  <c r="F55" i="37" s="1"/>
  <c r="I55" i="37" s="1"/>
  <c r="G66" i="34" s="1"/>
  <c r="H66" i="34" s="1"/>
  <c r="E68" i="37"/>
  <c r="F68" i="37" s="1"/>
  <c r="I68" i="37" s="1"/>
  <c r="G79" i="34" s="1"/>
  <c r="H79" i="34" s="1"/>
  <c r="E87" i="37"/>
  <c r="F87" i="37" s="1"/>
  <c r="I87" i="37" s="1"/>
  <c r="G98" i="34" s="1"/>
  <c r="H98" i="34" s="1"/>
  <c r="E107" i="37"/>
  <c r="F107" i="37" s="1"/>
  <c r="I107" i="37" s="1"/>
  <c r="G118" i="34" s="1"/>
  <c r="H118" i="34" s="1"/>
  <c r="E8" i="37"/>
  <c r="F8" i="37" s="1"/>
  <c r="I8" i="37" s="1"/>
  <c r="G19" i="34" s="1"/>
  <c r="H19" i="34" s="1"/>
  <c r="E27" i="37"/>
  <c r="F27" i="37" s="1"/>
  <c r="I27" i="37" s="1"/>
  <c r="G38" i="34" s="1"/>
  <c r="H38" i="34" s="1"/>
  <c r="E40" i="37"/>
  <c r="F40" i="37" s="1"/>
  <c r="I40" i="37" s="1"/>
  <c r="G51" i="34" s="1"/>
  <c r="H51" i="34" s="1"/>
  <c r="E59" i="37"/>
  <c r="F59" i="37" s="1"/>
  <c r="I59" i="37" s="1"/>
  <c r="G70" i="34" s="1"/>
  <c r="H70" i="34" s="1"/>
  <c r="E72" i="37"/>
  <c r="F72" i="37" s="1"/>
  <c r="I72" i="37" s="1"/>
  <c r="G83" i="34" s="1"/>
  <c r="H83" i="34" s="1"/>
  <c r="E91" i="37"/>
  <c r="F91" i="37" s="1"/>
  <c r="I91" i="37" s="1"/>
  <c r="G102" i="34" s="1"/>
  <c r="H102" i="34" s="1"/>
  <c r="E100" i="37"/>
  <c r="F100" i="37" s="1"/>
  <c r="I100" i="37" s="1"/>
  <c r="G111" i="34" s="1"/>
  <c r="H111" i="34" s="1"/>
  <c r="E102" i="37"/>
  <c r="F102" i="37" s="1"/>
  <c r="I102" i="37" s="1"/>
  <c r="G113" i="34" s="1"/>
  <c r="H113" i="34" s="1"/>
  <c r="E112" i="37"/>
  <c r="F112" i="37" s="1"/>
  <c r="I112" i="37" s="1"/>
  <c r="G123" i="34" s="1"/>
  <c r="H123" i="34" s="1"/>
  <c r="E123" i="37"/>
  <c r="F123" i="37" s="1"/>
  <c r="I123" i="37" s="1"/>
  <c r="G134" i="34" s="1"/>
  <c r="H134" i="34" s="1"/>
  <c r="E128" i="37"/>
  <c r="F128" i="37" s="1"/>
  <c r="I128" i="37" s="1"/>
  <c r="G139" i="34" s="1"/>
  <c r="H139" i="34" s="1"/>
  <c r="E12" i="37"/>
  <c r="F12" i="37" s="1"/>
  <c r="I12" i="37" s="1"/>
  <c r="G23" i="34" s="1"/>
  <c r="H23" i="34" s="1"/>
  <c r="E31" i="37"/>
  <c r="F31" i="37" s="1"/>
  <c r="I31" i="37" s="1"/>
  <c r="G42" i="34" s="1"/>
  <c r="H42" i="34" s="1"/>
  <c r="E44" i="37"/>
  <c r="F44" i="37" s="1"/>
  <c r="I44" i="37" s="1"/>
  <c r="G55" i="34" s="1"/>
  <c r="H55" i="34" s="1"/>
  <c r="E63" i="37"/>
  <c r="F63" i="37" s="1"/>
  <c r="I63" i="37" s="1"/>
  <c r="G74" i="34" s="1"/>
  <c r="H74" i="34" s="1"/>
  <c r="E76" i="37"/>
  <c r="F76" i="37" s="1"/>
  <c r="I76" i="37" s="1"/>
  <c r="G87" i="34" s="1"/>
  <c r="H87" i="34" s="1"/>
  <c r="E95" i="37"/>
  <c r="F95" i="37" s="1"/>
  <c r="I95" i="37" s="1"/>
  <c r="G106" i="34" s="1"/>
  <c r="H106" i="34" s="1"/>
  <c r="E111" i="37"/>
  <c r="F111" i="37" s="1"/>
  <c r="I111" i="37" s="1"/>
  <c r="G122" i="34" s="1"/>
  <c r="H122" i="34" s="1"/>
  <c r="E116" i="37"/>
  <c r="F116" i="37" s="1"/>
  <c r="I116" i="37" s="1"/>
  <c r="G127" i="34" s="1"/>
  <c r="H127" i="34" s="1"/>
  <c r="E99" i="37"/>
  <c r="F99" i="37" s="1"/>
  <c r="I99" i="37" s="1"/>
  <c r="G110" i="34" s="1"/>
  <c r="H110" i="34" s="1"/>
  <c r="E132" i="37"/>
  <c r="F132" i="37" s="1"/>
  <c r="I132" i="37" s="1"/>
  <c r="G143" i="34" s="1"/>
  <c r="H143" i="34" s="1"/>
  <c r="E190" i="37"/>
  <c r="F190" i="37" s="1"/>
  <c r="I190" i="37" s="1"/>
  <c r="G201" i="34" s="1"/>
  <c r="H201" i="34" s="1"/>
  <c r="E259" i="37"/>
  <c r="F259" i="37" s="1"/>
  <c r="I259" i="37" s="1"/>
  <c r="G270" i="34" s="1"/>
  <c r="H270" i="34" s="1"/>
  <c r="E266" i="37"/>
  <c r="F266" i="37" s="1"/>
  <c r="I266" i="37" s="1"/>
  <c r="G277" i="34" s="1"/>
  <c r="H277" i="34" s="1"/>
  <c r="E271" i="37"/>
  <c r="F271" i="37" s="1"/>
  <c r="I271" i="37" s="1"/>
  <c r="G282" i="34" s="1"/>
  <c r="H282" i="34" s="1"/>
  <c r="E283" i="37"/>
  <c r="F283" i="37" s="1"/>
  <c r="I283" i="37" s="1"/>
  <c r="G294" i="34" s="1"/>
  <c r="H294" i="34" s="1"/>
  <c r="E288" i="37"/>
  <c r="F288" i="37" s="1"/>
  <c r="I288" i="37" s="1"/>
  <c r="G299" i="34" s="1"/>
  <c r="H299" i="34" s="1"/>
  <c r="E290" i="37"/>
  <c r="F290" i="37" s="1"/>
  <c r="I290" i="37" s="1"/>
  <c r="G301" i="34" s="1"/>
  <c r="H301" i="34" s="1"/>
  <c r="E295" i="37"/>
  <c r="F295" i="37" s="1"/>
  <c r="I295" i="37" s="1"/>
  <c r="G306" i="34" s="1"/>
  <c r="H306" i="34" s="1"/>
  <c r="E303" i="37"/>
  <c r="F303" i="37" s="1"/>
  <c r="I303" i="37" s="1"/>
  <c r="G314" i="34" s="1"/>
  <c r="H314" i="34" s="1"/>
  <c r="E104" i="37"/>
  <c r="F104" i="37" s="1"/>
  <c r="I104" i="37" s="1"/>
  <c r="G115" i="34" s="1"/>
  <c r="H115" i="34" s="1"/>
  <c r="E124" i="37"/>
  <c r="F124" i="37" s="1"/>
  <c r="I124" i="37" s="1"/>
  <c r="G135" i="34" s="1"/>
  <c r="H135" i="34" s="1"/>
  <c r="E144" i="37"/>
  <c r="F144" i="37" s="1"/>
  <c r="I144" i="37" s="1"/>
  <c r="G155" i="34" s="1"/>
  <c r="H155" i="34" s="1"/>
  <c r="E146" i="37"/>
  <c r="F146" i="37" s="1"/>
  <c r="I146" i="37" s="1"/>
  <c r="G157" i="34" s="1"/>
  <c r="H157" i="34" s="1"/>
  <c r="E194" i="37"/>
  <c r="F194" i="37" s="1"/>
  <c r="I194" i="37" s="1"/>
  <c r="G205" i="34" s="1"/>
  <c r="H205" i="34" s="1"/>
  <c r="E222" i="37"/>
  <c r="F222" i="37" s="1"/>
  <c r="I222" i="37" s="1"/>
  <c r="G233" i="34" s="1"/>
  <c r="H233" i="34" s="1"/>
  <c r="E252" i="37"/>
  <c r="F252" i="37" s="1"/>
  <c r="I252" i="37" s="1"/>
  <c r="G263" i="34" s="1"/>
  <c r="H263" i="34" s="1"/>
  <c r="E264" i="37"/>
  <c r="F264" i="37" s="1"/>
  <c r="I264" i="37" s="1"/>
  <c r="G275" i="34" s="1"/>
  <c r="H275" i="34" s="1"/>
  <c r="E96" i="37"/>
  <c r="F96" i="37" s="1"/>
  <c r="I96" i="37" s="1"/>
  <c r="G107" i="34" s="1"/>
  <c r="H107" i="34" s="1"/>
  <c r="E148" i="37"/>
  <c r="F148" i="37" s="1"/>
  <c r="I148" i="37" s="1"/>
  <c r="G159" i="34" s="1"/>
  <c r="H159" i="34" s="1"/>
  <c r="E198" i="37"/>
  <c r="F198" i="37" s="1"/>
  <c r="I198" i="37" s="1"/>
  <c r="G209" i="34" s="1"/>
  <c r="H209" i="34" s="1"/>
  <c r="E226" i="37"/>
  <c r="F226" i="37" s="1"/>
  <c r="I226" i="37" s="1"/>
  <c r="G237" i="34" s="1"/>
  <c r="H237" i="34" s="1"/>
  <c r="E256" i="37"/>
  <c r="F256" i="37" s="1"/>
  <c r="I256" i="37" s="1"/>
  <c r="G267" i="34" s="1"/>
  <c r="H267" i="34" s="1"/>
  <c r="E258" i="37"/>
  <c r="F258" i="37" s="1"/>
  <c r="I258" i="37" s="1"/>
  <c r="G269" i="34" s="1"/>
  <c r="H269" i="34" s="1"/>
  <c r="E275" i="37"/>
  <c r="F275" i="37" s="1"/>
  <c r="I275" i="37" s="1"/>
  <c r="G286" i="34" s="1"/>
  <c r="H286" i="34" s="1"/>
  <c r="E307" i="37"/>
  <c r="F307" i="37" s="1"/>
  <c r="I307" i="37" s="1"/>
  <c r="G318" i="34" s="1"/>
  <c r="H318" i="34" s="1"/>
  <c r="E83" i="37"/>
  <c r="F83" i="37" s="1"/>
  <c r="I83" i="37" s="1"/>
  <c r="G94" i="34" s="1"/>
  <c r="H94" i="34" s="1"/>
  <c r="E152" i="37"/>
  <c r="F152" i="37" s="1"/>
  <c r="I152" i="37" s="1"/>
  <c r="G163" i="34" s="1"/>
  <c r="H163" i="34" s="1"/>
  <c r="E154" i="37"/>
  <c r="F154" i="37" s="1"/>
  <c r="I154" i="37" s="1"/>
  <c r="G165" i="34" s="1"/>
  <c r="H165" i="34" s="1"/>
  <c r="E202" i="37"/>
  <c r="F202" i="37" s="1"/>
  <c r="I202" i="37" s="1"/>
  <c r="G213" i="34" s="1"/>
  <c r="H213" i="34" s="1"/>
  <c r="E230" i="37"/>
  <c r="F230" i="37" s="1"/>
  <c r="I230" i="37" s="1"/>
  <c r="G241" i="34" s="1"/>
  <c r="H241" i="34" s="1"/>
  <c r="E263" i="37"/>
  <c r="F263" i="37" s="1"/>
  <c r="I263" i="37" s="1"/>
  <c r="G274" i="34" s="1"/>
  <c r="H274" i="34" s="1"/>
  <c r="E280" i="37"/>
  <c r="F280" i="37" s="1"/>
  <c r="I280" i="37" s="1"/>
  <c r="G291" i="34" s="1"/>
  <c r="H291" i="34" s="1"/>
  <c r="E282" i="37"/>
  <c r="F282" i="37" s="1"/>
  <c r="I282" i="37" s="1"/>
  <c r="G293" i="34" s="1"/>
  <c r="H293" i="34" s="1"/>
  <c r="E287" i="37"/>
  <c r="F287" i="37" s="1"/>
  <c r="I287" i="37" s="1"/>
  <c r="G298" i="34" s="1"/>
  <c r="H298" i="34" s="1"/>
  <c r="E300" i="37"/>
  <c r="F300" i="37" s="1"/>
  <c r="I300" i="37" s="1"/>
  <c r="G311" i="34" s="1"/>
  <c r="H311" i="34" s="1"/>
  <c r="E302" i="37"/>
  <c r="F302" i="37" s="1"/>
  <c r="I302" i="37" s="1"/>
  <c r="G313" i="34" s="1"/>
  <c r="H313" i="34" s="1"/>
  <c r="E312" i="37"/>
  <c r="F312" i="37" s="1"/>
  <c r="I312" i="37" s="1"/>
  <c r="G323" i="34" s="1"/>
  <c r="H323" i="34" s="1"/>
  <c r="E64" i="37"/>
  <c r="F64" i="37" s="1"/>
  <c r="I64" i="37" s="1"/>
  <c r="G75" i="34" s="1"/>
  <c r="H75" i="34" s="1"/>
  <c r="E140" i="37"/>
  <c r="F140" i="37" s="1"/>
  <c r="I140" i="37" s="1"/>
  <c r="G151" i="34" s="1"/>
  <c r="H151" i="34" s="1"/>
  <c r="E156" i="37"/>
  <c r="F156" i="37" s="1"/>
  <c r="I156" i="37" s="1"/>
  <c r="G167" i="34" s="1"/>
  <c r="H167" i="34" s="1"/>
  <c r="E168" i="37"/>
  <c r="F168" i="37" s="1"/>
  <c r="I168" i="37" s="1"/>
  <c r="G179" i="34" s="1"/>
  <c r="H179" i="34" s="1"/>
  <c r="E170" i="37"/>
  <c r="F170" i="37" s="1"/>
  <c r="I170" i="37" s="1"/>
  <c r="G181" i="34" s="1"/>
  <c r="H181" i="34" s="1"/>
  <c r="E178" i="37"/>
  <c r="F178" i="37" s="1"/>
  <c r="I178" i="37" s="1"/>
  <c r="G189" i="34" s="1"/>
  <c r="H189" i="34" s="1"/>
  <c r="E234" i="37"/>
  <c r="F234" i="37" s="1"/>
  <c r="I234" i="37" s="1"/>
  <c r="G245" i="34" s="1"/>
  <c r="H245" i="34" s="1"/>
  <c r="E255" i="37"/>
  <c r="F255" i="37" s="1"/>
  <c r="I255" i="37" s="1"/>
  <c r="G266" i="34" s="1"/>
  <c r="H266" i="34" s="1"/>
  <c r="E268" i="37"/>
  <c r="F268" i="37" s="1"/>
  <c r="I268" i="37" s="1"/>
  <c r="G279" i="34" s="1"/>
  <c r="H279" i="34" s="1"/>
  <c r="E292" i="37"/>
  <c r="F292" i="37" s="1"/>
  <c r="I292" i="37" s="1"/>
  <c r="G303" i="34" s="1"/>
  <c r="H303" i="34" s="1"/>
  <c r="E299" i="37"/>
  <c r="F299" i="37" s="1"/>
  <c r="I299" i="37" s="1"/>
  <c r="G310" i="34" s="1"/>
  <c r="H310" i="34" s="1"/>
  <c r="E164" i="37"/>
  <c r="F164" i="37" s="1"/>
  <c r="I164" i="37" s="1"/>
  <c r="G175" i="34" s="1"/>
  <c r="H175" i="34" s="1"/>
  <c r="E186" i="37"/>
  <c r="F186" i="37" s="1"/>
  <c r="I186" i="37" s="1"/>
  <c r="G197" i="34" s="1"/>
  <c r="H197" i="34" s="1"/>
  <c r="E210" i="37"/>
  <c r="F210" i="37" s="1"/>
  <c r="I210" i="37" s="1"/>
  <c r="G221" i="34" s="1"/>
  <c r="H221" i="34" s="1"/>
  <c r="E214" i="37"/>
  <c r="F214" i="37" s="1"/>
  <c r="I214" i="37" s="1"/>
  <c r="G225" i="34" s="1"/>
  <c r="H225" i="34" s="1"/>
  <c r="E238" i="37"/>
  <c r="F238" i="37" s="1"/>
  <c r="I238" i="37" s="1"/>
  <c r="G249" i="34" s="1"/>
  <c r="H249" i="34" s="1"/>
  <c r="E279" i="37"/>
  <c r="F279" i="37" s="1"/>
  <c r="I279" i="37" s="1"/>
  <c r="G290" i="34" s="1"/>
  <c r="H290" i="34" s="1"/>
  <c r="E296" i="37"/>
  <c r="F296" i="37" s="1"/>
  <c r="I296" i="37" s="1"/>
  <c r="G307" i="34" s="1"/>
  <c r="H307" i="34" s="1"/>
  <c r="E311" i="37"/>
  <c r="F311" i="37" s="1"/>
  <c r="I311" i="37" s="1"/>
  <c r="G322" i="34" s="1"/>
  <c r="H322" i="34" s="1"/>
  <c r="E127" i="37"/>
  <c r="F127" i="37" s="1"/>
  <c r="I127" i="37" s="1"/>
  <c r="G138" i="34" s="1"/>
  <c r="H138" i="34" s="1"/>
  <c r="E135" i="37"/>
  <c r="F135" i="37" s="1"/>
  <c r="I135" i="37" s="1"/>
  <c r="G146" i="34" s="1"/>
  <c r="H146" i="34" s="1"/>
  <c r="E218" i="37"/>
  <c r="F218" i="37" s="1"/>
  <c r="I218" i="37" s="1"/>
  <c r="G229" i="34" s="1"/>
  <c r="H229" i="34" s="1"/>
  <c r="E242" i="37"/>
  <c r="F242" i="37" s="1"/>
  <c r="I242" i="37" s="1"/>
  <c r="G253" i="34" s="1"/>
  <c r="H253" i="34" s="1"/>
  <c r="E246" i="37"/>
  <c r="F246" i="37" s="1"/>
  <c r="I246" i="37" s="1"/>
  <c r="G257" i="34" s="1"/>
  <c r="H257" i="34" s="1"/>
  <c r="E248" i="37"/>
  <c r="F248" i="37" s="1"/>
  <c r="I248" i="37" s="1"/>
  <c r="G259" i="34" s="1"/>
  <c r="H259" i="34" s="1"/>
  <c r="E250" i="37"/>
  <c r="F250" i="37" s="1"/>
  <c r="I250" i="37" s="1"/>
  <c r="G261" i="34" s="1"/>
  <c r="H261" i="34" s="1"/>
  <c r="E260" i="37"/>
  <c r="F260" i="37" s="1"/>
  <c r="I260" i="37" s="1"/>
  <c r="G271" i="34" s="1"/>
  <c r="H271" i="34" s="1"/>
  <c r="E284" i="37"/>
  <c r="F284" i="37" s="1"/>
  <c r="I284" i="37" s="1"/>
  <c r="G295" i="34" s="1"/>
  <c r="H295" i="34" s="1"/>
  <c r="E298" i="37"/>
  <c r="F298" i="37" s="1"/>
  <c r="I298" i="37" s="1"/>
  <c r="G309" i="34" s="1"/>
  <c r="H309" i="34" s="1"/>
  <c r="E272" i="37"/>
  <c r="F272" i="37" s="1"/>
  <c r="I272" i="37" s="1"/>
  <c r="G283" i="34" s="1"/>
  <c r="H283" i="34" s="1"/>
  <c r="E306" i="37"/>
  <c r="F306" i="37" s="1"/>
  <c r="I306" i="37" s="1"/>
  <c r="G317" i="34" s="1"/>
  <c r="H317" i="34" s="1"/>
  <c r="E106" i="37"/>
  <c r="F106" i="37" s="1"/>
  <c r="I106" i="37" s="1"/>
  <c r="G117" i="34" s="1"/>
  <c r="H117" i="34" s="1"/>
  <c r="E172" i="37"/>
  <c r="F172" i="37" s="1"/>
  <c r="I172" i="37" s="1"/>
  <c r="G183" i="34" s="1"/>
  <c r="H183" i="34" s="1"/>
  <c r="E310" i="37"/>
  <c r="F310" i="37" s="1"/>
  <c r="I310" i="37" s="1"/>
  <c r="G321" i="34" s="1"/>
  <c r="H321" i="34" s="1"/>
  <c r="E162" i="37"/>
  <c r="F162" i="37" s="1"/>
  <c r="I162" i="37" s="1"/>
  <c r="G173" i="34" s="1"/>
  <c r="H173" i="34" s="1"/>
  <c r="E206" i="37"/>
  <c r="F206" i="37" s="1"/>
  <c r="I206" i="37" s="1"/>
  <c r="G217" i="34" s="1"/>
  <c r="H217" i="34" s="1"/>
  <c r="E276" i="37"/>
  <c r="F276" i="37" s="1"/>
  <c r="I276" i="37" s="1"/>
  <c r="G287" i="34" s="1"/>
  <c r="H287" i="34" s="1"/>
  <c r="E80" i="37"/>
  <c r="F80" i="37" s="1"/>
  <c r="I80" i="37" s="1"/>
  <c r="G91" i="34" s="1"/>
  <c r="H91" i="34" s="1"/>
  <c r="E291" i="37"/>
  <c r="F291" i="37" s="1"/>
  <c r="I291" i="37" s="1"/>
  <c r="G302" i="34" s="1"/>
  <c r="H302" i="34" s="1"/>
  <c r="E304" i="37"/>
  <c r="F304" i="37" s="1"/>
  <c r="I304" i="37" s="1"/>
  <c r="G315" i="34" s="1"/>
  <c r="H315" i="34" s="1"/>
  <c r="E267" i="37"/>
  <c r="F267" i="37" s="1"/>
  <c r="I267" i="37" s="1"/>
  <c r="G278" i="34" s="1"/>
  <c r="H278" i="34" s="1"/>
  <c r="E274" i="37"/>
  <c r="F274" i="37" s="1"/>
  <c r="I274" i="37" s="1"/>
  <c r="G285" i="34" s="1"/>
  <c r="H285" i="34" s="1"/>
  <c r="E308" i="37"/>
  <c r="F308" i="37" s="1"/>
  <c r="I308" i="37" s="1"/>
  <c r="G319" i="34" s="1"/>
  <c r="H319" i="34" s="1"/>
  <c r="E278" i="37"/>
  <c r="F278" i="37" s="1"/>
  <c r="I278" i="37" s="1"/>
  <c r="G289" i="34" s="1"/>
  <c r="H289" i="34" s="1"/>
  <c r="E160" i="37"/>
  <c r="F160" i="37" s="1"/>
  <c r="I160" i="37" s="1"/>
  <c r="G171" i="34" s="1"/>
  <c r="H171" i="34" s="1"/>
  <c r="E182" i="37"/>
  <c r="F182" i="37" s="1"/>
  <c r="I182" i="37" s="1"/>
  <c r="G193" i="34" s="1"/>
  <c r="H193" i="34" s="1"/>
  <c r="E130" i="37"/>
  <c r="F130" i="37" s="1"/>
  <c r="I130" i="37" s="1"/>
  <c r="G141" i="34" s="1"/>
  <c r="H141" i="34" s="1"/>
  <c r="E262" i="37"/>
  <c r="F262" i="37" s="1"/>
  <c r="I262" i="37" s="1"/>
  <c r="G273" i="34" s="1"/>
  <c r="H273" i="34" s="1"/>
  <c r="E175" i="37"/>
  <c r="F175" i="37" s="1"/>
  <c r="I175" i="37" s="1"/>
  <c r="G186" i="34" s="1"/>
  <c r="H186" i="34" s="1"/>
  <c r="E165" i="37"/>
  <c r="F165" i="37" s="1"/>
  <c r="I165" i="37" s="1"/>
  <c r="G176" i="34" s="1"/>
  <c r="H176" i="34" s="1"/>
  <c r="E126" i="37"/>
  <c r="F126" i="37" s="1"/>
  <c r="I126" i="37" s="1"/>
  <c r="G137" i="34" s="1"/>
  <c r="H137" i="34" s="1"/>
  <c r="E251" i="37"/>
  <c r="F251" i="37" s="1"/>
  <c r="I251" i="37" s="1"/>
  <c r="G262" i="34" s="1"/>
  <c r="H262" i="34" s="1"/>
  <c r="E141" i="37"/>
  <c r="F141" i="37" s="1"/>
  <c r="I141" i="37" s="1"/>
  <c r="G152" i="34" s="1"/>
  <c r="H152" i="34" s="1"/>
  <c r="E90" i="37"/>
  <c r="F90" i="37" s="1"/>
  <c r="I90" i="37" s="1"/>
  <c r="G101" i="34" s="1"/>
  <c r="H101" i="34" s="1"/>
  <c r="E18" i="37"/>
  <c r="F18" i="37" s="1"/>
  <c r="I18" i="37" s="1"/>
  <c r="G29" i="34" s="1"/>
  <c r="H29" i="34" s="1"/>
  <c r="E244" i="37"/>
  <c r="F244" i="37" s="1"/>
  <c r="I244" i="37" s="1"/>
  <c r="G255" i="34" s="1"/>
  <c r="H255" i="34" s="1"/>
  <c r="E173" i="37"/>
  <c r="F173" i="37" s="1"/>
  <c r="I173" i="37" s="1"/>
  <c r="G184" i="34" s="1"/>
  <c r="H184" i="34" s="1"/>
  <c r="E224" i="37"/>
  <c r="F224" i="37" s="1"/>
  <c r="I224" i="37" s="1"/>
  <c r="G235" i="34" s="1"/>
  <c r="H235" i="34" s="1"/>
  <c r="E185" i="37"/>
  <c r="F185" i="37" s="1"/>
  <c r="I185" i="37" s="1"/>
  <c r="G196" i="34" s="1"/>
  <c r="H196" i="34" s="1"/>
  <c r="E207" i="37"/>
  <c r="F207" i="37" s="1"/>
  <c r="I207" i="37" s="1"/>
  <c r="G218" i="34" s="1"/>
  <c r="H218" i="34" s="1"/>
  <c r="E247" i="37"/>
  <c r="F247" i="37" s="1"/>
  <c r="I247" i="37" s="1"/>
  <c r="G258" i="34" s="1"/>
  <c r="H258" i="34" s="1"/>
  <c r="E10" i="37"/>
  <c r="F10" i="37" s="1"/>
  <c r="I10" i="37" s="1"/>
  <c r="G21" i="34" s="1"/>
  <c r="H21" i="34" s="1"/>
  <c r="E81" i="37"/>
  <c r="F81" i="37" s="1"/>
  <c r="I81" i="37" s="1"/>
  <c r="G92" i="34" s="1"/>
  <c r="H92" i="34" s="1"/>
  <c r="E227" i="37"/>
  <c r="F227" i="37" s="1"/>
  <c r="I227" i="37" s="1"/>
  <c r="G238" i="34" s="1"/>
  <c r="H238" i="34" s="1"/>
  <c r="E188" i="37"/>
  <c r="F188" i="37" s="1"/>
  <c r="I188" i="37" s="1"/>
  <c r="G199" i="34" s="1"/>
  <c r="H199" i="34" s="1"/>
  <c r="E183" i="37"/>
  <c r="F183" i="37" s="1"/>
  <c r="I183" i="37" s="1"/>
  <c r="G194" i="34" s="1"/>
  <c r="H194" i="34" s="1"/>
  <c r="E45" i="37"/>
  <c r="F45" i="37" s="1"/>
  <c r="I45" i="37" s="1"/>
  <c r="G56" i="34" s="1"/>
  <c r="H56" i="34" s="1"/>
  <c r="E73" i="37"/>
  <c r="F73" i="37" s="1"/>
  <c r="I73" i="37" s="1"/>
  <c r="G84" i="34" s="1"/>
  <c r="H84" i="34" s="1"/>
  <c r="E243" i="37"/>
  <c r="F243" i="37" s="1"/>
  <c r="I243" i="37" s="1"/>
  <c r="G254" i="34" s="1"/>
  <c r="H254" i="34" s="1"/>
  <c r="E97" i="37"/>
  <c r="F97" i="37" s="1"/>
  <c r="I97" i="37" s="1"/>
  <c r="G108" i="34" s="1"/>
  <c r="H108" i="34" s="1"/>
  <c r="E261" i="37"/>
  <c r="F261" i="37" s="1"/>
  <c r="I261" i="37" s="1"/>
  <c r="G272" i="34" s="1"/>
  <c r="H272" i="34" s="1"/>
  <c r="E62" i="37"/>
  <c r="F62" i="37" s="1"/>
  <c r="I62" i="37" s="1"/>
  <c r="G73" i="34" s="1"/>
  <c r="H73" i="34" s="1"/>
  <c r="E155" i="37"/>
  <c r="F155" i="37" s="1"/>
  <c r="I155" i="37" s="1"/>
  <c r="G166" i="34" s="1"/>
  <c r="H166" i="34" s="1"/>
  <c r="E86" i="37"/>
  <c r="F86" i="37" s="1"/>
  <c r="I86" i="37" s="1"/>
  <c r="G97" i="34" s="1"/>
  <c r="H97" i="34" s="1"/>
  <c r="E265" i="37"/>
  <c r="F265" i="37" s="1"/>
  <c r="I265" i="37" s="1"/>
  <c r="G276" i="34" s="1"/>
  <c r="H276" i="34" s="1"/>
  <c r="E174" i="37"/>
  <c r="F174" i="37" s="1"/>
  <c r="I174" i="37" s="1"/>
  <c r="G185" i="34" s="1"/>
  <c r="H185" i="34" s="1"/>
  <c r="E85" i="37"/>
  <c r="F85" i="37" s="1"/>
  <c r="I85" i="37" s="1"/>
  <c r="G96" i="34" s="1"/>
  <c r="H96" i="34" s="1"/>
  <c r="E195" i="37"/>
  <c r="F195" i="37" s="1"/>
  <c r="I195" i="37" s="1"/>
  <c r="G206" i="34" s="1"/>
  <c r="H206" i="34" s="1"/>
  <c r="E158" i="37"/>
  <c r="F158" i="37" s="1"/>
  <c r="I158" i="37" s="1"/>
  <c r="G169" i="34" s="1"/>
  <c r="H169" i="34" s="1"/>
  <c r="E9" i="37"/>
  <c r="F9" i="37" s="1"/>
  <c r="I9" i="37" s="1"/>
  <c r="G20" i="34" s="1"/>
  <c r="H20" i="34" s="1"/>
  <c r="E114" i="37"/>
  <c r="F114" i="37" s="1"/>
  <c r="I114" i="37" s="1"/>
  <c r="G125" i="34" s="1"/>
  <c r="H125" i="34" s="1"/>
  <c r="E220" i="37"/>
  <c r="F220" i="37" s="1"/>
  <c r="I220" i="37" s="1"/>
  <c r="G231" i="34" s="1"/>
  <c r="H231" i="34" s="1"/>
  <c r="E34" i="37"/>
  <c r="F34" i="37" s="1"/>
  <c r="I34" i="37" s="1"/>
  <c r="G45" i="34" s="1"/>
  <c r="H45" i="34" s="1"/>
  <c r="E30" i="37"/>
  <c r="F30" i="37" s="1"/>
  <c r="I30" i="37" s="1"/>
  <c r="G41" i="34" s="1"/>
  <c r="H41" i="34" s="1"/>
  <c r="E193" i="37"/>
  <c r="F193" i="37" s="1"/>
  <c r="I193" i="37" s="1"/>
  <c r="G204" i="34" s="1"/>
  <c r="H204" i="34" s="1"/>
  <c r="E212" i="37"/>
  <c r="F212" i="37" s="1"/>
  <c r="I212" i="37" s="1"/>
  <c r="G223" i="34" s="1"/>
  <c r="H223" i="34" s="1"/>
  <c r="E184" i="37"/>
  <c r="F184" i="37" s="1"/>
  <c r="I184" i="37" s="1"/>
  <c r="G195" i="34" s="1"/>
  <c r="H195" i="34" s="1"/>
  <c r="E14" i="37"/>
  <c r="F14" i="37" s="1"/>
  <c r="I14" i="37" s="1"/>
  <c r="G25" i="34" s="1"/>
  <c r="H25" i="34" s="1"/>
  <c r="E49" i="37"/>
  <c r="F49" i="37" s="1"/>
  <c r="I49" i="37" s="1"/>
  <c r="G60" i="34" s="1"/>
  <c r="H60" i="34" s="1"/>
  <c r="E237" i="37"/>
  <c r="F237" i="37" s="1"/>
  <c r="I237" i="37" s="1"/>
  <c r="G248" i="34" s="1"/>
  <c r="H248" i="34" s="1"/>
  <c r="E285" i="37"/>
  <c r="F285" i="37" s="1"/>
  <c r="I285" i="37" s="1"/>
  <c r="G296" i="34" s="1"/>
  <c r="H296" i="34" s="1"/>
  <c r="E289" i="37"/>
  <c r="F289" i="37" s="1"/>
  <c r="I289" i="37" s="1"/>
  <c r="G300" i="34" s="1"/>
  <c r="H300" i="34" s="1"/>
  <c r="E191" i="37"/>
  <c r="F191" i="37" s="1"/>
  <c r="I191" i="37" s="1"/>
  <c r="G202" i="34" s="1"/>
  <c r="H202" i="34" s="1"/>
  <c r="E78" i="37"/>
  <c r="F78" i="37" s="1"/>
  <c r="I78" i="37" s="1"/>
  <c r="G89" i="34" s="1"/>
  <c r="H89" i="34" s="1"/>
  <c r="E101" i="37"/>
  <c r="F101" i="37" s="1"/>
  <c r="I101" i="37" s="1"/>
  <c r="G112" i="34" s="1"/>
  <c r="H112" i="34" s="1"/>
  <c r="E200" i="37"/>
  <c r="F200" i="37" s="1"/>
  <c r="I200" i="37" s="1"/>
  <c r="G211" i="34" s="1"/>
  <c r="H211" i="34" s="1"/>
  <c r="E125" i="37"/>
  <c r="F125" i="37" s="1"/>
  <c r="I125" i="37" s="1"/>
  <c r="G136" i="34" s="1"/>
  <c r="H136" i="34" s="1"/>
  <c r="E181" i="37"/>
  <c r="F181" i="37" s="1"/>
  <c r="I181" i="37" s="1"/>
  <c r="G192" i="34" s="1"/>
  <c r="H192" i="34" s="1"/>
  <c r="E138" i="37"/>
  <c r="F138" i="37" s="1"/>
  <c r="I138" i="37" s="1"/>
  <c r="G149" i="34" s="1"/>
  <c r="H149" i="34" s="1"/>
  <c r="E139" i="37"/>
  <c r="F139" i="37" s="1"/>
  <c r="I139" i="37" s="1"/>
  <c r="G150" i="34" s="1"/>
  <c r="H150" i="34" s="1"/>
  <c r="E21" i="37"/>
  <c r="F21" i="37" s="1"/>
  <c r="I21" i="37" s="1"/>
  <c r="G32" i="34" s="1"/>
  <c r="H32" i="34" s="1"/>
  <c r="E37" i="37"/>
  <c r="F37" i="37" s="1"/>
  <c r="I37" i="37" s="1"/>
  <c r="G48" i="34" s="1"/>
  <c r="H48" i="34" s="1"/>
  <c r="E192" i="37"/>
  <c r="F192" i="37" s="1"/>
  <c r="I192" i="37" s="1"/>
  <c r="G203" i="34" s="1"/>
  <c r="H203" i="34" s="1"/>
  <c r="E235" i="37"/>
  <c r="F235" i="37" s="1"/>
  <c r="I235" i="37" s="1"/>
  <c r="G246" i="34" s="1"/>
  <c r="H246" i="34" s="1"/>
  <c r="E133" i="37"/>
  <c r="F133" i="37" s="1"/>
  <c r="I133" i="37" s="1"/>
  <c r="G144" i="34" s="1"/>
  <c r="H144" i="34" s="1"/>
  <c r="E241" i="37"/>
  <c r="F241" i="37" s="1"/>
  <c r="I241" i="37" s="1"/>
  <c r="G252" i="34" s="1"/>
  <c r="H252" i="34" s="1"/>
  <c r="E205" i="37"/>
  <c r="F205" i="37" s="1"/>
  <c r="I205" i="37" s="1"/>
  <c r="G216" i="34" s="1"/>
  <c r="H216" i="34" s="1"/>
  <c r="E57" i="37"/>
  <c r="F57" i="37" s="1"/>
  <c r="I57" i="37" s="1"/>
  <c r="G68" i="34" s="1"/>
  <c r="H68" i="34" s="1"/>
  <c r="E149" i="37"/>
  <c r="F149" i="37" s="1"/>
  <c r="I149" i="37" s="1"/>
  <c r="G160" i="34" s="1"/>
  <c r="H160" i="34" s="1"/>
  <c r="E270" i="37"/>
  <c r="F270" i="37" s="1"/>
  <c r="I270" i="37" s="1"/>
  <c r="G281" i="34" s="1"/>
  <c r="H281" i="34" s="1"/>
  <c r="E211" i="37"/>
  <c r="F211" i="37" s="1"/>
  <c r="I211" i="37" s="1"/>
  <c r="G222" i="34" s="1"/>
  <c r="H222" i="34" s="1"/>
  <c r="E94" i="37"/>
  <c r="F94" i="37" s="1"/>
  <c r="I94" i="37" s="1"/>
  <c r="G105" i="34" s="1"/>
  <c r="H105" i="34" s="1"/>
  <c r="E29" i="37"/>
  <c r="F29" i="37" s="1"/>
  <c r="I29" i="37" s="1"/>
  <c r="G40" i="34" s="1"/>
  <c r="H40" i="34" s="1"/>
  <c r="E113" i="37"/>
  <c r="F113" i="37" s="1"/>
  <c r="I113" i="37" s="1"/>
  <c r="G124" i="34" s="1"/>
  <c r="H124" i="34" s="1"/>
  <c r="E215" i="37"/>
  <c r="F215" i="37" s="1"/>
  <c r="I215" i="37" s="1"/>
  <c r="G226" i="34" s="1"/>
  <c r="H226" i="34" s="1"/>
  <c r="E25" i="37"/>
  <c r="F25" i="37" s="1"/>
  <c r="I25" i="37" s="1"/>
  <c r="G36" i="34" s="1"/>
  <c r="H36" i="34" s="1"/>
  <c r="E17" i="37"/>
  <c r="F17" i="37" s="1"/>
  <c r="I17" i="37" s="1"/>
  <c r="G28" i="34" s="1"/>
  <c r="H28" i="34" s="1"/>
  <c r="E167" i="37"/>
  <c r="F167" i="37" s="1"/>
  <c r="I167" i="37" s="1"/>
  <c r="G178" i="34" s="1"/>
  <c r="H178" i="34" s="1"/>
  <c r="E203" i="37"/>
  <c r="F203" i="37" s="1"/>
  <c r="I203" i="37" s="1"/>
  <c r="G214" i="34" s="1"/>
  <c r="H214" i="34" s="1"/>
  <c r="E257" i="37"/>
  <c r="F257" i="37" s="1"/>
  <c r="I257" i="37" s="1"/>
  <c r="G268" i="34" s="1"/>
  <c r="H268" i="34" s="1"/>
  <c r="E50" i="37"/>
  <c r="F50" i="37" s="1"/>
  <c r="I50" i="37" s="1"/>
  <c r="G61" i="34" s="1"/>
  <c r="H61" i="34" s="1"/>
  <c r="E305" i="37"/>
  <c r="F305" i="37" s="1"/>
  <c r="I305" i="37" s="1"/>
  <c r="G316" i="34" s="1"/>
  <c r="H316" i="34" s="1"/>
  <c r="E77" i="37"/>
  <c r="F77" i="37" s="1"/>
  <c r="I77" i="37" s="1"/>
  <c r="G88" i="34" s="1"/>
  <c r="H88" i="34" s="1"/>
  <c r="E147" i="37"/>
  <c r="F147" i="37" s="1"/>
  <c r="I147" i="37" s="1"/>
  <c r="G158" i="34" s="1"/>
  <c r="H158" i="34" s="1"/>
  <c r="E117" i="37"/>
  <c r="F117" i="37" s="1"/>
  <c r="I117" i="37" s="1"/>
  <c r="G128" i="34" s="1"/>
  <c r="H128" i="34" s="1"/>
  <c r="E254" i="37"/>
  <c r="F254" i="37" s="1"/>
  <c r="I254" i="37" s="1"/>
  <c r="G265" i="34" s="1"/>
  <c r="H265" i="34" s="1"/>
  <c r="E223" i="37"/>
  <c r="F223" i="37" s="1"/>
  <c r="I223" i="37" s="1"/>
  <c r="G234" i="34" s="1"/>
  <c r="H234" i="34" s="1"/>
  <c r="E137" i="37"/>
  <c r="F137" i="37" s="1"/>
  <c r="I137" i="37" s="1"/>
  <c r="G148" i="34" s="1"/>
  <c r="H148" i="34" s="1"/>
  <c r="E228" i="37"/>
  <c r="F228" i="37" s="1"/>
  <c r="I228" i="37" s="1"/>
  <c r="G239" i="34" s="1"/>
  <c r="H239" i="34" s="1"/>
  <c r="E6" i="37"/>
  <c r="F6" i="37" s="1"/>
  <c r="I6" i="37" s="1"/>
  <c r="G17" i="34" s="1"/>
  <c r="H17" i="34" s="1"/>
  <c r="E189" i="37"/>
  <c r="F189" i="37" s="1"/>
  <c r="I189" i="37" s="1"/>
  <c r="G200" i="34" s="1"/>
  <c r="H200" i="34" s="1"/>
  <c r="E249" i="37"/>
  <c r="F249" i="37" s="1"/>
  <c r="I249" i="37" s="1"/>
  <c r="G260" i="34" s="1"/>
  <c r="H260" i="34" s="1"/>
  <c r="E98" i="37"/>
  <c r="F98" i="37" s="1"/>
  <c r="I98" i="37" s="1"/>
  <c r="G109" i="34" s="1"/>
  <c r="H109" i="34" s="1"/>
  <c r="E204" i="37"/>
  <c r="F204" i="37" s="1"/>
  <c r="I204" i="37" s="1"/>
  <c r="G215" i="34" s="1"/>
  <c r="H215" i="34" s="1"/>
  <c r="E179" i="37"/>
  <c r="F179" i="37" s="1"/>
  <c r="I179" i="37" s="1"/>
  <c r="G190" i="34" s="1"/>
  <c r="H190" i="34" s="1"/>
  <c r="E269" i="37"/>
  <c r="F269" i="37" s="1"/>
  <c r="I269" i="37" s="1"/>
  <c r="G280" i="34" s="1"/>
  <c r="H280" i="34" s="1"/>
  <c r="E169" i="37"/>
  <c r="F169" i="37" s="1"/>
  <c r="I169" i="37" s="1"/>
  <c r="G180" i="34" s="1"/>
  <c r="H180" i="34" s="1"/>
  <c r="E161" i="37"/>
  <c r="F161" i="37" s="1"/>
  <c r="I161" i="37" s="1"/>
  <c r="G172" i="34" s="1"/>
  <c r="H172" i="34" s="1"/>
  <c r="E297" i="37"/>
  <c r="F297" i="37" s="1"/>
  <c r="I297" i="37" s="1"/>
  <c r="G308" i="34" s="1"/>
  <c r="H308" i="34" s="1"/>
  <c r="E129" i="37"/>
  <c r="F129" i="37" s="1"/>
  <c r="I129" i="37" s="1"/>
  <c r="G140" i="34" s="1"/>
  <c r="H140" i="34" s="1"/>
  <c r="E199" i="37"/>
  <c r="F199" i="37" s="1"/>
  <c r="I199" i="37" s="1"/>
  <c r="G210" i="34" s="1"/>
  <c r="H210" i="34" s="1"/>
  <c r="E69" i="37"/>
  <c r="F69" i="37" s="1"/>
  <c r="I69" i="37" s="1"/>
  <c r="G80" i="34" s="1"/>
  <c r="H80" i="34" s="1"/>
  <c r="E208" i="37"/>
  <c r="F208" i="37" s="1"/>
  <c r="I208" i="37" s="1"/>
  <c r="G219" i="34" s="1"/>
  <c r="H219" i="34" s="1"/>
  <c r="E253" i="37"/>
  <c r="F253" i="37" s="1"/>
  <c r="I253" i="37" s="1"/>
  <c r="G264" i="34" s="1"/>
  <c r="H264" i="34" s="1"/>
  <c r="E177" i="37"/>
  <c r="F177" i="37" s="1"/>
  <c r="I177" i="37" s="1"/>
  <c r="G188" i="34" s="1"/>
  <c r="H188" i="34" s="1"/>
  <c r="E301" i="37"/>
  <c r="F301" i="37" s="1"/>
  <c r="I301" i="37" s="1"/>
  <c r="G312" i="34" s="1"/>
  <c r="H312" i="34" s="1"/>
  <c r="E187" i="37"/>
  <c r="F187" i="37" s="1"/>
  <c r="I187" i="37" s="1"/>
  <c r="G198" i="34" s="1"/>
  <c r="H198" i="34" s="1"/>
  <c r="E201" i="37"/>
  <c r="F201" i="37" s="1"/>
  <c r="I201" i="37" s="1"/>
  <c r="G212" i="34" s="1"/>
  <c r="H212" i="34" s="1"/>
  <c r="E153" i="37"/>
  <c r="F153" i="37" s="1"/>
  <c r="I153" i="37" s="1"/>
  <c r="G164" i="34" s="1"/>
  <c r="H164" i="34" s="1"/>
  <c r="E225" i="37"/>
  <c r="F225" i="37" s="1"/>
  <c r="I225" i="37" s="1"/>
  <c r="G236" i="34" s="1"/>
  <c r="H236" i="34" s="1"/>
  <c r="E219" i="37"/>
  <c r="F219" i="37" s="1"/>
  <c r="I219" i="37" s="1"/>
  <c r="G230" i="34" s="1"/>
  <c r="H230" i="34" s="1"/>
  <c r="E54" i="37"/>
  <c r="F54" i="37" s="1"/>
  <c r="I54" i="37" s="1"/>
  <c r="G65" i="34" s="1"/>
  <c r="H65" i="34" s="1"/>
  <c r="E231" i="37"/>
  <c r="F231" i="37" s="1"/>
  <c r="I231" i="37" s="1"/>
  <c r="G242" i="34" s="1"/>
  <c r="H242" i="34" s="1"/>
  <c r="E213" i="37"/>
  <c r="F213" i="37" s="1"/>
  <c r="I213" i="37" s="1"/>
  <c r="G224" i="34" s="1"/>
  <c r="H224" i="34" s="1"/>
  <c r="E294" i="37"/>
  <c r="F294" i="37" s="1"/>
  <c r="I294" i="37" s="1"/>
  <c r="G305" i="34" s="1"/>
  <c r="H305" i="34" s="1"/>
  <c r="E281" i="37"/>
  <c r="F281" i="37" s="1"/>
  <c r="I281" i="37" s="1"/>
  <c r="G292" i="34" s="1"/>
  <c r="H292" i="34" s="1"/>
  <c r="E157" i="37"/>
  <c r="F157" i="37" s="1"/>
  <c r="I157" i="37" s="1"/>
  <c r="G168" i="34" s="1"/>
  <c r="H168" i="34" s="1"/>
  <c r="E159" i="37"/>
  <c r="F159" i="37" s="1"/>
  <c r="I159" i="37" s="1"/>
  <c r="G170" i="34" s="1"/>
  <c r="H170" i="34" s="1"/>
  <c r="E109" i="37"/>
  <c r="F109" i="37" s="1"/>
  <c r="I109" i="37" s="1"/>
  <c r="G120" i="34" s="1"/>
  <c r="H120" i="34" s="1"/>
  <c r="E239" i="37"/>
  <c r="F239" i="37" s="1"/>
  <c r="I239" i="37" s="1"/>
  <c r="G250" i="34" s="1"/>
  <c r="H250" i="34" s="1"/>
  <c r="E217" i="37"/>
  <c r="F217" i="37" s="1"/>
  <c r="I217" i="37" s="1"/>
  <c r="G228" i="34" s="1"/>
  <c r="H228" i="34" s="1"/>
  <c r="E232" i="37"/>
  <c r="F232" i="37" s="1"/>
  <c r="I232" i="37" s="1"/>
  <c r="G243" i="34" s="1"/>
  <c r="H243" i="34" s="1"/>
  <c r="E61" i="37"/>
  <c r="F61" i="37" s="1"/>
  <c r="I61" i="37" s="1"/>
  <c r="G72" i="34" s="1"/>
  <c r="H72" i="34" s="1"/>
  <c r="E65" i="37"/>
  <c r="F65" i="37" s="1"/>
  <c r="I65" i="37" s="1"/>
  <c r="G76" i="34" s="1"/>
  <c r="H76" i="34" s="1"/>
  <c r="E151" i="37"/>
  <c r="F151" i="37" s="1"/>
  <c r="I151" i="37" s="1"/>
  <c r="G162" i="34" s="1"/>
  <c r="H162" i="34" s="1"/>
  <c r="E176" i="37"/>
  <c r="F176" i="37" s="1"/>
  <c r="I176" i="37" s="1"/>
  <c r="G187" i="34" s="1"/>
  <c r="H187" i="34" s="1"/>
  <c r="E26" i="37"/>
  <c r="F26" i="37" s="1"/>
  <c r="I26" i="37" s="1"/>
  <c r="G37" i="34" s="1"/>
  <c r="H37" i="34" s="1"/>
  <c r="E74" i="37"/>
  <c r="F74" i="37" s="1"/>
  <c r="I74" i="37" s="1"/>
  <c r="G85" i="34" s="1"/>
  <c r="H85" i="34" s="1"/>
  <c r="E110" i="37"/>
  <c r="F110" i="37" s="1"/>
  <c r="I110" i="37" s="1"/>
  <c r="G121" i="34" s="1"/>
  <c r="H121" i="34" s="1"/>
  <c r="E286" i="37"/>
  <c r="F286" i="37" s="1"/>
  <c r="I286" i="37" s="1"/>
  <c r="G297" i="34" s="1"/>
  <c r="H297" i="34" s="1"/>
  <c r="E245" i="37"/>
  <c r="F245" i="37" s="1"/>
  <c r="I245" i="37" s="1"/>
  <c r="G256" i="34" s="1"/>
  <c r="H256" i="34" s="1"/>
  <c r="E46" i="37"/>
  <c r="F46" i="37" s="1"/>
  <c r="I46" i="37" s="1"/>
  <c r="G57" i="34" s="1"/>
  <c r="H57" i="34" s="1"/>
  <c r="E209" i="37"/>
  <c r="F209" i="37" s="1"/>
  <c r="I209" i="37" s="1"/>
  <c r="G220" i="34" s="1"/>
  <c r="H220" i="34" s="1"/>
  <c r="E66" i="37"/>
  <c r="F66" i="37" s="1"/>
  <c r="I66" i="37" s="1"/>
  <c r="G77" i="34" s="1"/>
  <c r="H77" i="34" s="1"/>
  <c r="E309" i="37"/>
  <c r="F309" i="37" s="1"/>
  <c r="I309" i="37" s="1"/>
  <c r="G320" i="34" s="1"/>
  <c r="H320" i="34" s="1"/>
  <c r="E145" i="37"/>
  <c r="F145" i="37" s="1"/>
  <c r="I145" i="37" s="1"/>
  <c r="G156" i="34" s="1"/>
  <c r="H156" i="34" s="1"/>
  <c r="E89" i="37"/>
  <c r="F89" i="37" s="1"/>
  <c r="I89" i="37" s="1"/>
  <c r="G100" i="34" s="1"/>
  <c r="H100" i="34" s="1"/>
  <c r="E121" i="37"/>
  <c r="F121" i="37" s="1"/>
  <c r="I121" i="37" s="1"/>
  <c r="G132" i="34" s="1"/>
  <c r="H132" i="34" s="1"/>
  <c r="E53" i="37"/>
  <c r="F53" i="37" s="1"/>
  <c r="I53" i="37" s="1"/>
  <c r="G64" i="34" s="1"/>
  <c r="H64" i="34" s="1"/>
  <c r="E142" i="37"/>
  <c r="F142" i="37" s="1"/>
  <c r="I142" i="37" s="1"/>
  <c r="G153" i="34" s="1"/>
  <c r="H153" i="34" s="1"/>
  <c r="E221" i="37"/>
  <c r="F221" i="37" s="1"/>
  <c r="I221" i="37" s="1"/>
  <c r="G232" i="34" s="1"/>
  <c r="H232" i="34" s="1"/>
  <c r="E196" i="37"/>
  <c r="F196" i="37" s="1"/>
  <c r="I196" i="37" s="1"/>
  <c r="G207" i="34" s="1"/>
  <c r="H207" i="34" s="1"/>
  <c r="E166" i="37"/>
  <c r="F166" i="37" s="1"/>
  <c r="I166" i="37" s="1"/>
  <c r="G177" i="34" s="1"/>
  <c r="H177" i="34" s="1"/>
  <c r="E42" i="37"/>
  <c r="F42" i="37" s="1"/>
  <c r="I42" i="37" s="1"/>
  <c r="G53" i="34" s="1"/>
  <c r="H53" i="34" s="1"/>
  <c r="E180" i="37"/>
  <c r="F180" i="37" s="1"/>
  <c r="I180" i="37" s="1"/>
  <c r="G191" i="34" s="1"/>
  <c r="H191" i="34" s="1"/>
  <c r="E197" i="37"/>
  <c r="F197" i="37" s="1"/>
  <c r="I197" i="37" s="1"/>
  <c r="G208" i="34" s="1"/>
  <c r="H208" i="34" s="1"/>
  <c r="E273" i="37"/>
  <c r="F273" i="37" s="1"/>
  <c r="I273" i="37" s="1"/>
  <c r="G284" i="34" s="1"/>
  <c r="H284" i="34" s="1"/>
  <c r="E229" i="37"/>
  <c r="F229" i="37" s="1"/>
  <c r="I229" i="37" s="1"/>
  <c r="G240" i="34" s="1"/>
  <c r="H240" i="34" s="1"/>
  <c r="E240" i="37"/>
  <c r="F240" i="37" s="1"/>
  <c r="I240" i="37" s="1"/>
  <c r="G251" i="34" s="1"/>
  <c r="H251" i="34" s="1"/>
  <c r="E82" i="37"/>
  <c r="F82" i="37" s="1"/>
  <c r="I82" i="37" s="1"/>
  <c r="G93" i="34" s="1"/>
  <c r="H93" i="34" s="1"/>
  <c r="E134" i="37"/>
  <c r="F134" i="37" s="1"/>
  <c r="I134" i="37" s="1"/>
  <c r="G145" i="34" s="1"/>
  <c r="H145" i="34" s="1"/>
  <c r="E13" i="37"/>
  <c r="F13" i="37" s="1"/>
  <c r="I13" i="37" s="1"/>
  <c r="G24" i="34" s="1"/>
  <c r="H24" i="34" s="1"/>
  <c r="E93" i="37"/>
  <c r="F93" i="37" s="1"/>
  <c r="I93" i="37" s="1"/>
  <c r="G104" i="34" s="1"/>
  <c r="H104" i="34" s="1"/>
  <c r="E118" i="37"/>
  <c r="F118" i="37" s="1"/>
  <c r="I118" i="37" s="1"/>
  <c r="G129" i="34" s="1"/>
  <c r="H129" i="34" s="1"/>
  <c r="E277" i="37"/>
  <c r="F277" i="37" s="1"/>
  <c r="I277" i="37" s="1"/>
  <c r="G288" i="34" s="1"/>
  <c r="H288" i="34" s="1"/>
  <c r="E70" i="37"/>
  <c r="F70" i="37" s="1"/>
  <c r="I70" i="37" s="1"/>
  <c r="G81" i="34" s="1"/>
  <c r="H81" i="34" s="1"/>
  <c r="E22" i="37"/>
  <c r="F22" i="37" s="1"/>
  <c r="I22" i="37" s="1"/>
  <c r="G33" i="34" s="1"/>
  <c r="H33" i="34" s="1"/>
  <c r="E216" i="37"/>
  <c r="F216" i="37" s="1"/>
  <c r="I216" i="37" s="1"/>
  <c r="G227" i="34" s="1"/>
  <c r="H227" i="34" s="1"/>
  <c r="E163" i="37"/>
  <c r="F163" i="37" s="1"/>
  <c r="I163" i="37" s="1"/>
  <c r="G174" i="34" s="1"/>
  <c r="H174" i="34" s="1"/>
  <c r="E150" i="37"/>
  <c r="F150" i="37" s="1"/>
  <c r="I150" i="37" s="1"/>
  <c r="G161" i="34" s="1"/>
  <c r="H161" i="34" s="1"/>
  <c r="E58" i="37"/>
  <c r="F58" i="37" s="1"/>
  <c r="I58" i="37" s="1"/>
  <c r="G69" i="34" s="1"/>
  <c r="H69" i="34" s="1"/>
  <c r="E233" i="37"/>
  <c r="F233" i="37" s="1"/>
  <c r="I233" i="37" s="1"/>
  <c r="G244" i="34" s="1"/>
  <c r="H244" i="34" s="1"/>
  <c r="E293" i="37"/>
  <c r="F293" i="37" s="1"/>
  <c r="I293" i="37" s="1"/>
  <c r="G304" i="34" s="1"/>
  <c r="H304" i="34" s="1"/>
  <c r="E105" i="37"/>
  <c r="F105" i="37" s="1"/>
  <c r="I105" i="37" s="1"/>
  <c r="G116" i="34" s="1"/>
  <c r="H116" i="34" s="1"/>
  <c r="E38" i="37"/>
  <c r="F38" i="37" s="1"/>
  <c r="I38" i="37" s="1"/>
  <c r="G49" i="34" s="1"/>
  <c r="H49" i="34" s="1"/>
  <c r="E41" i="37"/>
  <c r="F41" i="37" s="1"/>
  <c r="I41" i="37" s="1"/>
  <c r="G52" i="34" s="1"/>
  <c r="H52" i="34" s="1"/>
  <c r="E143" i="37"/>
  <c r="F143" i="37" s="1"/>
  <c r="I143" i="37" s="1"/>
  <c r="G154" i="34" s="1"/>
  <c r="H154" i="34" s="1"/>
  <c r="E236" i="37"/>
  <c r="F236" i="37" s="1"/>
  <c r="I236" i="37" s="1"/>
  <c r="G247" i="34" s="1"/>
  <c r="H247" i="34" s="1"/>
  <c r="E171" i="37"/>
  <c r="F171" i="37" s="1"/>
  <c r="I171" i="37" s="1"/>
  <c r="G182" i="34" s="1"/>
  <c r="H182" i="34" s="1"/>
  <c r="E33" i="37"/>
  <c r="F33" i="37" s="1"/>
  <c r="I33" i="37" s="1"/>
  <c r="G44" i="34" s="1"/>
  <c r="H44" i="34" s="1"/>
  <c r="E313" i="37"/>
  <c r="F313" i="37" s="1"/>
  <c r="I313" i="37" s="1"/>
  <c r="G324" i="34" s="1"/>
  <c r="H324" i="34" s="1"/>
  <c r="N7" i="49"/>
  <c r="O7" i="49" s="1"/>
  <c r="N9" i="49"/>
  <c r="O9" i="49" s="1"/>
  <c r="N11" i="49"/>
  <c r="O11" i="49" s="1"/>
  <c r="N13" i="49"/>
  <c r="O13" i="49" s="1"/>
  <c r="N15" i="49"/>
  <c r="O15" i="49" s="1"/>
  <c r="N17" i="49"/>
  <c r="O17" i="49" s="1"/>
  <c r="N19" i="49"/>
  <c r="O19" i="49" s="1"/>
  <c r="N21" i="49"/>
  <c r="O21" i="49" s="1"/>
  <c r="N8" i="49"/>
  <c r="O8" i="49" s="1"/>
  <c r="N10" i="49"/>
  <c r="O10" i="49" s="1"/>
  <c r="N12" i="49"/>
  <c r="O12" i="49" s="1"/>
  <c r="N14" i="49"/>
  <c r="O14" i="49" s="1"/>
  <c r="N16" i="49"/>
  <c r="O16" i="49" s="1"/>
  <c r="N18" i="49"/>
  <c r="O18" i="49" s="1"/>
  <c r="N20" i="49"/>
  <c r="O20" i="49" s="1"/>
  <c r="N22" i="49"/>
  <c r="O22" i="49" s="1"/>
  <c r="N23" i="49"/>
  <c r="O23" i="49" s="1"/>
  <c r="N34" i="49"/>
  <c r="O34" i="49" s="1"/>
  <c r="N38" i="49"/>
  <c r="O38" i="49" s="1"/>
  <c r="N42" i="49"/>
  <c r="O42" i="49" s="1"/>
  <c r="N55" i="49"/>
  <c r="O55" i="49" s="1"/>
  <c r="N58" i="49"/>
  <c r="O58" i="49" s="1"/>
  <c r="N71" i="49"/>
  <c r="O71" i="49" s="1"/>
  <c r="N74" i="49"/>
  <c r="O74" i="49" s="1"/>
  <c r="N86" i="49"/>
  <c r="O86" i="49" s="1"/>
  <c r="N89" i="49"/>
  <c r="O89" i="49" s="1"/>
  <c r="N24" i="49"/>
  <c r="O24" i="49" s="1"/>
  <c r="N25" i="49"/>
  <c r="O25" i="49" s="1"/>
  <c r="N35" i="49"/>
  <c r="O35" i="49" s="1"/>
  <c r="N39" i="49"/>
  <c r="O39" i="49" s="1"/>
  <c r="N49" i="49"/>
  <c r="O49" i="49" s="1"/>
  <c r="N52" i="49"/>
  <c r="O52" i="49" s="1"/>
  <c r="N65" i="49"/>
  <c r="O65" i="49" s="1"/>
  <c r="N68" i="49"/>
  <c r="O68" i="49" s="1"/>
  <c r="N81" i="49"/>
  <c r="O81" i="49" s="1"/>
  <c r="N94" i="49"/>
  <c r="O94" i="49" s="1"/>
  <c r="N96" i="49"/>
  <c r="O96" i="49" s="1"/>
  <c r="N98" i="49"/>
  <c r="O98" i="49" s="1"/>
  <c r="N100" i="49"/>
  <c r="O100" i="49" s="1"/>
  <c r="N102" i="49"/>
  <c r="O102" i="49" s="1"/>
  <c r="N104" i="49"/>
  <c r="O104" i="49" s="1"/>
  <c r="N106" i="49"/>
  <c r="O106" i="49" s="1"/>
  <c r="N108" i="49"/>
  <c r="O108" i="49" s="1"/>
  <c r="N110" i="49"/>
  <c r="O110" i="49" s="1"/>
  <c r="N112" i="49"/>
  <c r="O112" i="49" s="1"/>
  <c r="N114" i="49"/>
  <c r="O114" i="49" s="1"/>
  <c r="N116" i="49"/>
  <c r="O116" i="49" s="1"/>
  <c r="N118" i="49"/>
  <c r="O118" i="49" s="1"/>
  <c r="N120" i="49"/>
  <c r="O120" i="49" s="1"/>
  <c r="N122" i="49"/>
  <c r="O122" i="49" s="1"/>
  <c r="N124" i="49"/>
  <c r="O124" i="49" s="1"/>
  <c r="N126" i="49"/>
  <c r="O126" i="49" s="1"/>
  <c r="N128" i="49"/>
  <c r="O128" i="49" s="1"/>
  <c r="N130" i="49"/>
  <c r="O130" i="49" s="1"/>
  <c r="N132" i="49"/>
  <c r="O132" i="49" s="1"/>
  <c r="N134" i="49"/>
  <c r="O134" i="49" s="1"/>
  <c r="N136" i="49"/>
  <c r="O136" i="49" s="1"/>
  <c r="N138" i="49"/>
  <c r="O138" i="49" s="1"/>
  <c r="N30" i="49"/>
  <c r="O30" i="49" s="1"/>
  <c r="N31" i="49"/>
  <c r="O31" i="49" s="1"/>
  <c r="N43" i="49"/>
  <c r="O43" i="49" s="1"/>
  <c r="N46" i="49"/>
  <c r="O46" i="49" s="1"/>
  <c r="N59" i="49"/>
  <c r="O59" i="49" s="1"/>
  <c r="N62" i="49"/>
  <c r="O62" i="49" s="1"/>
  <c r="N75" i="49"/>
  <c r="O75" i="49" s="1"/>
  <c r="N78" i="49"/>
  <c r="O78" i="49" s="1"/>
  <c r="N84" i="49"/>
  <c r="O84" i="49" s="1"/>
  <c r="N87" i="49"/>
  <c r="O87" i="49" s="1"/>
  <c r="N92" i="49"/>
  <c r="O92" i="49" s="1"/>
  <c r="N53" i="49"/>
  <c r="O53" i="49" s="1"/>
  <c r="N56" i="49"/>
  <c r="O56" i="49" s="1"/>
  <c r="N69" i="49"/>
  <c r="O69" i="49" s="1"/>
  <c r="N72" i="49"/>
  <c r="O72" i="49" s="1"/>
  <c r="N26" i="49"/>
  <c r="O26" i="49" s="1"/>
  <c r="N27" i="49"/>
  <c r="O27" i="49" s="1"/>
  <c r="N36" i="49"/>
  <c r="O36" i="49" s="1"/>
  <c r="N40" i="49"/>
  <c r="O40" i="49" s="1"/>
  <c r="N47" i="49"/>
  <c r="O47" i="49" s="1"/>
  <c r="N50" i="49"/>
  <c r="O50" i="49" s="1"/>
  <c r="N63" i="49"/>
  <c r="O63" i="49" s="1"/>
  <c r="N66" i="49"/>
  <c r="O66" i="49" s="1"/>
  <c r="N79" i="49"/>
  <c r="O79" i="49" s="1"/>
  <c r="N82" i="49"/>
  <c r="O82" i="49" s="1"/>
  <c r="N85" i="49"/>
  <c r="O85" i="49" s="1"/>
  <c r="N90" i="49"/>
  <c r="O90" i="49" s="1"/>
  <c r="N32" i="49"/>
  <c r="O32" i="49" s="1"/>
  <c r="N33" i="49"/>
  <c r="O33" i="49" s="1"/>
  <c r="N37" i="49"/>
  <c r="O37" i="49" s="1"/>
  <c r="N41" i="49"/>
  <c r="O41" i="49" s="1"/>
  <c r="N44" i="49"/>
  <c r="O44" i="49" s="1"/>
  <c r="N57" i="49"/>
  <c r="O57" i="49" s="1"/>
  <c r="N60" i="49"/>
  <c r="O60" i="49" s="1"/>
  <c r="N73" i="49"/>
  <c r="O73" i="49" s="1"/>
  <c r="N76" i="49"/>
  <c r="O76" i="49" s="1"/>
  <c r="N93" i="49"/>
  <c r="O93" i="49" s="1"/>
  <c r="N95" i="49"/>
  <c r="O95" i="49" s="1"/>
  <c r="N97" i="49"/>
  <c r="O97" i="49" s="1"/>
  <c r="N99" i="49"/>
  <c r="O99" i="49" s="1"/>
  <c r="N101" i="49"/>
  <c r="O101" i="49" s="1"/>
  <c r="N103" i="49"/>
  <c r="O103" i="49" s="1"/>
  <c r="N105" i="49"/>
  <c r="O105" i="49" s="1"/>
  <c r="N107" i="49"/>
  <c r="O107" i="49" s="1"/>
  <c r="N109" i="49"/>
  <c r="O109" i="49" s="1"/>
  <c r="N111" i="49"/>
  <c r="O111" i="49" s="1"/>
  <c r="N113" i="49"/>
  <c r="O113" i="49" s="1"/>
  <c r="N115" i="49"/>
  <c r="O115" i="49" s="1"/>
  <c r="N117" i="49"/>
  <c r="O117" i="49" s="1"/>
  <c r="N119" i="49"/>
  <c r="O119" i="49" s="1"/>
  <c r="N121" i="49"/>
  <c r="O121" i="49" s="1"/>
  <c r="N123" i="49"/>
  <c r="O123" i="49" s="1"/>
  <c r="N125" i="49"/>
  <c r="O125" i="49" s="1"/>
  <c r="N127" i="49"/>
  <c r="O127" i="49" s="1"/>
  <c r="N129" i="49"/>
  <c r="O129" i="49" s="1"/>
  <c r="N131" i="49"/>
  <c r="O131" i="49" s="1"/>
  <c r="N133" i="49"/>
  <c r="O133" i="49" s="1"/>
  <c r="N135" i="49"/>
  <c r="O135" i="49" s="1"/>
  <c r="N137" i="49"/>
  <c r="O137" i="49" s="1"/>
  <c r="N139" i="49"/>
  <c r="O139" i="49" s="1"/>
  <c r="N28" i="49"/>
  <c r="O28" i="49" s="1"/>
  <c r="N29" i="49"/>
  <c r="O29" i="49" s="1"/>
  <c r="N45" i="49"/>
  <c r="O45" i="49" s="1"/>
  <c r="N48" i="49"/>
  <c r="O48" i="49" s="1"/>
  <c r="N61" i="49"/>
  <c r="O61" i="49" s="1"/>
  <c r="N64" i="49"/>
  <c r="O64" i="49" s="1"/>
  <c r="N77" i="49"/>
  <c r="O77" i="49" s="1"/>
  <c r="N80" i="49"/>
  <c r="O80" i="49" s="1"/>
  <c r="N88" i="49"/>
  <c r="O88" i="49" s="1"/>
  <c r="N140" i="49"/>
  <c r="O140" i="49" s="1"/>
  <c r="N142" i="49"/>
  <c r="O142" i="49" s="1"/>
  <c r="N144" i="49"/>
  <c r="O144" i="49" s="1"/>
  <c r="N146" i="49"/>
  <c r="O146" i="49" s="1"/>
  <c r="N148" i="49"/>
  <c r="O148" i="49" s="1"/>
  <c r="N150" i="49"/>
  <c r="O150" i="49" s="1"/>
  <c r="N152" i="49"/>
  <c r="O152" i="49" s="1"/>
  <c r="N154" i="49"/>
  <c r="O154" i="49" s="1"/>
  <c r="N156" i="49"/>
  <c r="O156" i="49" s="1"/>
  <c r="N158" i="49"/>
  <c r="O158" i="49" s="1"/>
  <c r="N160" i="49"/>
  <c r="O160" i="49" s="1"/>
  <c r="N162" i="49"/>
  <c r="O162" i="49" s="1"/>
  <c r="N164" i="49"/>
  <c r="O164" i="49" s="1"/>
  <c r="N166" i="49"/>
  <c r="O166" i="49" s="1"/>
  <c r="N168" i="49"/>
  <c r="O168" i="49" s="1"/>
  <c r="N170" i="49"/>
  <c r="O170" i="49" s="1"/>
  <c r="N172" i="49"/>
  <c r="O172" i="49" s="1"/>
  <c r="N174" i="49"/>
  <c r="O174" i="49" s="1"/>
  <c r="N176" i="49"/>
  <c r="O176" i="49" s="1"/>
  <c r="N178" i="49"/>
  <c r="O178" i="49" s="1"/>
  <c r="N180" i="49"/>
  <c r="O180" i="49" s="1"/>
  <c r="N182" i="49"/>
  <c r="O182" i="49" s="1"/>
  <c r="N184" i="49"/>
  <c r="O184" i="49" s="1"/>
  <c r="N186" i="49"/>
  <c r="O186" i="49" s="1"/>
  <c r="N188" i="49"/>
  <c r="O188" i="49" s="1"/>
  <c r="N190" i="49"/>
  <c r="O190" i="49" s="1"/>
  <c r="N192" i="49"/>
  <c r="O192" i="49" s="1"/>
  <c r="N194" i="49"/>
  <c r="O194" i="49" s="1"/>
  <c r="N196" i="49"/>
  <c r="O196" i="49" s="1"/>
  <c r="N198" i="49"/>
  <c r="O198" i="49" s="1"/>
  <c r="N200" i="49"/>
  <c r="O200" i="49" s="1"/>
  <c r="N202" i="49"/>
  <c r="O202" i="49" s="1"/>
  <c r="N204" i="49"/>
  <c r="O204" i="49" s="1"/>
  <c r="N206" i="49"/>
  <c r="O206" i="49" s="1"/>
  <c r="N208" i="49"/>
  <c r="O208" i="49" s="1"/>
  <c r="N210" i="49"/>
  <c r="O210" i="49" s="1"/>
  <c r="N212" i="49"/>
  <c r="O212" i="49" s="1"/>
  <c r="N70" i="49"/>
  <c r="O70" i="49" s="1"/>
  <c r="N54" i="49"/>
  <c r="O54" i="49" s="1"/>
  <c r="N83" i="49"/>
  <c r="O83" i="49" s="1"/>
  <c r="N91" i="49"/>
  <c r="O91" i="49" s="1"/>
  <c r="N141" i="49"/>
  <c r="O141" i="49" s="1"/>
  <c r="N143" i="49"/>
  <c r="O143" i="49" s="1"/>
  <c r="N145" i="49"/>
  <c r="O145" i="49" s="1"/>
  <c r="N147" i="49"/>
  <c r="O147" i="49" s="1"/>
  <c r="N149" i="49"/>
  <c r="O149" i="49" s="1"/>
  <c r="N151" i="49"/>
  <c r="O151" i="49" s="1"/>
  <c r="N153" i="49"/>
  <c r="O153" i="49" s="1"/>
  <c r="N155" i="49"/>
  <c r="O155" i="49" s="1"/>
  <c r="N157" i="49"/>
  <c r="O157" i="49" s="1"/>
  <c r="N159" i="49"/>
  <c r="O159" i="49" s="1"/>
  <c r="N161" i="49"/>
  <c r="O161" i="49" s="1"/>
  <c r="N163" i="49"/>
  <c r="O163" i="49" s="1"/>
  <c r="N165" i="49"/>
  <c r="O165" i="49" s="1"/>
  <c r="N167" i="49"/>
  <c r="O167" i="49" s="1"/>
  <c r="N169" i="49"/>
  <c r="O169" i="49" s="1"/>
  <c r="N171" i="49"/>
  <c r="O171" i="49" s="1"/>
  <c r="N173" i="49"/>
  <c r="O173" i="49" s="1"/>
  <c r="N175" i="49"/>
  <c r="O175" i="49" s="1"/>
  <c r="N177" i="49"/>
  <c r="O177" i="49" s="1"/>
  <c r="N179" i="49"/>
  <c r="O179" i="49" s="1"/>
  <c r="N181" i="49"/>
  <c r="O181" i="49" s="1"/>
  <c r="N183" i="49"/>
  <c r="O183" i="49" s="1"/>
  <c r="N185" i="49"/>
  <c r="O185" i="49" s="1"/>
  <c r="N187" i="49"/>
  <c r="O187" i="49" s="1"/>
  <c r="N189" i="49"/>
  <c r="O189" i="49" s="1"/>
  <c r="N191" i="49"/>
  <c r="O191" i="49" s="1"/>
  <c r="N193" i="49"/>
  <c r="O193" i="49" s="1"/>
  <c r="N195" i="49"/>
  <c r="O195" i="49" s="1"/>
  <c r="N197" i="49"/>
  <c r="O197" i="49" s="1"/>
  <c r="N199" i="49"/>
  <c r="O199" i="49" s="1"/>
  <c r="N201" i="49"/>
  <c r="O201" i="49" s="1"/>
  <c r="N203" i="49"/>
  <c r="O203" i="49" s="1"/>
  <c r="N205" i="49"/>
  <c r="O205" i="49" s="1"/>
  <c r="N67" i="49"/>
  <c r="O67" i="49" s="1"/>
  <c r="N51" i="49"/>
  <c r="O51" i="49" s="1"/>
  <c r="N217" i="49"/>
  <c r="O217" i="49" s="1"/>
  <c r="N222" i="49"/>
  <c r="O222" i="49" s="1"/>
  <c r="N209" i="49"/>
  <c r="O209" i="49" s="1"/>
  <c r="N218" i="49"/>
  <c r="O218" i="49" s="1"/>
  <c r="N223" i="49"/>
  <c r="O223" i="49" s="1"/>
  <c r="N225" i="49"/>
  <c r="O225" i="49" s="1"/>
  <c r="N227" i="49"/>
  <c r="O227" i="49" s="1"/>
  <c r="N229" i="49"/>
  <c r="O229" i="49" s="1"/>
  <c r="N231" i="49"/>
  <c r="O231" i="49" s="1"/>
  <c r="N233" i="49"/>
  <c r="O233" i="49" s="1"/>
  <c r="N235" i="49"/>
  <c r="O235" i="49" s="1"/>
  <c r="N237" i="49"/>
  <c r="O237" i="49" s="1"/>
  <c r="N239" i="49"/>
  <c r="O239" i="49" s="1"/>
  <c r="N241" i="49"/>
  <c r="O241" i="49" s="1"/>
  <c r="N243" i="49"/>
  <c r="O243" i="49" s="1"/>
  <c r="N245" i="49"/>
  <c r="O245" i="49" s="1"/>
  <c r="N247" i="49"/>
  <c r="O247" i="49" s="1"/>
  <c r="N249" i="49"/>
  <c r="O249" i="49" s="1"/>
  <c r="N251" i="49"/>
  <c r="O251" i="49" s="1"/>
  <c r="N253" i="49"/>
  <c r="O253" i="49" s="1"/>
  <c r="N255" i="49"/>
  <c r="O255" i="49" s="1"/>
  <c r="N257" i="49"/>
  <c r="O257" i="49" s="1"/>
  <c r="N259" i="49"/>
  <c r="O259" i="49" s="1"/>
  <c r="N261" i="49"/>
  <c r="O261" i="49" s="1"/>
  <c r="N263" i="49"/>
  <c r="O263" i="49" s="1"/>
  <c r="N265" i="49"/>
  <c r="O265" i="49" s="1"/>
  <c r="N267" i="49"/>
  <c r="O267" i="49" s="1"/>
  <c r="N269" i="49"/>
  <c r="O269" i="49" s="1"/>
  <c r="N271" i="49"/>
  <c r="O271" i="49" s="1"/>
  <c r="N273" i="49"/>
  <c r="O273" i="49" s="1"/>
  <c r="N275" i="49"/>
  <c r="O275" i="49" s="1"/>
  <c r="N277" i="49"/>
  <c r="O277" i="49" s="1"/>
  <c r="N279" i="49"/>
  <c r="O279" i="49" s="1"/>
  <c r="N281" i="49"/>
  <c r="O281" i="49" s="1"/>
  <c r="N283" i="49"/>
  <c r="O283" i="49" s="1"/>
  <c r="N213" i="49"/>
  <c r="O213" i="49" s="1"/>
  <c r="N221" i="49"/>
  <c r="O221" i="49" s="1"/>
  <c r="N207" i="49"/>
  <c r="O207" i="49" s="1"/>
  <c r="N211" i="49"/>
  <c r="O211" i="49" s="1"/>
  <c r="N214" i="49"/>
  <c r="O214" i="49" s="1"/>
  <c r="N224" i="49"/>
  <c r="O224" i="49" s="1"/>
  <c r="N226" i="49"/>
  <c r="O226" i="49" s="1"/>
  <c r="N228" i="49"/>
  <c r="O228" i="49" s="1"/>
  <c r="N230" i="49"/>
  <c r="O230" i="49" s="1"/>
  <c r="N232" i="49"/>
  <c r="O232" i="49" s="1"/>
  <c r="N234" i="49"/>
  <c r="O234" i="49" s="1"/>
  <c r="N236" i="49"/>
  <c r="O236" i="49" s="1"/>
  <c r="N238" i="49"/>
  <c r="O238" i="49" s="1"/>
  <c r="N240" i="49"/>
  <c r="O240" i="49" s="1"/>
  <c r="N242" i="49"/>
  <c r="O242" i="49" s="1"/>
  <c r="N244" i="49"/>
  <c r="O244" i="49" s="1"/>
  <c r="M244" i="25" s="1"/>
  <c r="N246" i="49"/>
  <c r="O246" i="49" s="1"/>
  <c r="N248" i="49"/>
  <c r="O248" i="49" s="1"/>
  <c r="N250" i="49"/>
  <c r="O250" i="49" s="1"/>
  <c r="N252" i="49"/>
  <c r="O252" i="49" s="1"/>
  <c r="N254" i="49"/>
  <c r="O254" i="49" s="1"/>
  <c r="N256" i="49"/>
  <c r="O256" i="49" s="1"/>
  <c r="N258" i="49"/>
  <c r="O258" i="49" s="1"/>
  <c r="N260" i="49"/>
  <c r="O260" i="49" s="1"/>
  <c r="N262" i="49"/>
  <c r="O262" i="49" s="1"/>
  <c r="N264" i="49"/>
  <c r="O264" i="49" s="1"/>
  <c r="N266" i="49"/>
  <c r="O266" i="49" s="1"/>
  <c r="N268" i="49"/>
  <c r="O268" i="49" s="1"/>
  <c r="N270" i="49"/>
  <c r="O270" i="49" s="1"/>
  <c r="N272" i="49"/>
  <c r="O272" i="49" s="1"/>
  <c r="N274" i="49"/>
  <c r="O274" i="49" s="1"/>
  <c r="N276" i="49"/>
  <c r="O276" i="49" s="1"/>
  <c r="N278" i="49"/>
  <c r="O278" i="49" s="1"/>
  <c r="N280" i="49"/>
  <c r="O280" i="49" s="1"/>
  <c r="N282" i="49"/>
  <c r="O282" i="49" s="1"/>
  <c r="N284" i="49"/>
  <c r="O284" i="49" s="1"/>
  <c r="N286" i="49"/>
  <c r="O286" i="49" s="1"/>
  <c r="N288" i="49"/>
  <c r="O288" i="49" s="1"/>
  <c r="N290" i="49"/>
  <c r="O290" i="49" s="1"/>
  <c r="N292" i="49"/>
  <c r="O292" i="49" s="1"/>
  <c r="N294" i="49"/>
  <c r="O294" i="49" s="1"/>
  <c r="N296" i="49"/>
  <c r="O296" i="49" s="1"/>
  <c r="N298" i="49"/>
  <c r="O298" i="49" s="1"/>
  <c r="N300" i="49"/>
  <c r="O300" i="49" s="1"/>
  <c r="N302" i="49"/>
  <c r="O302" i="49" s="1"/>
  <c r="N304" i="49"/>
  <c r="O304" i="49" s="1"/>
  <c r="N306" i="49"/>
  <c r="O306" i="49" s="1"/>
  <c r="N308" i="49"/>
  <c r="O308" i="49" s="1"/>
  <c r="N310" i="49"/>
  <c r="O310" i="49" s="1"/>
  <c r="N312" i="49"/>
  <c r="O312" i="49" s="1"/>
  <c r="N314" i="49"/>
  <c r="O314" i="49" s="1"/>
  <c r="N215" i="49"/>
  <c r="O215" i="49" s="1"/>
  <c r="N216" i="49"/>
  <c r="O216" i="49" s="1"/>
  <c r="N219" i="49"/>
  <c r="O219" i="49" s="1"/>
  <c r="N285" i="49"/>
  <c r="O285" i="49" s="1"/>
  <c r="N287" i="49"/>
  <c r="O287" i="49" s="1"/>
  <c r="N289" i="49"/>
  <c r="O289" i="49" s="1"/>
  <c r="N291" i="49"/>
  <c r="O291" i="49" s="1"/>
  <c r="N293" i="49"/>
  <c r="O293" i="49" s="1"/>
  <c r="N295" i="49"/>
  <c r="O295" i="49" s="1"/>
  <c r="N297" i="49"/>
  <c r="O297" i="49" s="1"/>
  <c r="N299" i="49"/>
  <c r="O299" i="49" s="1"/>
  <c r="N301" i="49"/>
  <c r="O301" i="49" s="1"/>
  <c r="N303" i="49"/>
  <c r="O303" i="49" s="1"/>
  <c r="N305" i="49"/>
  <c r="O305" i="49" s="1"/>
  <c r="N307" i="49"/>
  <c r="O307" i="49" s="1"/>
  <c r="N309" i="49"/>
  <c r="O309" i="49" s="1"/>
  <c r="N311" i="49"/>
  <c r="O311" i="49" s="1"/>
  <c r="N313" i="49"/>
  <c r="O313" i="49" s="1"/>
  <c r="N220" i="49"/>
  <c r="O220" i="49" s="1"/>
  <c r="D6" i="34"/>
  <c r="D8" i="34"/>
  <c r="D5" i="34"/>
  <c r="N6" i="49"/>
  <c r="E5" i="37"/>
  <c r="F5" i="37" s="1"/>
  <c r="I5" i="37" s="1"/>
  <c r="D5" i="9"/>
  <c r="D7" i="9"/>
  <c r="D6" i="9"/>
  <c r="I314" i="11"/>
  <c r="H314" i="11"/>
  <c r="M5" i="11"/>
  <c r="L314" i="11"/>
  <c r="J244" i="54" l="1"/>
  <c r="K244" i="54" s="1"/>
  <c r="M105" i="25"/>
  <c r="J105" i="54"/>
  <c r="K105" i="54" s="1"/>
  <c r="M170" i="25"/>
  <c r="J170" i="54"/>
  <c r="K170" i="54" s="1"/>
  <c r="M219" i="25"/>
  <c r="J219" i="54"/>
  <c r="K219" i="54" s="1"/>
  <c r="K40" i="40"/>
  <c r="M314" i="11"/>
  <c r="F10" i="9"/>
  <c r="B21" i="48"/>
  <c r="G16" i="34"/>
  <c r="H16" i="34" s="1"/>
  <c r="F12" i="9" l="1"/>
  <c r="G12" i="9" s="1"/>
  <c r="F31" i="9"/>
  <c r="G31" i="9" s="1"/>
  <c r="F33" i="9"/>
  <c r="G33" i="9" s="1"/>
  <c r="F50" i="9"/>
  <c r="G50" i="9" s="1"/>
  <c r="F59" i="9"/>
  <c r="G59" i="9" s="1"/>
  <c r="F61" i="9"/>
  <c r="G61" i="9" s="1"/>
  <c r="F63" i="9"/>
  <c r="G63" i="9" s="1"/>
  <c r="F65" i="9"/>
  <c r="G65" i="9" s="1"/>
  <c r="F76" i="9"/>
  <c r="G76" i="9" s="1"/>
  <c r="F78" i="9"/>
  <c r="G78" i="9" s="1"/>
  <c r="F80" i="9"/>
  <c r="G80" i="9" s="1"/>
  <c r="F91" i="9"/>
  <c r="G91" i="9" s="1"/>
  <c r="F93" i="9"/>
  <c r="G93" i="9" s="1"/>
  <c r="F95" i="9"/>
  <c r="G95" i="9" s="1"/>
  <c r="F97" i="9"/>
  <c r="G97" i="9" s="1"/>
  <c r="F108" i="9"/>
  <c r="G108" i="9" s="1"/>
  <c r="F110" i="9"/>
  <c r="G110" i="9" s="1"/>
  <c r="F112" i="9"/>
  <c r="G112" i="9" s="1"/>
  <c r="F131" i="9"/>
  <c r="G131" i="9" s="1"/>
  <c r="F133" i="9"/>
  <c r="G133" i="9" s="1"/>
  <c r="F135" i="9"/>
  <c r="G135" i="9" s="1"/>
  <c r="F137" i="9"/>
  <c r="G137" i="9" s="1"/>
  <c r="F156" i="9"/>
  <c r="G156" i="9" s="1"/>
  <c r="F158" i="9"/>
  <c r="G158" i="9" s="1"/>
  <c r="F160" i="9"/>
  <c r="G160" i="9" s="1"/>
  <c r="F18" i="9"/>
  <c r="G18" i="9" s="1"/>
  <c r="F20" i="9"/>
  <c r="G20" i="9" s="1"/>
  <c r="F22" i="9"/>
  <c r="G22" i="9" s="1"/>
  <c r="F24" i="9"/>
  <c r="G24" i="9" s="1"/>
  <c r="F56" i="9"/>
  <c r="G56" i="9" s="1"/>
  <c r="F67" i="9"/>
  <c r="G67" i="9" s="1"/>
  <c r="F69" i="9"/>
  <c r="G69" i="9" s="1"/>
  <c r="F71" i="9"/>
  <c r="G71" i="9" s="1"/>
  <c r="F73" i="9"/>
  <c r="G73" i="9" s="1"/>
  <c r="F84" i="9"/>
  <c r="G84" i="9" s="1"/>
  <c r="F86" i="9"/>
  <c r="G86" i="9" s="1"/>
  <c r="F88" i="9"/>
  <c r="G88" i="9" s="1"/>
  <c r="F99" i="9"/>
  <c r="G99" i="9" s="1"/>
  <c r="F101" i="9"/>
  <c r="G101" i="9" s="1"/>
  <c r="F103" i="9"/>
  <c r="G103" i="9" s="1"/>
  <c r="F105" i="9"/>
  <c r="G105" i="9" s="1"/>
  <c r="F116" i="9"/>
  <c r="G116" i="9" s="1"/>
  <c r="F118" i="9"/>
  <c r="G118" i="9" s="1"/>
  <c r="F120" i="9"/>
  <c r="G120" i="9" s="1"/>
  <c r="F122" i="9"/>
  <c r="G122" i="9" s="1"/>
  <c r="F147" i="9"/>
  <c r="G147" i="9" s="1"/>
  <c r="F149" i="9"/>
  <c r="G149" i="9" s="1"/>
  <c r="F151" i="9"/>
  <c r="G151" i="9" s="1"/>
  <c r="F153" i="9"/>
  <c r="G153" i="9" s="1"/>
  <c r="F26" i="9"/>
  <c r="G26" i="9" s="1"/>
  <c r="F28" i="9"/>
  <c r="G28" i="9" s="1"/>
  <c r="F30" i="9"/>
  <c r="G30" i="9" s="1"/>
  <c r="F43" i="9"/>
  <c r="G43" i="9" s="1"/>
  <c r="F45" i="9"/>
  <c r="G45" i="9" s="1"/>
  <c r="F47" i="9"/>
  <c r="G47" i="9" s="1"/>
  <c r="F49" i="9"/>
  <c r="G49" i="9" s="1"/>
  <c r="F58" i="9"/>
  <c r="G58" i="9" s="1"/>
  <c r="F90" i="9"/>
  <c r="G90" i="9" s="1"/>
  <c r="F124" i="9"/>
  <c r="G124" i="9" s="1"/>
  <c r="F126" i="9"/>
  <c r="G126" i="9" s="1"/>
  <c r="F128" i="9"/>
  <c r="G128" i="9" s="1"/>
  <c r="F130" i="9"/>
  <c r="G130" i="9" s="1"/>
  <c r="F170" i="9"/>
  <c r="G170" i="9" s="1"/>
  <c r="F19" i="9"/>
  <c r="G19" i="9" s="1"/>
  <c r="F21" i="9"/>
  <c r="G21" i="9" s="1"/>
  <c r="F23" i="9"/>
  <c r="G23" i="9" s="1"/>
  <c r="F25" i="9"/>
  <c r="G25" i="9" s="1"/>
  <c r="F42" i="9"/>
  <c r="G42" i="9" s="1"/>
  <c r="F55" i="9"/>
  <c r="G55" i="9" s="1"/>
  <c r="F57" i="9"/>
  <c r="G57" i="9" s="1"/>
  <c r="F68" i="9"/>
  <c r="G68" i="9" s="1"/>
  <c r="F70" i="9"/>
  <c r="G70" i="9" s="1"/>
  <c r="F72" i="9"/>
  <c r="G72" i="9" s="1"/>
  <c r="F83" i="9"/>
  <c r="G83" i="9" s="1"/>
  <c r="F85" i="9"/>
  <c r="G85" i="9" s="1"/>
  <c r="F87" i="9"/>
  <c r="G87" i="9" s="1"/>
  <c r="F89" i="9"/>
  <c r="G89" i="9" s="1"/>
  <c r="F100" i="9"/>
  <c r="G100" i="9" s="1"/>
  <c r="F102" i="9"/>
  <c r="G102" i="9" s="1"/>
  <c r="F104" i="9"/>
  <c r="G104" i="9" s="1"/>
  <c r="F115" i="9"/>
  <c r="G115" i="9" s="1"/>
  <c r="F117" i="9"/>
  <c r="G117" i="9" s="1"/>
  <c r="F119" i="9"/>
  <c r="G119" i="9" s="1"/>
  <c r="F121" i="9"/>
  <c r="G121" i="9" s="1"/>
  <c r="F148" i="9"/>
  <c r="G148" i="9" s="1"/>
  <c r="F150" i="9"/>
  <c r="G150" i="9" s="1"/>
  <c r="F152" i="9"/>
  <c r="G152" i="9" s="1"/>
  <c r="F163" i="9"/>
  <c r="G163" i="9" s="1"/>
  <c r="F165" i="9"/>
  <c r="G165" i="9" s="1"/>
  <c r="F167" i="9"/>
  <c r="G167" i="9" s="1"/>
  <c r="F169" i="9"/>
  <c r="G169" i="9" s="1"/>
  <c r="F186" i="9"/>
  <c r="G186" i="9" s="1"/>
  <c r="F188" i="9"/>
  <c r="G188" i="9" s="1"/>
  <c r="F203" i="9"/>
  <c r="G203" i="9" s="1"/>
  <c r="F205" i="9"/>
  <c r="G205" i="9" s="1"/>
  <c r="F218" i="9"/>
  <c r="G218" i="9" s="1"/>
  <c r="F220" i="9"/>
  <c r="G220" i="9" s="1"/>
  <c r="F235" i="9"/>
  <c r="G235" i="9" s="1"/>
  <c r="F27" i="9"/>
  <c r="G27" i="9" s="1"/>
  <c r="F29" i="9"/>
  <c r="G29" i="9" s="1"/>
  <c r="F44" i="9"/>
  <c r="G44" i="9" s="1"/>
  <c r="F46" i="9"/>
  <c r="G46" i="9" s="1"/>
  <c r="F48" i="9"/>
  <c r="G48" i="9" s="1"/>
  <c r="F74" i="9"/>
  <c r="G74" i="9" s="1"/>
  <c r="F106" i="9"/>
  <c r="G106" i="9" s="1"/>
  <c r="F123" i="9"/>
  <c r="G123" i="9" s="1"/>
  <c r="F125" i="9"/>
  <c r="G125" i="9" s="1"/>
  <c r="F127" i="9"/>
  <c r="G127" i="9" s="1"/>
  <c r="F129" i="9"/>
  <c r="G129" i="9" s="1"/>
  <c r="F154" i="9"/>
  <c r="G154" i="9" s="1"/>
  <c r="F171" i="9"/>
  <c r="G171" i="9" s="1"/>
  <c r="F173" i="9"/>
  <c r="G173" i="9" s="1"/>
  <c r="F175" i="9"/>
  <c r="G175" i="9" s="1"/>
  <c r="F177" i="9"/>
  <c r="G177" i="9" s="1"/>
  <c r="F190" i="9"/>
  <c r="G190" i="9" s="1"/>
  <c r="F192" i="9"/>
  <c r="G192" i="9" s="1"/>
  <c r="F207" i="9"/>
  <c r="G207" i="9" s="1"/>
  <c r="F209" i="9"/>
  <c r="G209" i="9" s="1"/>
  <c r="F222" i="9"/>
  <c r="G222" i="9" s="1"/>
  <c r="F224" i="9"/>
  <c r="G224" i="9" s="1"/>
  <c r="F13" i="9"/>
  <c r="G13" i="9" s="1"/>
  <c r="F15" i="9"/>
  <c r="G15" i="9" s="1"/>
  <c r="F37" i="9"/>
  <c r="G37" i="9" s="1"/>
  <c r="F82" i="9"/>
  <c r="G82" i="9" s="1"/>
  <c r="F107" i="9"/>
  <c r="G107" i="9" s="1"/>
  <c r="F138" i="9"/>
  <c r="G138" i="9" s="1"/>
  <c r="F140" i="9"/>
  <c r="G140" i="9" s="1"/>
  <c r="F168" i="9"/>
  <c r="G168" i="9" s="1"/>
  <c r="F176" i="9"/>
  <c r="G176" i="9" s="1"/>
  <c r="F191" i="9"/>
  <c r="G191" i="9" s="1"/>
  <c r="F206" i="9"/>
  <c r="G206" i="9" s="1"/>
  <c r="F211" i="9"/>
  <c r="G211" i="9" s="1"/>
  <c r="F215" i="9"/>
  <c r="G215" i="9" s="1"/>
  <c r="F217" i="9"/>
  <c r="G217" i="9" s="1"/>
  <c r="F219" i="9"/>
  <c r="G219" i="9" s="1"/>
  <c r="F226" i="9"/>
  <c r="G226" i="9" s="1"/>
  <c r="F230" i="9"/>
  <c r="G230" i="9" s="1"/>
  <c r="F232" i="9"/>
  <c r="G232" i="9" s="1"/>
  <c r="F234" i="9"/>
  <c r="G234" i="9" s="1"/>
  <c r="F242" i="9"/>
  <c r="G242" i="9" s="1"/>
  <c r="F244" i="9"/>
  <c r="G244" i="9" s="1"/>
  <c r="F259" i="9"/>
  <c r="G259" i="9" s="1"/>
  <c r="F261" i="9"/>
  <c r="G261" i="9" s="1"/>
  <c r="F274" i="9"/>
  <c r="G274" i="9" s="1"/>
  <c r="F276" i="9"/>
  <c r="G276" i="9" s="1"/>
  <c r="F291" i="9"/>
  <c r="G291" i="9" s="1"/>
  <c r="F293" i="9"/>
  <c r="G293" i="9" s="1"/>
  <c r="F306" i="9"/>
  <c r="G306" i="9" s="1"/>
  <c r="F308" i="9"/>
  <c r="G308" i="9" s="1"/>
  <c r="F35" i="9"/>
  <c r="G35" i="9" s="1"/>
  <c r="F54" i="9"/>
  <c r="G54" i="9" s="1"/>
  <c r="F132" i="9"/>
  <c r="G132" i="9" s="1"/>
  <c r="F145" i="9"/>
  <c r="G145" i="9" s="1"/>
  <c r="F159" i="9"/>
  <c r="G159" i="9" s="1"/>
  <c r="F166" i="9"/>
  <c r="G166" i="9" s="1"/>
  <c r="F181" i="9"/>
  <c r="G181" i="9" s="1"/>
  <c r="F189" i="9"/>
  <c r="G189" i="9" s="1"/>
  <c r="F196" i="9"/>
  <c r="G196" i="9" s="1"/>
  <c r="F204" i="9"/>
  <c r="G204" i="9" s="1"/>
  <c r="F246" i="9"/>
  <c r="G246" i="9" s="1"/>
  <c r="F248" i="9"/>
  <c r="G248" i="9" s="1"/>
  <c r="F263" i="9"/>
  <c r="G263" i="9" s="1"/>
  <c r="F265" i="9"/>
  <c r="G265" i="9" s="1"/>
  <c r="F278" i="9"/>
  <c r="G278" i="9" s="1"/>
  <c r="F280" i="9"/>
  <c r="G280" i="9" s="1"/>
  <c r="F295" i="9"/>
  <c r="G295" i="9" s="1"/>
  <c r="F297" i="9"/>
  <c r="G297" i="9" s="1"/>
  <c r="F310" i="9"/>
  <c r="G310" i="9" s="1"/>
  <c r="F312" i="9"/>
  <c r="G312" i="9" s="1"/>
  <c r="F52" i="9"/>
  <c r="G52" i="9" s="1"/>
  <c r="F60" i="9"/>
  <c r="G60" i="9" s="1"/>
  <c r="F77" i="9"/>
  <c r="G77" i="9" s="1"/>
  <c r="F94" i="9"/>
  <c r="G94" i="9" s="1"/>
  <c r="F111" i="9"/>
  <c r="G111" i="9" s="1"/>
  <c r="F143" i="9"/>
  <c r="G143" i="9" s="1"/>
  <c r="F162" i="9"/>
  <c r="G162" i="9" s="1"/>
  <c r="F164" i="9"/>
  <c r="G164" i="9" s="1"/>
  <c r="F174" i="9"/>
  <c r="G174" i="9" s="1"/>
  <c r="F179" i="9"/>
  <c r="G179" i="9" s="1"/>
  <c r="F183" i="9"/>
  <c r="G183" i="9" s="1"/>
  <c r="F185" i="9"/>
  <c r="G185" i="9" s="1"/>
  <c r="F187" i="9"/>
  <c r="G187" i="9" s="1"/>
  <c r="F194" i="9"/>
  <c r="G194" i="9" s="1"/>
  <c r="F198" i="9"/>
  <c r="G198" i="9" s="1"/>
  <c r="F200" i="9"/>
  <c r="G200" i="9" s="1"/>
  <c r="F202" i="9"/>
  <c r="G202" i="9" s="1"/>
  <c r="F250" i="9"/>
  <c r="G250" i="9" s="1"/>
  <c r="F252" i="9"/>
  <c r="G252" i="9" s="1"/>
  <c r="F267" i="9"/>
  <c r="G267" i="9" s="1"/>
  <c r="F269" i="9"/>
  <c r="G269" i="9" s="1"/>
  <c r="F282" i="9"/>
  <c r="G282" i="9" s="1"/>
  <c r="F284" i="9"/>
  <c r="G284" i="9" s="1"/>
  <c r="F299" i="9"/>
  <c r="G299" i="9" s="1"/>
  <c r="F301" i="9"/>
  <c r="G301" i="9" s="1"/>
  <c r="F314" i="9"/>
  <c r="G314" i="9" s="1"/>
  <c r="F316" i="9"/>
  <c r="G316" i="9" s="1"/>
  <c r="F16" i="9"/>
  <c r="G16" i="9" s="1"/>
  <c r="F40" i="9"/>
  <c r="G40" i="9" s="1"/>
  <c r="F66" i="9"/>
  <c r="G66" i="9" s="1"/>
  <c r="F114" i="9"/>
  <c r="G114" i="9" s="1"/>
  <c r="F136" i="9"/>
  <c r="G136" i="9" s="1"/>
  <c r="F141" i="9"/>
  <c r="G141" i="9" s="1"/>
  <c r="F229" i="9"/>
  <c r="G229" i="9" s="1"/>
  <c r="F237" i="9"/>
  <c r="G237" i="9" s="1"/>
  <c r="F239" i="9"/>
  <c r="G239" i="9" s="1"/>
  <c r="F241" i="9"/>
  <c r="G241" i="9" s="1"/>
  <c r="F254" i="9"/>
  <c r="G254" i="9" s="1"/>
  <c r="F256" i="9"/>
  <c r="G256" i="9" s="1"/>
  <c r="F271" i="9"/>
  <c r="G271" i="9" s="1"/>
  <c r="F273" i="9"/>
  <c r="G273" i="9" s="1"/>
  <c r="F286" i="9"/>
  <c r="G286" i="9" s="1"/>
  <c r="F288" i="9"/>
  <c r="G288" i="9" s="1"/>
  <c r="F303" i="9"/>
  <c r="G303" i="9" s="1"/>
  <c r="F305" i="9"/>
  <c r="G305" i="9" s="1"/>
  <c r="F318" i="9"/>
  <c r="G318" i="9" s="1"/>
  <c r="F14" i="9"/>
  <c r="G14" i="9" s="1"/>
  <c r="F38" i="9"/>
  <c r="G38" i="9" s="1"/>
  <c r="F64" i="9"/>
  <c r="G64" i="9" s="1"/>
  <c r="F81" i="9"/>
  <c r="G81" i="9" s="1"/>
  <c r="F139" i="9"/>
  <c r="G139" i="9" s="1"/>
  <c r="F157" i="9"/>
  <c r="G157" i="9" s="1"/>
  <c r="F172" i="9"/>
  <c r="G172" i="9" s="1"/>
  <c r="F212" i="9"/>
  <c r="G212" i="9" s="1"/>
  <c r="F214" i="9"/>
  <c r="G214" i="9" s="1"/>
  <c r="F216" i="9"/>
  <c r="G216" i="9" s="1"/>
  <c r="F225" i="9"/>
  <c r="G225" i="9" s="1"/>
  <c r="F227" i="9"/>
  <c r="G227" i="9" s="1"/>
  <c r="F231" i="9"/>
  <c r="G231" i="9" s="1"/>
  <c r="F233" i="9"/>
  <c r="G233" i="9" s="1"/>
  <c r="F243" i="9"/>
  <c r="G243" i="9" s="1"/>
  <c r="F245" i="9"/>
  <c r="G245" i="9" s="1"/>
  <c r="F258" i="9"/>
  <c r="G258" i="9" s="1"/>
  <c r="F260" i="9"/>
  <c r="G260" i="9" s="1"/>
  <c r="F275" i="9"/>
  <c r="G275" i="9" s="1"/>
  <c r="F277" i="9"/>
  <c r="G277" i="9" s="1"/>
  <c r="F290" i="9"/>
  <c r="G290" i="9" s="1"/>
  <c r="F292" i="9"/>
  <c r="G292" i="9" s="1"/>
  <c r="F307" i="9"/>
  <c r="G307" i="9" s="1"/>
  <c r="F309" i="9"/>
  <c r="G309" i="9" s="1"/>
  <c r="F36" i="9"/>
  <c r="G36" i="9" s="1"/>
  <c r="F75" i="9"/>
  <c r="G75" i="9" s="1"/>
  <c r="F92" i="9"/>
  <c r="G92" i="9" s="1"/>
  <c r="F109" i="9"/>
  <c r="G109" i="9" s="1"/>
  <c r="F146" i="9"/>
  <c r="G146" i="9" s="1"/>
  <c r="F197" i="9"/>
  <c r="G197" i="9" s="1"/>
  <c r="F210" i="9"/>
  <c r="G210" i="9" s="1"/>
  <c r="F247" i="9"/>
  <c r="G247" i="9" s="1"/>
  <c r="F249" i="9"/>
  <c r="G249" i="9" s="1"/>
  <c r="F262" i="9"/>
  <c r="G262" i="9" s="1"/>
  <c r="F264" i="9"/>
  <c r="G264" i="9" s="1"/>
  <c r="F279" i="9"/>
  <c r="G279" i="9" s="1"/>
  <c r="F281" i="9"/>
  <c r="G281" i="9" s="1"/>
  <c r="F294" i="9"/>
  <c r="G294" i="9" s="1"/>
  <c r="F296" i="9"/>
  <c r="G296" i="9" s="1"/>
  <c r="F311" i="9"/>
  <c r="G311" i="9" s="1"/>
  <c r="F313" i="9"/>
  <c r="G313" i="9" s="1"/>
  <c r="F34" i="9"/>
  <c r="G34" i="9" s="1"/>
  <c r="F41" i="9"/>
  <c r="G41" i="9" s="1"/>
  <c r="F53" i="9"/>
  <c r="G53" i="9" s="1"/>
  <c r="F98" i="9"/>
  <c r="G98" i="9" s="1"/>
  <c r="F134" i="9"/>
  <c r="G134" i="9" s="1"/>
  <c r="F144" i="9"/>
  <c r="G144" i="9" s="1"/>
  <c r="F161" i="9"/>
  <c r="G161" i="9" s="1"/>
  <c r="F180" i="9"/>
  <c r="G180" i="9" s="1"/>
  <c r="F182" i="9"/>
  <c r="G182" i="9" s="1"/>
  <c r="F184" i="9"/>
  <c r="G184" i="9" s="1"/>
  <c r="F193" i="9"/>
  <c r="G193" i="9" s="1"/>
  <c r="F195" i="9"/>
  <c r="G195" i="9" s="1"/>
  <c r="F199" i="9"/>
  <c r="G199" i="9" s="1"/>
  <c r="F201" i="9"/>
  <c r="G201" i="9" s="1"/>
  <c r="F208" i="9"/>
  <c r="G208" i="9" s="1"/>
  <c r="F223" i="9"/>
  <c r="G223" i="9" s="1"/>
  <c r="F251" i="9"/>
  <c r="G251" i="9" s="1"/>
  <c r="F253" i="9"/>
  <c r="G253" i="9" s="1"/>
  <c r="F266" i="9"/>
  <c r="G266" i="9" s="1"/>
  <c r="F268" i="9"/>
  <c r="G268" i="9" s="1"/>
  <c r="F283" i="9"/>
  <c r="G283" i="9" s="1"/>
  <c r="F285" i="9"/>
  <c r="G285" i="9" s="1"/>
  <c r="F298" i="9"/>
  <c r="G298" i="9" s="1"/>
  <c r="F300" i="9"/>
  <c r="G300" i="9" s="1"/>
  <c r="F315" i="9"/>
  <c r="G315" i="9" s="1"/>
  <c r="F317" i="9"/>
  <c r="G317" i="9" s="1"/>
  <c r="F17" i="9"/>
  <c r="G17" i="9" s="1"/>
  <c r="F32" i="9"/>
  <c r="G32" i="9" s="1"/>
  <c r="F39" i="9"/>
  <c r="G39" i="9" s="1"/>
  <c r="F51" i="9"/>
  <c r="G51" i="9" s="1"/>
  <c r="F62" i="9"/>
  <c r="G62" i="9" s="1"/>
  <c r="F79" i="9"/>
  <c r="G79" i="9" s="1"/>
  <c r="F96" i="9"/>
  <c r="G96" i="9" s="1"/>
  <c r="F113" i="9"/>
  <c r="G113" i="9" s="1"/>
  <c r="F142" i="9"/>
  <c r="G142" i="9" s="1"/>
  <c r="F155" i="9"/>
  <c r="G155" i="9" s="1"/>
  <c r="F178" i="9"/>
  <c r="G178" i="9" s="1"/>
  <c r="F213" i="9"/>
  <c r="G213" i="9" s="1"/>
  <c r="F221" i="9"/>
  <c r="G221" i="9" s="1"/>
  <c r="F228" i="9"/>
  <c r="G228" i="9" s="1"/>
  <c r="F236" i="9"/>
  <c r="G236" i="9" s="1"/>
  <c r="F238" i="9"/>
  <c r="G238" i="9" s="1"/>
  <c r="F240" i="9"/>
  <c r="G240" i="9" s="1"/>
  <c r="F255" i="9"/>
  <c r="G255" i="9" s="1"/>
  <c r="F257" i="9"/>
  <c r="G257" i="9" s="1"/>
  <c r="F270" i="9"/>
  <c r="G270" i="9" s="1"/>
  <c r="F272" i="9"/>
  <c r="G272" i="9" s="1"/>
  <c r="F287" i="9"/>
  <c r="G287" i="9" s="1"/>
  <c r="F289" i="9"/>
  <c r="G289" i="9" s="1"/>
  <c r="F302" i="9"/>
  <c r="G302" i="9" s="1"/>
  <c r="F304" i="9"/>
  <c r="G304" i="9" s="1"/>
  <c r="F319" i="9"/>
  <c r="G319" i="9" s="1"/>
  <c r="M211" i="25"/>
  <c r="J211" i="54"/>
  <c r="K211" i="54" s="1"/>
  <c r="M231" i="25"/>
  <c r="J231" i="54"/>
  <c r="K231" i="54" s="1"/>
  <c r="M43" i="25"/>
  <c r="J43" i="54"/>
  <c r="K43" i="54" s="1"/>
  <c r="M215" i="25"/>
  <c r="J215" i="54"/>
  <c r="K215" i="54" s="1"/>
  <c r="M24" i="25"/>
  <c r="J24" i="54"/>
  <c r="K24" i="54" s="1"/>
  <c r="M314" i="25"/>
  <c r="J314" i="54"/>
  <c r="K314" i="54" s="1"/>
  <c r="M70" i="25"/>
  <c r="J70" i="54"/>
  <c r="K70" i="54" s="1"/>
  <c r="M52" i="25"/>
  <c r="J52" i="54"/>
  <c r="K52" i="54" s="1"/>
  <c r="M297" i="25"/>
  <c r="J297" i="54"/>
  <c r="K297" i="54" s="1"/>
  <c r="M37" i="25"/>
  <c r="J37" i="54"/>
  <c r="K37" i="54" s="1"/>
  <c r="M167" i="25"/>
  <c r="J167" i="54"/>
  <c r="K167" i="54" s="1"/>
  <c r="M145" i="25"/>
  <c r="J145" i="54"/>
  <c r="K145" i="54" s="1"/>
  <c r="M150" i="25"/>
  <c r="J150" i="54"/>
  <c r="K150" i="54" s="1"/>
  <c r="M142" i="25"/>
  <c r="J142" i="54"/>
  <c r="K142" i="54" s="1"/>
  <c r="M283" i="25"/>
  <c r="J283" i="54"/>
  <c r="K283" i="54" s="1"/>
  <c r="M149" i="25"/>
  <c r="J149" i="54"/>
  <c r="K149" i="54" s="1"/>
  <c r="M151" i="25"/>
  <c r="J151" i="54"/>
  <c r="K151" i="54" s="1"/>
  <c r="M196" i="25"/>
  <c r="J196" i="54"/>
  <c r="K196" i="54" s="1"/>
  <c r="M261" i="25"/>
  <c r="J261" i="54"/>
  <c r="K261" i="54" s="1"/>
  <c r="M71" i="25"/>
  <c r="J71" i="54"/>
  <c r="K71" i="54" s="1"/>
  <c r="M263" i="25"/>
  <c r="J263" i="54"/>
  <c r="K263" i="54" s="1"/>
  <c r="M187" i="25"/>
  <c r="J187" i="54"/>
  <c r="K187" i="54" s="1"/>
  <c r="M264" i="25"/>
  <c r="J264" i="54"/>
  <c r="K264" i="54" s="1"/>
  <c r="M133" i="25"/>
  <c r="J133" i="54"/>
  <c r="K133" i="54" s="1"/>
  <c r="M139" i="25"/>
  <c r="J139" i="54"/>
  <c r="K139" i="54" s="1"/>
  <c r="M262" i="25"/>
  <c r="J262" i="54"/>
  <c r="K262" i="54" s="1"/>
  <c r="M294" i="25"/>
  <c r="J294" i="54"/>
  <c r="K294" i="54" s="1"/>
  <c r="M96" i="25"/>
  <c r="J96" i="54"/>
  <c r="K96" i="54" s="1"/>
  <c r="M121" i="25"/>
  <c r="J121" i="54"/>
  <c r="K121" i="54" s="1"/>
  <c r="M271" i="25"/>
  <c r="J271" i="54"/>
  <c r="K271" i="54" s="1"/>
  <c r="M228" i="25"/>
  <c r="J228" i="54"/>
  <c r="K228" i="54" s="1"/>
  <c r="M221" i="25"/>
  <c r="J221" i="54"/>
  <c r="K221" i="54" s="1"/>
  <c r="M236" i="25"/>
  <c r="J236" i="54"/>
  <c r="K236" i="54" s="1"/>
  <c r="M252" i="25"/>
  <c r="J252" i="54"/>
  <c r="K252" i="54" s="1"/>
  <c r="M269" i="25"/>
  <c r="J269" i="54"/>
  <c r="K269" i="54" s="1"/>
  <c r="M268" i="25"/>
  <c r="J268" i="54"/>
  <c r="K268" i="54" s="1"/>
  <c r="M200" i="25"/>
  <c r="J200" i="54"/>
  <c r="K200" i="54" s="1"/>
  <c r="M308" i="25"/>
  <c r="J308" i="54"/>
  <c r="K308" i="54" s="1"/>
  <c r="M46" i="25"/>
  <c r="J46" i="54"/>
  <c r="K46" i="54" s="1"/>
  <c r="M41" i="25"/>
  <c r="J41" i="54"/>
  <c r="K41" i="54" s="1"/>
  <c r="M238" i="25"/>
  <c r="J238" i="54"/>
  <c r="K238" i="54" s="1"/>
  <c r="M25" i="25"/>
  <c r="J25" i="54"/>
  <c r="K25" i="54" s="1"/>
  <c r="M27" i="25"/>
  <c r="J27" i="54"/>
  <c r="K27" i="54" s="1"/>
  <c r="M204" i="25"/>
  <c r="J204" i="54"/>
  <c r="K204" i="54" s="1"/>
  <c r="M89" i="25"/>
  <c r="J89" i="54"/>
  <c r="K89" i="54" s="1"/>
  <c r="M42" i="25"/>
  <c r="J42" i="54"/>
  <c r="K42" i="54" s="1"/>
  <c r="M72" i="25"/>
  <c r="J72" i="54"/>
  <c r="K72" i="54" s="1"/>
  <c r="M83" i="25"/>
  <c r="J83" i="54"/>
  <c r="K83" i="54" s="1"/>
  <c r="M135" i="25"/>
  <c r="J135" i="54"/>
  <c r="K135" i="54" s="1"/>
  <c r="M278" i="25"/>
  <c r="J278" i="54"/>
  <c r="K278" i="54" s="1"/>
  <c r="M162" i="25"/>
  <c r="J162" i="54"/>
  <c r="K162" i="54" s="1"/>
  <c r="M13" i="25"/>
  <c r="J13" i="54"/>
  <c r="K13" i="54" s="1"/>
  <c r="M251" i="25"/>
  <c r="J251" i="54"/>
  <c r="K251" i="54" s="1"/>
  <c r="M195" i="25"/>
  <c r="J195" i="54"/>
  <c r="K195" i="54" s="1"/>
  <c r="M119" i="25"/>
  <c r="J119" i="54"/>
  <c r="K119" i="54" s="1"/>
  <c r="M207" i="25"/>
  <c r="J207" i="54"/>
  <c r="K207" i="54" s="1"/>
  <c r="M108" i="25"/>
  <c r="J108" i="54"/>
  <c r="K108" i="54" s="1"/>
  <c r="M92" i="25"/>
  <c r="J92" i="54"/>
  <c r="K92" i="54" s="1"/>
  <c r="M36" i="25"/>
  <c r="J36" i="54"/>
  <c r="K36" i="54" s="1"/>
  <c r="M30" i="25"/>
  <c r="J30" i="54"/>
  <c r="K30" i="54" s="1"/>
  <c r="M176" i="25"/>
  <c r="J176" i="54"/>
  <c r="K176" i="54" s="1"/>
  <c r="M125" i="25"/>
  <c r="J125" i="54"/>
  <c r="K125" i="54" s="1"/>
  <c r="M146" i="25"/>
  <c r="J146" i="54"/>
  <c r="K146" i="54" s="1"/>
  <c r="M122" i="25"/>
  <c r="J122" i="54"/>
  <c r="K122" i="54" s="1"/>
  <c r="M21" i="25"/>
  <c r="J21" i="54"/>
  <c r="K21" i="54" s="1"/>
  <c r="M286" i="25"/>
  <c r="J286" i="54"/>
  <c r="K286" i="54" s="1"/>
  <c r="M85" i="25"/>
  <c r="J85" i="54"/>
  <c r="K85" i="54" s="1"/>
  <c r="M257" i="25"/>
  <c r="J257" i="54"/>
  <c r="K257" i="54" s="1"/>
  <c r="M157" i="25"/>
  <c r="J157" i="54"/>
  <c r="K157" i="54" s="1"/>
  <c r="M34" i="25"/>
  <c r="J34" i="54"/>
  <c r="K34" i="54" s="1"/>
  <c r="M91" i="25"/>
  <c r="J91" i="54"/>
  <c r="K91" i="54" s="1"/>
  <c r="M120" i="25"/>
  <c r="J120" i="54"/>
  <c r="K120" i="54" s="1"/>
  <c r="M8" i="25"/>
  <c r="J8" i="54"/>
  <c r="K8" i="54" s="1"/>
  <c r="M155" i="25"/>
  <c r="J155" i="54"/>
  <c r="K155" i="54" s="1"/>
  <c r="M16" i="25"/>
  <c r="J16" i="54"/>
  <c r="K16" i="54" s="1"/>
  <c r="M55" i="25"/>
  <c r="J55" i="54"/>
  <c r="K55" i="54" s="1"/>
  <c r="M123" i="25"/>
  <c r="J123" i="54"/>
  <c r="K123" i="54" s="1"/>
  <c r="M82" i="25"/>
  <c r="J82" i="54"/>
  <c r="K82" i="54" s="1"/>
  <c r="M258" i="25"/>
  <c r="J258" i="54"/>
  <c r="K258" i="54" s="1"/>
  <c r="M10" i="25"/>
  <c r="J10" i="54"/>
  <c r="K10" i="54" s="1"/>
  <c r="M253" i="25"/>
  <c r="J253" i="54"/>
  <c r="K253" i="54" s="1"/>
  <c r="M65" i="25"/>
  <c r="J65" i="54"/>
  <c r="K65" i="54" s="1"/>
  <c r="M161" i="25"/>
  <c r="J161" i="54"/>
  <c r="K161" i="54" s="1"/>
  <c r="M274" i="25"/>
  <c r="J274" i="54"/>
  <c r="K274" i="54" s="1"/>
  <c r="M62" i="25"/>
  <c r="J62" i="54"/>
  <c r="K62" i="54" s="1"/>
  <c r="M33" i="25"/>
  <c r="J33" i="54"/>
  <c r="K33" i="54" s="1"/>
  <c r="M312" i="25"/>
  <c r="J312" i="54"/>
  <c r="K312" i="54" s="1"/>
  <c r="M74" i="25"/>
  <c r="J74" i="54"/>
  <c r="K74" i="54" s="1"/>
  <c r="M214" i="25"/>
  <c r="J214" i="54"/>
  <c r="K214" i="54" s="1"/>
  <c r="M241" i="25"/>
  <c r="J241" i="54"/>
  <c r="K241" i="54" s="1"/>
  <c r="M192" i="25"/>
  <c r="J192" i="54"/>
  <c r="K192" i="54" s="1"/>
  <c r="M7" i="25"/>
  <c r="J7" i="54"/>
  <c r="K7" i="54" s="1"/>
  <c r="M35" i="25"/>
  <c r="J35" i="54"/>
  <c r="K35" i="54" s="1"/>
  <c r="M300" i="25"/>
  <c r="J300" i="54"/>
  <c r="K300" i="54" s="1"/>
  <c r="M75" i="25"/>
  <c r="J75" i="54"/>
  <c r="K75" i="54" s="1"/>
  <c r="M301" i="25"/>
  <c r="J301" i="54"/>
  <c r="K301" i="54" s="1"/>
  <c r="M11" i="25"/>
  <c r="J11" i="54"/>
  <c r="K11" i="54" s="1"/>
  <c r="M285" i="25"/>
  <c r="J285" i="54"/>
  <c r="K285" i="54" s="1"/>
  <c r="M276" i="25"/>
  <c r="J276" i="54"/>
  <c r="K276" i="54" s="1"/>
  <c r="M172" i="25"/>
  <c r="J172" i="54"/>
  <c r="K172" i="54" s="1"/>
  <c r="M94" i="25"/>
  <c r="J94" i="54"/>
  <c r="K94" i="54" s="1"/>
  <c r="M194" i="25"/>
  <c r="J194" i="54"/>
  <c r="K194" i="54" s="1"/>
  <c r="M56" i="25"/>
  <c r="J56" i="54"/>
  <c r="K56" i="54" s="1"/>
  <c r="M201" i="25"/>
  <c r="J201" i="54"/>
  <c r="K201" i="54" s="1"/>
  <c r="M28" i="25"/>
  <c r="J28" i="54"/>
  <c r="K28" i="54" s="1"/>
  <c r="M44" i="25"/>
  <c r="J44" i="54"/>
  <c r="K44" i="54" s="1"/>
  <c r="M203" i="25"/>
  <c r="J203" i="54"/>
  <c r="K203" i="54" s="1"/>
  <c r="M78" i="25"/>
  <c r="J78" i="54"/>
  <c r="K78" i="54" s="1"/>
  <c r="M166" i="25"/>
  <c r="J166" i="54"/>
  <c r="K166" i="54" s="1"/>
  <c r="M81" i="25"/>
  <c r="J81" i="54"/>
  <c r="K81" i="54" s="1"/>
  <c r="M240" i="25"/>
  <c r="J240" i="54"/>
  <c r="K240" i="54" s="1"/>
  <c r="M49" i="25"/>
  <c r="J49" i="54"/>
  <c r="K49" i="54" s="1"/>
  <c r="M116" i="25"/>
  <c r="J116" i="54"/>
  <c r="K116" i="54" s="1"/>
  <c r="M189" i="25"/>
  <c r="J189" i="54"/>
  <c r="K189" i="54" s="1"/>
  <c r="M310" i="25"/>
  <c r="J310" i="54"/>
  <c r="K310" i="54" s="1"/>
  <c r="M64" i="25"/>
  <c r="J64" i="54"/>
  <c r="K64" i="54" s="1"/>
  <c r="M302" i="25"/>
  <c r="J302" i="54"/>
  <c r="K302" i="54" s="1"/>
  <c r="M178" i="25"/>
  <c r="J178" i="54"/>
  <c r="K178" i="54" s="1"/>
  <c r="M156" i="25"/>
  <c r="J156" i="54"/>
  <c r="K156" i="54" s="1"/>
  <c r="M270" i="25"/>
  <c r="J270" i="54"/>
  <c r="K270" i="54" s="1"/>
  <c r="M22" i="25"/>
  <c r="J22" i="54"/>
  <c r="K22" i="54" s="1"/>
  <c r="M177" i="25"/>
  <c r="J177" i="54"/>
  <c r="K177" i="54" s="1"/>
  <c r="M179" i="25"/>
  <c r="J179" i="54"/>
  <c r="K179" i="54" s="1"/>
  <c r="M15" i="25"/>
  <c r="J15" i="54"/>
  <c r="K15" i="54" s="1"/>
  <c r="M242" i="25"/>
  <c r="J242" i="54"/>
  <c r="K242" i="54" s="1"/>
  <c r="M280" i="25"/>
  <c r="J280" i="54"/>
  <c r="K280" i="54" s="1"/>
  <c r="M190" i="25"/>
  <c r="J190" i="54"/>
  <c r="K190" i="54" s="1"/>
  <c r="M237" i="25"/>
  <c r="J237" i="54"/>
  <c r="K237" i="54" s="1"/>
  <c r="M165" i="25"/>
  <c r="J165" i="54"/>
  <c r="K165" i="54" s="1"/>
  <c r="M158" i="25"/>
  <c r="J158" i="54"/>
  <c r="K158" i="54" s="1"/>
  <c r="M102" i="25"/>
  <c r="J102" i="54"/>
  <c r="K102" i="54" s="1"/>
  <c r="M144" i="25"/>
  <c r="J144" i="54"/>
  <c r="K144" i="54" s="1"/>
  <c r="M275" i="25"/>
  <c r="J275" i="54"/>
  <c r="K275" i="54" s="1"/>
  <c r="M152" i="25"/>
  <c r="J152" i="54"/>
  <c r="K152" i="54" s="1"/>
  <c r="M232" i="25"/>
  <c r="J232" i="54"/>
  <c r="K232" i="54" s="1"/>
  <c r="M31" i="25"/>
  <c r="J31" i="54"/>
  <c r="K31" i="54" s="1"/>
  <c r="M47" i="25"/>
  <c r="J47" i="54"/>
  <c r="K47" i="54" s="1"/>
  <c r="M163" i="25"/>
  <c r="J163" i="54"/>
  <c r="K163" i="54" s="1"/>
  <c r="M305" i="25"/>
  <c r="J305" i="54"/>
  <c r="K305" i="54" s="1"/>
  <c r="M88" i="25"/>
  <c r="J88" i="54"/>
  <c r="K88" i="54" s="1"/>
  <c r="M87" i="25"/>
  <c r="J87" i="54"/>
  <c r="K87" i="54" s="1"/>
  <c r="M250" i="25"/>
  <c r="J250" i="54"/>
  <c r="K250" i="54" s="1"/>
  <c r="M154" i="25"/>
  <c r="J154" i="54"/>
  <c r="K154" i="54" s="1"/>
  <c r="M266" i="25"/>
  <c r="J266" i="54"/>
  <c r="K266" i="54" s="1"/>
  <c r="M140" i="25"/>
  <c r="J140" i="54"/>
  <c r="K140" i="54" s="1"/>
  <c r="M303" i="25"/>
  <c r="J303" i="54"/>
  <c r="K303" i="54" s="1"/>
  <c r="M212" i="25"/>
  <c r="J212" i="54"/>
  <c r="K212" i="54" s="1"/>
  <c r="M208" i="25"/>
  <c r="J208" i="54"/>
  <c r="K208" i="54" s="1"/>
  <c r="M284" i="25"/>
  <c r="J284" i="54"/>
  <c r="K284" i="54" s="1"/>
  <c r="M223" i="25"/>
  <c r="J223" i="54"/>
  <c r="K223" i="54" s="1"/>
  <c r="M29" i="25"/>
  <c r="J29" i="54"/>
  <c r="K29" i="54" s="1"/>
  <c r="M175" i="25"/>
  <c r="J175" i="54"/>
  <c r="K175" i="54" s="1"/>
  <c r="M23" i="25"/>
  <c r="J23" i="54"/>
  <c r="K23" i="54" s="1"/>
  <c r="M117" i="25"/>
  <c r="J117" i="54"/>
  <c r="K117" i="54" s="1"/>
  <c r="M277" i="25"/>
  <c r="J277" i="54"/>
  <c r="K277" i="54" s="1"/>
  <c r="M169" i="25"/>
  <c r="J169" i="54"/>
  <c r="K169" i="54" s="1"/>
  <c r="M281" i="25"/>
  <c r="J281" i="54"/>
  <c r="K281" i="54" s="1"/>
  <c r="M185" i="25"/>
  <c r="J185" i="54"/>
  <c r="K185" i="54" s="1"/>
  <c r="M68" i="25"/>
  <c r="J68" i="54"/>
  <c r="K68" i="54" s="1"/>
  <c r="M51" i="25"/>
  <c r="J51" i="54"/>
  <c r="K51" i="54" s="1"/>
  <c r="M73" i="25"/>
  <c r="J73" i="54"/>
  <c r="K73" i="54" s="1"/>
  <c r="M205" i="25"/>
  <c r="J205" i="54"/>
  <c r="K205" i="54" s="1"/>
  <c r="M153" i="25"/>
  <c r="J153" i="54"/>
  <c r="K153" i="54" s="1"/>
  <c r="M54" i="25"/>
  <c r="J54" i="54"/>
  <c r="K54" i="54" s="1"/>
  <c r="M101" i="25"/>
  <c r="J101" i="54"/>
  <c r="K101" i="54" s="1"/>
  <c r="M137" i="25"/>
  <c r="J137" i="54"/>
  <c r="K137" i="54" s="1"/>
  <c r="M243" i="25"/>
  <c r="J243" i="54"/>
  <c r="K243" i="54" s="1"/>
  <c r="M220" i="25"/>
  <c r="J220" i="54"/>
  <c r="K220" i="54" s="1"/>
  <c r="M193" i="25"/>
  <c r="J193" i="54"/>
  <c r="K193" i="54" s="1"/>
  <c r="M184" i="25"/>
  <c r="J184" i="54"/>
  <c r="K184" i="54" s="1"/>
  <c r="M39" i="25"/>
  <c r="J39" i="54"/>
  <c r="K39" i="54" s="1"/>
  <c r="M217" i="25"/>
  <c r="J217" i="54"/>
  <c r="K217" i="54" s="1"/>
  <c r="M114" i="25"/>
  <c r="J114" i="54"/>
  <c r="K114" i="54" s="1"/>
  <c r="M168" i="25"/>
  <c r="J168" i="54"/>
  <c r="K168" i="54" s="1"/>
  <c r="M79" i="25"/>
  <c r="J79" i="54"/>
  <c r="K79" i="54" s="1"/>
  <c r="M227" i="25"/>
  <c r="J227" i="54"/>
  <c r="K227" i="54" s="1"/>
  <c r="M98" i="25"/>
  <c r="J98" i="54"/>
  <c r="K98" i="54" s="1"/>
  <c r="M134" i="25"/>
  <c r="J134" i="54"/>
  <c r="K134" i="54" s="1"/>
  <c r="M104" i="25"/>
  <c r="J104" i="54"/>
  <c r="K104" i="54" s="1"/>
  <c r="M77" i="25"/>
  <c r="J77" i="54"/>
  <c r="K77" i="54" s="1"/>
  <c r="M279" i="25"/>
  <c r="J279" i="54"/>
  <c r="K279" i="54" s="1"/>
  <c r="M164" i="25"/>
  <c r="J164" i="54"/>
  <c r="K164" i="54" s="1"/>
  <c r="M306" i="25"/>
  <c r="J306" i="54"/>
  <c r="K306" i="54" s="1"/>
  <c r="M313" i="25"/>
  <c r="J313" i="54"/>
  <c r="K313" i="54" s="1"/>
  <c r="M132" i="25"/>
  <c r="J132" i="54"/>
  <c r="K132" i="54" s="1"/>
  <c r="M222" i="25"/>
  <c r="J222" i="54"/>
  <c r="K222" i="54" s="1"/>
  <c r="M255" i="25"/>
  <c r="J255" i="54"/>
  <c r="K255" i="54" s="1"/>
  <c r="M80" i="25"/>
  <c r="J80" i="54"/>
  <c r="K80" i="54" s="1"/>
  <c r="M186" i="25"/>
  <c r="J186" i="54"/>
  <c r="K186" i="54" s="1"/>
  <c r="M118" i="25"/>
  <c r="J118" i="54"/>
  <c r="K118" i="54" s="1"/>
  <c r="M291" i="25"/>
  <c r="J291" i="54"/>
  <c r="K291" i="54" s="1"/>
  <c r="M18" i="25"/>
  <c r="J18" i="54"/>
  <c r="K18" i="54" s="1"/>
  <c r="M99" i="25"/>
  <c r="J99" i="54"/>
  <c r="K99" i="54" s="1"/>
  <c r="M181" i="25"/>
  <c r="J181" i="54"/>
  <c r="K181" i="54" s="1"/>
  <c r="M66" i="25"/>
  <c r="J66" i="54"/>
  <c r="K66" i="54" s="1"/>
  <c r="M124" i="25"/>
  <c r="J124" i="54"/>
  <c r="K124" i="54" s="1"/>
  <c r="M183" i="25"/>
  <c r="J183" i="54"/>
  <c r="K183" i="54" s="1"/>
  <c r="M273" i="25"/>
  <c r="J273" i="54"/>
  <c r="K273" i="54" s="1"/>
  <c r="M188" i="25"/>
  <c r="J188" i="54"/>
  <c r="K188" i="54" s="1"/>
  <c r="M113" i="25"/>
  <c r="J113" i="54"/>
  <c r="K113" i="54" s="1"/>
  <c r="M256" i="25"/>
  <c r="J256" i="54"/>
  <c r="K256" i="54" s="1"/>
  <c r="M93" i="25"/>
  <c r="J93" i="54"/>
  <c r="K93" i="54" s="1"/>
  <c r="M224" i="25"/>
  <c r="J224" i="54"/>
  <c r="K224" i="54" s="1"/>
  <c r="M218" i="25"/>
  <c r="J218" i="54"/>
  <c r="K218" i="54" s="1"/>
  <c r="M182" i="25"/>
  <c r="J182" i="54"/>
  <c r="K182" i="54" s="1"/>
  <c r="M259" i="25"/>
  <c r="J259" i="54"/>
  <c r="K259" i="54" s="1"/>
  <c r="M230" i="25"/>
  <c r="J230" i="54"/>
  <c r="K230" i="54" s="1"/>
  <c r="M50" i="25"/>
  <c r="J50" i="54"/>
  <c r="K50" i="54" s="1"/>
  <c r="M216" i="25"/>
  <c r="J216" i="54"/>
  <c r="K216" i="54" s="1"/>
  <c r="M298" i="25"/>
  <c r="J298" i="54"/>
  <c r="K298" i="54" s="1"/>
  <c r="M111" i="25"/>
  <c r="J111" i="54"/>
  <c r="K111" i="54" s="1"/>
  <c r="M229" i="25"/>
  <c r="J229" i="54"/>
  <c r="K229" i="54" s="1"/>
  <c r="M69" i="25"/>
  <c r="J69" i="54"/>
  <c r="K69" i="54" s="1"/>
  <c r="M226" i="25"/>
  <c r="J226" i="54"/>
  <c r="K226" i="54" s="1"/>
  <c r="M209" i="25"/>
  <c r="J209" i="54"/>
  <c r="K209" i="54" s="1"/>
  <c r="M12" i="25"/>
  <c r="J12" i="54"/>
  <c r="K12" i="54" s="1"/>
  <c r="M180" i="25"/>
  <c r="J180" i="54"/>
  <c r="K180" i="54" s="1"/>
  <c r="M14" i="25"/>
  <c r="J14" i="54"/>
  <c r="K14" i="54" s="1"/>
  <c r="M38" i="25"/>
  <c r="J38" i="54"/>
  <c r="K38" i="54" s="1"/>
  <c r="M103" i="25"/>
  <c r="J103" i="54"/>
  <c r="K103" i="54" s="1"/>
  <c r="M307" i="25"/>
  <c r="J307" i="54"/>
  <c r="K307" i="54" s="1"/>
  <c r="M57" i="25"/>
  <c r="J57" i="54"/>
  <c r="K57" i="54" s="1"/>
  <c r="M289" i="25"/>
  <c r="J289" i="54"/>
  <c r="K289" i="54" s="1"/>
  <c r="M141" i="25"/>
  <c r="J141" i="54"/>
  <c r="K141" i="54" s="1"/>
  <c r="M97" i="25"/>
  <c r="J97" i="54"/>
  <c r="K97" i="54" s="1"/>
  <c r="M225" i="25"/>
  <c r="J225" i="54"/>
  <c r="K225" i="54" s="1"/>
  <c r="M110" i="25"/>
  <c r="J110" i="54"/>
  <c r="K110" i="54" s="1"/>
  <c r="M76" i="25"/>
  <c r="J76" i="54"/>
  <c r="K76" i="54" s="1"/>
  <c r="M210" i="25"/>
  <c r="J210" i="54"/>
  <c r="K210" i="54" s="1"/>
  <c r="M90" i="25"/>
  <c r="J90" i="54"/>
  <c r="K90" i="54" s="1"/>
  <c r="M171" i="25"/>
  <c r="J171" i="54"/>
  <c r="K171" i="54" s="1"/>
  <c r="M282" i="25"/>
  <c r="J282" i="54"/>
  <c r="K282" i="54" s="1"/>
  <c r="M136" i="25"/>
  <c r="J136" i="54"/>
  <c r="K136" i="54" s="1"/>
  <c r="M84" i="25"/>
  <c r="J84" i="54"/>
  <c r="K84" i="54" s="1"/>
  <c r="M138" i="25"/>
  <c r="J138" i="54"/>
  <c r="K138" i="54" s="1"/>
  <c r="M147" i="25"/>
  <c r="J147" i="54"/>
  <c r="K147" i="54" s="1"/>
  <c r="M160" i="25"/>
  <c r="J160" i="54"/>
  <c r="K160" i="54" s="1"/>
  <c r="M174" i="25"/>
  <c r="J174" i="54"/>
  <c r="K174" i="54" s="1"/>
  <c r="M202" i="25"/>
  <c r="J202" i="54"/>
  <c r="K202" i="54" s="1"/>
  <c r="M53" i="25"/>
  <c r="J53" i="54"/>
  <c r="K53" i="54" s="1"/>
  <c r="M233" i="25"/>
  <c r="J233" i="54"/>
  <c r="K233" i="54" s="1"/>
  <c r="M265" i="25"/>
  <c r="J265" i="54"/>
  <c r="K265" i="54" s="1"/>
  <c r="M249" i="25"/>
  <c r="J249" i="54"/>
  <c r="K249" i="54" s="1"/>
  <c r="M107" i="25"/>
  <c r="J107" i="54"/>
  <c r="K107" i="54" s="1"/>
  <c r="M173" i="25"/>
  <c r="J173" i="54"/>
  <c r="K173" i="54" s="1"/>
  <c r="M197" i="25"/>
  <c r="J197" i="54"/>
  <c r="K197" i="54" s="1"/>
  <c r="M246" i="25"/>
  <c r="J246" i="54"/>
  <c r="K246" i="54" s="1"/>
  <c r="M309" i="25"/>
  <c r="J309" i="54"/>
  <c r="K309" i="54" s="1"/>
  <c r="M61" i="25"/>
  <c r="J61" i="54"/>
  <c r="K61" i="54" s="1"/>
  <c r="M106" i="25"/>
  <c r="J106" i="54"/>
  <c r="K106" i="54" s="1"/>
  <c r="M112" i="25"/>
  <c r="J112" i="54"/>
  <c r="K112" i="54" s="1"/>
  <c r="M109" i="25"/>
  <c r="J109" i="54"/>
  <c r="K109" i="54" s="1"/>
  <c r="M198" i="25"/>
  <c r="J198" i="54"/>
  <c r="K198" i="54" s="1"/>
  <c r="M126" i="25"/>
  <c r="J126" i="54"/>
  <c r="K126" i="54" s="1"/>
  <c r="M60" i="25"/>
  <c r="J60" i="54"/>
  <c r="K60" i="54" s="1"/>
  <c r="M267" i="25"/>
  <c r="J267" i="54"/>
  <c r="K267" i="54" s="1"/>
  <c r="M235" i="25"/>
  <c r="J235" i="54"/>
  <c r="K235" i="54" s="1"/>
  <c r="M260" i="25"/>
  <c r="J260" i="54"/>
  <c r="K260" i="54" s="1"/>
  <c r="M296" i="25"/>
  <c r="J296" i="54"/>
  <c r="K296" i="54" s="1"/>
  <c r="M67" i="25"/>
  <c r="J67" i="54"/>
  <c r="K67" i="54" s="1"/>
  <c r="M131" i="25"/>
  <c r="J131" i="54"/>
  <c r="K131" i="54" s="1"/>
  <c r="M63" i="25"/>
  <c r="J63" i="54"/>
  <c r="K63" i="54" s="1"/>
  <c r="M115" i="25"/>
  <c r="J115" i="54"/>
  <c r="K115" i="54" s="1"/>
  <c r="M311" i="25"/>
  <c r="J311" i="54"/>
  <c r="K311" i="54" s="1"/>
  <c r="M213" i="25"/>
  <c r="J213" i="54"/>
  <c r="K213" i="54" s="1"/>
  <c r="M20" i="25"/>
  <c r="J20" i="54"/>
  <c r="K20" i="54" s="1"/>
  <c r="M48" i="25"/>
  <c r="J48" i="54"/>
  <c r="K48" i="54" s="1"/>
  <c r="M254" i="25"/>
  <c r="J254" i="54"/>
  <c r="K254" i="54" s="1"/>
  <c r="M287" i="25"/>
  <c r="J287" i="54"/>
  <c r="K287" i="54" s="1"/>
  <c r="M159" i="25"/>
  <c r="J159" i="54"/>
  <c r="K159" i="54" s="1"/>
  <c r="M206" i="25"/>
  <c r="J206" i="54"/>
  <c r="K206" i="54" s="1"/>
  <c r="M95" i="25"/>
  <c r="J95" i="54"/>
  <c r="K95" i="54" s="1"/>
  <c r="M248" i="25"/>
  <c r="J248" i="54"/>
  <c r="K248" i="54" s="1"/>
  <c r="M143" i="25"/>
  <c r="J143" i="54"/>
  <c r="K143" i="54" s="1"/>
  <c r="M86" i="25"/>
  <c r="J86" i="54"/>
  <c r="K86" i="54" s="1"/>
  <c r="M295" i="25"/>
  <c r="J295" i="54"/>
  <c r="K295" i="54" s="1"/>
  <c r="M299" i="25"/>
  <c r="J299" i="54"/>
  <c r="K299" i="54" s="1"/>
  <c r="M239" i="25"/>
  <c r="J239" i="54"/>
  <c r="K239" i="54" s="1"/>
  <c r="M234" i="25"/>
  <c r="J234" i="54"/>
  <c r="K234" i="54" s="1"/>
  <c r="M130" i="25"/>
  <c r="J130" i="54"/>
  <c r="K130" i="54" s="1"/>
  <c r="M32" i="25"/>
  <c r="J32" i="54"/>
  <c r="K32" i="54" s="1"/>
  <c r="M199" i="25"/>
  <c r="J199" i="54"/>
  <c r="K199" i="54" s="1"/>
  <c r="M19" i="25"/>
  <c r="J19" i="54"/>
  <c r="K19" i="54" s="1"/>
  <c r="M9" i="25"/>
  <c r="J9" i="54"/>
  <c r="K9" i="54" s="1"/>
  <c r="M128" i="25"/>
  <c r="J128" i="54"/>
  <c r="K128" i="54" s="1"/>
  <c r="M127" i="25"/>
  <c r="J127" i="54"/>
  <c r="K127" i="54" s="1"/>
  <c r="M148" i="25"/>
  <c r="J148" i="54"/>
  <c r="K148" i="54" s="1"/>
  <c r="M45" i="25"/>
  <c r="J45" i="54"/>
  <c r="K45" i="54" s="1"/>
  <c r="M191" i="25"/>
  <c r="J191" i="54"/>
  <c r="K191" i="54" s="1"/>
  <c r="M293" i="25"/>
  <c r="J293" i="54"/>
  <c r="K293" i="54" s="1"/>
  <c r="M304" i="25"/>
  <c r="J304" i="54"/>
  <c r="K304" i="54" s="1"/>
  <c r="M247" i="25"/>
  <c r="J247" i="54"/>
  <c r="K247" i="54" s="1"/>
  <c r="M26" i="25"/>
  <c r="J26" i="54"/>
  <c r="K26" i="54" s="1"/>
  <c r="M272" i="25"/>
  <c r="J272" i="54"/>
  <c r="K272" i="54" s="1"/>
  <c r="M292" i="25"/>
  <c r="J292" i="54"/>
  <c r="K292" i="54" s="1"/>
  <c r="M290" i="25"/>
  <c r="J290" i="54"/>
  <c r="K290" i="54" s="1"/>
  <c r="M129" i="25"/>
  <c r="J129" i="54"/>
  <c r="K129" i="54" s="1"/>
  <c r="M59" i="25"/>
  <c r="J59" i="54"/>
  <c r="K59" i="54" s="1"/>
  <c r="M100" i="25"/>
  <c r="J100" i="54"/>
  <c r="K100" i="54" s="1"/>
  <c r="M17" i="25"/>
  <c r="J17" i="54"/>
  <c r="K17" i="54" s="1"/>
  <c r="M245" i="25"/>
  <c r="J245" i="54"/>
  <c r="K245" i="54" s="1"/>
  <c r="M288" i="25"/>
  <c r="J288" i="54"/>
  <c r="K288" i="54" s="1"/>
  <c r="M40" i="25"/>
  <c r="J40" i="54"/>
  <c r="K40" i="54" s="1"/>
  <c r="M58" i="25"/>
  <c r="J58" i="54"/>
  <c r="K58" i="54" s="1"/>
  <c r="K41" i="40"/>
  <c r="K42" i="40" s="1"/>
  <c r="H42" i="40" s="1"/>
  <c r="C42" i="40" s="1"/>
  <c r="I314" i="37"/>
  <c r="F30" i="48"/>
  <c r="F314" i="37"/>
  <c r="F11" i="9"/>
  <c r="O6" i="49"/>
  <c r="E48" i="48"/>
  <c r="F48" i="48" s="1"/>
  <c r="D281" i="12" l="1"/>
  <c r="D281" i="39"/>
  <c r="D222" i="39"/>
  <c r="D222" i="12"/>
  <c r="D294" i="12"/>
  <c r="D294" i="39"/>
  <c r="D217" i="39"/>
  <c r="D217" i="12"/>
  <c r="D243" i="39"/>
  <c r="D243" i="12"/>
  <c r="D30" i="12"/>
  <c r="D30" i="39"/>
  <c r="D252" i="39"/>
  <c r="D252" i="12"/>
  <c r="D208" i="39"/>
  <c r="D208" i="12"/>
  <c r="D8" i="39"/>
  <c r="D8" i="12"/>
  <c r="D108" i="12"/>
  <c r="D108" i="39"/>
  <c r="D278" i="39"/>
  <c r="D278" i="12"/>
  <c r="D192" i="39"/>
  <c r="D192" i="12"/>
  <c r="D156" i="39"/>
  <c r="D156" i="12"/>
  <c r="D304" i="12"/>
  <c r="D304" i="39"/>
  <c r="D240" i="39"/>
  <c r="D240" i="12"/>
  <c r="D126" i="39"/>
  <c r="D126" i="12"/>
  <c r="D268" i="39"/>
  <c r="D268" i="12"/>
  <c r="D220" i="39"/>
  <c r="D220" i="12"/>
  <c r="D162" i="39"/>
  <c r="D162" i="12"/>
  <c r="D218" i="39"/>
  <c r="D218" i="12"/>
  <c r="D167" i="39"/>
  <c r="D167" i="12"/>
  <c r="D68" i="39"/>
  <c r="D68" i="12"/>
  <c r="D212" i="39"/>
  <c r="D212" i="12"/>
  <c r="D157" i="39"/>
  <c r="D157" i="12"/>
  <c r="D98" i="12"/>
  <c r="D98" i="39"/>
  <c r="D64" i="39"/>
  <c r="D64" i="12"/>
  <c r="D13" i="39"/>
  <c r="D13" i="12"/>
  <c r="D43" i="39"/>
  <c r="D43" i="12"/>
  <c r="D145" i="39"/>
  <c r="D145" i="12"/>
  <c r="D97" i="12"/>
  <c r="D97" i="39"/>
  <c r="D63" i="12"/>
  <c r="D63" i="39"/>
  <c r="D152" i="39"/>
  <c r="D152" i="12"/>
  <c r="D102" i="12"/>
  <c r="D102" i="39"/>
  <c r="D59" i="39"/>
  <c r="D59" i="12"/>
  <c r="D266" i="39"/>
  <c r="D266" i="12"/>
  <c r="D215" i="12"/>
  <c r="D215" i="39"/>
  <c r="D56" i="39"/>
  <c r="D56" i="12"/>
  <c r="D292" i="12"/>
  <c r="D292" i="39"/>
  <c r="D202" i="39"/>
  <c r="D202" i="12"/>
  <c r="D155" i="39"/>
  <c r="D155" i="12"/>
  <c r="D305" i="39"/>
  <c r="D305" i="12"/>
  <c r="D241" i="39"/>
  <c r="D241" i="12"/>
  <c r="D303" i="39"/>
  <c r="D303" i="12"/>
  <c r="D239" i="39"/>
  <c r="D239" i="12"/>
  <c r="D206" i="39"/>
  <c r="D206" i="12"/>
  <c r="D312" i="39"/>
  <c r="D312" i="12"/>
  <c r="D248" i="39"/>
  <c r="D248" i="12"/>
  <c r="D60" i="39"/>
  <c r="D60" i="12"/>
  <c r="D276" i="39"/>
  <c r="D276" i="12"/>
  <c r="D188" i="39"/>
  <c r="D188" i="12"/>
  <c r="D137" i="39"/>
  <c r="D137" i="12"/>
  <c r="D291" i="12"/>
  <c r="D291" i="39"/>
  <c r="D198" i="39"/>
  <c r="D198" i="12"/>
  <c r="D48" i="39"/>
  <c r="D48" i="12"/>
  <c r="D255" i="39"/>
  <c r="D255" i="12"/>
  <c r="D213" i="39"/>
  <c r="D213" i="12"/>
  <c r="D134" i="39"/>
  <c r="D134" i="12"/>
  <c r="D216" i="39"/>
  <c r="D216" i="12"/>
  <c r="D165" i="39"/>
  <c r="D165" i="12"/>
  <c r="D42" i="39"/>
  <c r="D42" i="12"/>
  <c r="D199" i="39"/>
  <c r="D199" i="12"/>
  <c r="D146" i="39"/>
  <c r="D146" i="12"/>
  <c r="D96" i="12"/>
  <c r="D96" i="39"/>
  <c r="D62" i="39"/>
  <c r="D62" i="12"/>
  <c r="D164" i="39"/>
  <c r="D164" i="12"/>
  <c r="D41" i="39"/>
  <c r="D41" i="12"/>
  <c r="D143" i="39"/>
  <c r="D143" i="12"/>
  <c r="D95" i="12"/>
  <c r="D95" i="39"/>
  <c r="D61" i="12"/>
  <c r="D61" i="39"/>
  <c r="D150" i="39"/>
  <c r="D150" i="12"/>
  <c r="D91" i="12"/>
  <c r="D91" i="39"/>
  <c r="D57" i="12"/>
  <c r="D57" i="39"/>
  <c r="D250" i="39"/>
  <c r="D250" i="12"/>
  <c r="D264" i="39"/>
  <c r="D264" i="12"/>
  <c r="D207" i="12"/>
  <c r="D207" i="39"/>
  <c r="D45" i="12"/>
  <c r="D45" i="39"/>
  <c r="D279" i="12"/>
  <c r="D279" i="39"/>
  <c r="D195" i="39"/>
  <c r="D195" i="12"/>
  <c r="D138" i="12"/>
  <c r="D138" i="39"/>
  <c r="D290" i="12"/>
  <c r="D290" i="39"/>
  <c r="D204" i="39"/>
  <c r="D204" i="12"/>
  <c r="D301" i="39"/>
  <c r="D301" i="12"/>
  <c r="D237" i="39"/>
  <c r="D237" i="12"/>
  <c r="D166" i="39"/>
  <c r="D166" i="12"/>
  <c r="D299" i="39"/>
  <c r="D299" i="12"/>
  <c r="D235" i="39"/>
  <c r="D235" i="12"/>
  <c r="D34" i="39"/>
  <c r="D34" i="12"/>
  <c r="D263" i="39"/>
  <c r="D263" i="12"/>
  <c r="D181" i="39"/>
  <c r="D181" i="12"/>
  <c r="D105" i="12"/>
  <c r="D105" i="39"/>
  <c r="D289" i="12"/>
  <c r="D289" i="39"/>
  <c r="D190" i="39"/>
  <c r="D190" i="12"/>
  <c r="D29" i="39"/>
  <c r="D29" i="12"/>
  <c r="D253" i="39"/>
  <c r="D253" i="12"/>
  <c r="D211" i="12"/>
  <c r="D211" i="39"/>
  <c r="D132" i="39"/>
  <c r="D132" i="12"/>
  <c r="D203" i="39"/>
  <c r="D203" i="12"/>
  <c r="D148" i="39"/>
  <c r="D148" i="12"/>
  <c r="D40" i="39"/>
  <c r="D40" i="12"/>
  <c r="D197" i="39"/>
  <c r="D197" i="12"/>
  <c r="D144" i="39"/>
  <c r="D144" i="12"/>
  <c r="D94" i="12"/>
  <c r="D94" i="39"/>
  <c r="D51" i="12"/>
  <c r="D51" i="39"/>
  <c r="D124" i="39"/>
  <c r="D124" i="12"/>
  <c r="D39" i="39"/>
  <c r="D39" i="12"/>
  <c r="D141" i="39"/>
  <c r="D141" i="12"/>
  <c r="D93" i="12"/>
  <c r="D93" i="39"/>
  <c r="D50" i="39"/>
  <c r="D50" i="12"/>
  <c r="D131" i="39"/>
  <c r="D131" i="12"/>
  <c r="D89" i="12"/>
  <c r="D89" i="39"/>
  <c r="D55" i="12"/>
  <c r="D55" i="39"/>
  <c r="D73" i="12"/>
  <c r="D73" i="39"/>
  <c r="D251" i="39"/>
  <c r="D251" i="12"/>
  <c r="D172" i="39"/>
  <c r="D172" i="12"/>
  <c r="D33" i="39"/>
  <c r="D33" i="12"/>
  <c r="D277" i="39"/>
  <c r="D277" i="12"/>
  <c r="D193" i="39"/>
  <c r="D193" i="12"/>
  <c r="D128" i="39"/>
  <c r="D128" i="12"/>
  <c r="D288" i="12"/>
  <c r="D288" i="39"/>
  <c r="D191" i="12"/>
  <c r="D191" i="39"/>
  <c r="D286" i="12"/>
  <c r="D286" i="39"/>
  <c r="D227" i="39"/>
  <c r="D227" i="12"/>
  <c r="D151" i="39"/>
  <c r="D151" i="12"/>
  <c r="D297" i="12"/>
  <c r="D297" i="39"/>
  <c r="D233" i="39"/>
  <c r="D233" i="12"/>
  <c r="D10" i="39"/>
  <c r="D10" i="12"/>
  <c r="D261" i="39"/>
  <c r="D261" i="12"/>
  <c r="D179" i="39"/>
  <c r="D179" i="12"/>
  <c r="D88" i="39"/>
  <c r="D88" i="12"/>
  <c r="D274" i="39"/>
  <c r="D274" i="12"/>
  <c r="D183" i="39"/>
  <c r="D183" i="12"/>
  <c r="D302" i="39"/>
  <c r="D302" i="12"/>
  <c r="D238" i="39"/>
  <c r="D238" i="12"/>
  <c r="D209" i="39"/>
  <c r="D209" i="12"/>
  <c r="D101" i="12"/>
  <c r="D101" i="39"/>
  <c r="D201" i="39"/>
  <c r="D201" i="12"/>
  <c r="D123" i="39"/>
  <c r="D123" i="12"/>
  <c r="D38" i="39"/>
  <c r="D38" i="12"/>
  <c r="D182" i="39"/>
  <c r="D182" i="12"/>
  <c r="D142" i="39"/>
  <c r="D142" i="12"/>
  <c r="D83" i="12"/>
  <c r="D83" i="39"/>
  <c r="D49" i="12"/>
  <c r="D49" i="39"/>
  <c r="D122" i="12"/>
  <c r="D122" i="39"/>
  <c r="D37" i="39"/>
  <c r="D37" i="12"/>
  <c r="D116" i="12"/>
  <c r="D116" i="39"/>
  <c r="D82" i="39"/>
  <c r="D82" i="12"/>
  <c r="D18" i="12"/>
  <c r="D18" i="39"/>
  <c r="D129" i="39"/>
  <c r="D129" i="12"/>
  <c r="D87" i="12"/>
  <c r="D87" i="39"/>
  <c r="D53" i="12"/>
  <c r="D53" i="39"/>
  <c r="D307" i="39"/>
  <c r="D307" i="12"/>
  <c r="D313" i="12"/>
  <c r="D313" i="39"/>
  <c r="D249" i="39"/>
  <c r="D249" i="12"/>
  <c r="D149" i="39"/>
  <c r="D149" i="12"/>
  <c r="D26" i="12"/>
  <c r="D26" i="39"/>
  <c r="D262" i="39"/>
  <c r="D262" i="12"/>
  <c r="D189" i="39"/>
  <c r="D189" i="12"/>
  <c r="D92" i="12"/>
  <c r="D92" i="39"/>
  <c r="D275" i="39"/>
  <c r="D275" i="12"/>
  <c r="D140" i="39"/>
  <c r="D140" i="12"/>
  <c r="D284" i="12"/>
  <c r="D284" i="39"/>
  <c r="D225" i="39"/>
  <c r="D225" i="12"/>
  <c r="D133" i="39"/>
  <c r="D133" i="12"/>
  <c r="D282" i="12"/>
  <c r="D282" i="39"/>
  <c r="D231" i="12"/>
  <c r="D231" i="39"/>
  <c r="D310" i="39"/>
  <c r="D310" i="12"/>
  <c r="D246" i="39"/>
  <c r="D246" i="12"/>
  <c r="D177" i="39"/>
  <c r="D177" i="12"/>
  <c r="D71" i="12"/>
  <c r="D71" i="39"/>
  <c r="D272" i="39"/>
  <c r="D272" i="12"/>
  <c r="D175" i="39"/>
  <c r="D175" i="12"/>
  <c r="D300" i="12"/>
  <c r="D300" i="39"/>
  <c r="D236" i="39"/>
  <c r="D236" i="12"/>
  <c r="D205" i="39"/>
  <c r="D205" i="12"/>
  <c r="D76" i="39"/>
  <c r="D76" i="12"/>
  <c r="D186" i="39"/>
  <c r="D186" i="12"/>
  <c r="D121" i="12"/>
  <c r="D121" i="39"/>
  <c r="D23" i="39"/>
  <c r="D23" i="12"/>
  <c r="D180" i="39"/>
  <c r="D180" i="12"/>
  <c r="D115" i="12"/>
  <c r="D115" i="39"/>
  <c r="D81" i="12"/>
  <c r="D81" i="39"/>
  <c r="D36" i="39"/>
  <c r="D36" i="12"/>
  <c r="D120" i="12"/>
  <c r="D120" i="39"/>
  <c r="D24" i="39"/>
  <c r="D24" i="12"/>
  <c r="D114" i="12"/>
  <c r="D114" i="39"/>
  <c r="D80" i="39"/>
  <c r="D80" i="12"/>
  <c r="D16" i="39"/>
  <c r="D16" i="12"/>
  <c r="D127" i="39"/>
  <c r="D127" i="12"/>
  <c r="D85" i="12"/>
  <c r="D85" i="39"/>
  <c r="D44" i="39"/>
  <c r="D44" i="12"/>
  <c r="D174" i="39"/>
  <c r="D174" i="12"/>
  <c r="D298" i="12"/>
  <c r="D298" i="39"/>
  <c r="D234" i="39"/>
  <c r="D234" i="12"/>
  <c r="D136" i="39"/>
  <c r="D136" i="12"/>
  <c r="D11" i="39"/>
  <c r="D11" i="12"/>
  <c r="D260" i="39"/>
  <c r="D260" i="12"/>
  <c r="D187" i="39"/>
  <c r="D187" i="12"/>
  <c r="D47" i="12"/>
  <c r="D47" i="39"/>
  <c r="D273" i="39"/>
  <c r="D273" i="12"/>
  <c r="D103" i="12"/>
  <c r="D103" i="39"/>
  <c r="D271" i="39"/>
  <c r="D271" i="12"/>
  <c r="D221" i="39"/>
  <c r="D221" i="12"/>
  <c r="D75" i="39"/>
  <c r="D75" i="12"/>
  <c r="D280" i="12"/>
  <c r="D280" i="39"/>
  <c r="D223" i="12"/>
  <c r="D223" i="39"/>
  <c r="D308" i="12"/>
  <c r="D308" i="39"/>
  <c r="D244" i="39"/>
  <c r="D244" i="12"/>
  <c r="D173" i="39"/>
  <c r="D173" i="12"/>
  <c r="D54" i="39"/>
  <c r="D54" i="12"/>
  <c r="D259" i="39"/>
  <c r="D259" i="12"/>
  <c r="D160" i="39"/>
  <c r="D160" i="12"/>
  <c r="D287" i="12"/>
  <c r="D287" i="39"/>
  <c r="D228" i="39"/>
  <c r="D228" i="12"/>
  <c r="D200" i="39"/>
  <c r="D200" i="12"/>
  <c r="D31" i="39"/>
  <c r="D31" i="12"/>
  <c r="D184" i="39"/>
  <c r="D184" i="12"/>
  <c r="D119" i="39"/>
  <c r="D119" i="12"/>
  <c r="D21" i="39"/>
  <c r="D21" i="12"/>
  <c r="D163" i="39"/>
  <c r="D163" i="12"/>
  <c r="D113" i="12"/>
  <c r="D113" i="39"/>
  <c r="D79" i="12"/>
  <c r="D79" i="39"/>
  <c r="D19" i="39"/>
  <c r="D19" i="12"/>
  <c r="D118" i="12"/>
  <c r="D118" i="39"/>
  <c r="D22" i="12"/>
  <c r="D22" i="39"/>
  <c r="D112" i="12"/>
  <c r="D112" i="39"/>
  <c r="D78" i="39"/>
  <c r="D78" i="12"/>
  <c r="D14" i="12"/>
  <c r="D14" i="39"/>
  <c r="D125" i="39"/>
  <c r="D125" i="12"/>
  <c r="D74" i="39"/>
  <c r="D74" i="12"/>
  <c r="D27" i="39"/>
  <c r="D27" i="12"/>
  <c r="D296" i="12"/>
  <c r="D296" i="39"/>
  <c r="D232" i="39"/>
  <c r="D232" i="12"/>
  <c r="D107" i="12"/>
  <c r="D107" i="39"/>
  <c r="D311" i="12"/>
  <c r="D311" i="39"/>
  <c r="D247" i="39"/>
  <c r="D247" i="12"/>
  <c r="D178" i="39"/>
  <c r="D178" i="12"/>
  <c r="D35" i="39"/>
  <c r="D35" i="12"/>
  <c r="D258" i="39"/>
  <c r="D258" i="12"/>
  <c r="D86" i="39"/>
  <c r="D86" i="12"/>
  <c r="D269" i="39"/>
  <c r="D269" i="12"/>
  <c r="D219" i="12"/>
  <c r="D219" i="39"/>
  <c r="D58" i="39"/>
  <c r="D58" i="12"/>
  <c r="D267" i="39"/>
  <c r="D267" i="12"/>
  <c r="D135" i="39"/>
  <c r="D135" i="12"/>
  <c r="D295" i="12"/>
  <c r="D295" i="39"/>
  <c r="D196" i="39"/>
  <c r="D196" i="12"/>
  <c r="D168" i="39"/>
  <c r="D168" i="12"/>
  <c r="D46" i="39"/>
  <c r="D46" i="12"/>
  <c r="D257" i="39"/>
  <c r="D257" i="12"/>
  <c r="D153" i="39"/>
  <c r="D153" i="12"/>
  <c r="D285" i="12"/>
  <c r="D285" i="39"/>
  <c r="D226" i="39"/>
  <c r="D226" i="12"/>
  <c r="D185" i="39"/>
  <c r="D185" i="12"/>
  <c r="D9" i="39"/>
  <c r="D9" i="12"/>
  <c r="D171" i="39"/>
  <c r="D171" i="12"/>
  <c r="D117" i="12"/>
  <c r="D117" i="39"/>
  <c r="D229" i="39"/>
  <c r="D229" i="12"/>
  <c r="D161" i="39"/>
  <c r="D161" i="12"/>
  <c r="D111" i="12"/>
  <c r="D111" i="39"/>
  <c r="D77" i="12"/>
  <c r="D77" i="39"/>
  <c r="D17" i="39"/>
  <c r="D17" i="12"/>
  <c r="D84" i="39"/>
  <c r="D84" i="12"/>
  <c r="D20" i="39"/>
  <c r="D20" i="12"/>
  <c r="D110" i="12"/>
  <c r="D110" i="39"/>
  <c r="D67" i="39"/>
  <c r="D67" i="12"/>
  <c r="D12" i="39"/>
  <c r="D12" i="12"/>
  <c r="D106" i="12"/>
  <c r="D106" i="39"/>
  <c r="D72" i="39"/>
  <c r="D72" i="12"/>
  <c r="D25" i="39"/>
  <c r="D25" i="12"/>
  <c r="D283" i="12"/>
  <c r="D283" i="39"/>
  <c r="D230" i="39"/>
  <c r="D230" i="12"/>
  <c r="D90" i="39"/>
  <c r="D90" i="12"/>
  <c r="D309" i="39"/>
  <c r="D309" i="12"/>
  <c r="D245" i="39"/>
  <c r="D245" i="12"/>
  <c r="D176" i="39"/>
  <c r="D176" i="12"/>
  <c r="D28" i="39"/>
  <c r="D28" i="12"/>
  <c r="D256" i="39"/>
  <c r="D256" i="12"/>
  <c r="D69" i="12"/>
  <c r="D69" i="39"/>
  <c r="D254" i="39"/>
  <c r="D254" i="12"/>
  <c r="D210" i="39"/>
  <c r="D210" i="12"/>
  <c r="D32" i="39"/>
  <c r="D32" i="12"/>
  <c r="D265" i="39"/>
  <c r="D265" i="12"/>
  <c r="D130" i="39"/>
  <c r="D130" i="12"/>
  <c r="D293" i="12"/>
  <c r="D293" i="39"/>
  <c r="D194" i="39"/>
  <c r="D194" i="12"/>
  <c r="D158" i="39"/>
  <c r="D158" i="12"/>
  <c r="D306" i="39"/>
  <c r="D306" i="12"/>
  <c r="D242" i="39"/>
  <c r="D242" i="12"/>
  <c r="D139" i="39"/>
  <c r="D139" i="12"/>
  <c r="D270" i="39"/>
  <c r="D270" i="12"/>
  <c r="D224" i="39"/>
  <c r="D224" i="12"/>
  <c r="D170" i="39"/>
  <c r="D170" i="12"/>
  <c r="D7" i="39"/>
  <c r="D7" i="12"/>
  <c r="D169" i="39"/>
  <c r="D169" i="12"/>
  <c r="D100" i="12"/>
  <c r="D100" i="39"/>
  <c r="D214" i="39"/>
  <c r="D214" i="12"/>
  <c r="D159" i="39"/>
  <c r="D159" i="12"/>
  <c r="D109" i="12"/>
  <c r="D109" i="39"/>
  <c r="D66" i="39"/>
  <c r="D66" i="12"/>
  <c r="D15" i="39"/>
  <c r="D15" i="12"/>
  <c r="D52" i="39"/>
  <c r="D52" i="12"/>
  <c r="D147" i="39"/>
  <c r="D147" i="12"/>
  <c r="D99" i="12"/>
  <c r="D99" i="39"/>
  <c r="D65" i="12"/>
  <c r="D65" i="39"/>
  <c r="D154" i="39"/>
  <c r="D154" i="12"/>
  <c r="D104" i="12"/>
  <c r="D104" i="39"/>
  <c r="D70" i="39"/>
  <c r="D70" i="12"/>
  <c r="D6" i="39"/>
  <c r="D6" i="12"/>
  <c r="F50" i="48"/>
  <c r="M6" i="25"/>
  <c r="M315" i="25" s="1"/>
  <c r="J6" i="54"/>
  <c r="J315" i="54" s="1"/>
  <c r="C41" i="40"/>
  <c r="J4" i="11" s="1"/>
  <c r="F145" i="25"/>
  <c r="D145" i="54" s="1"/>
  <c r="F159" i="25"/>
  <c r="D159" i="54" s="1"/>
  <c r="F289" i="25"/>
  <c r="D289" i="54" s="1"/>
  <c r="F306" i="25"/>
  <c r="D306" i="54" s="1"/>
  <c r="F290" i="25"/>
  <c r="D290" i="54" s="1"/>
  <c r="F274" i="25"/>
  <c r="D274" i="54" s="1"/>
  <c r="F19" i="25"/>
  <c r="D19" i="54" s="1"/>
  <c r="F86" i="25"/>
  <c r="D86" i="54" s="1"/>
  <c r="F70" i="25"/>
  <c r="D70" i="54" s="1"/>
  <c r="F54" i="25"/>
  <c r="D54" i="54" s="1"/>
  <c r="F38" i="25"/>
  <c r="D38" i="54" s="1"/>
  <c r="F22" i="25"/>
  <c r="D22" i="54" s="1"/>
  <c r="F259" i="25"/>
  <c r="D259" i="54" s="1"/>
  <c r="F195" i="25"/>
  <c r="D195" i="54" s="1"/>
  <c r="F131" i="25"/>
  <c r="D131" i="54" s="1"/>
  <c r="F205" i="25"/>
  <c r="D205" i="54" s="1"/>
  <c r="F133" i="25"/>
  <c r="D133" i="54" s="1"/>
  <c r="F215" i="25"/>
  <c r="D215" i="54" s="1"/>
  <c r="F151" i="25"/>
  <c r="D151" i="54" s="1"/>
  <c r="F273" i="25"/>
  <c r="D273" i="54" s="1"/>
  <c r="F117" i="25"/>
  <c r="D117" i="54" s="1"/>
  <c r="F39" i="25"/>
  <c r="D39" i="54" s="1"/>
  <c r="F304" i="25"/>
  <c r="D304" i="54" s="1"/>
  <c r="F288" i="25"/>
  <c r="D288" i="54" s="1"/>
  <c r="F256" i="25"/>
  <c r="D256" i="54" s="1"/>
  <c r="F240" i="25"/>
  <c r="D240" i="54" s="1"/>
  <c r="F224" i="25"/>
  <c r="D224" i="54" s="1"/>
  <c r="F208" i="25"/>
  <c r="D208" i="54" s="1"/>
  <c r="F192" i="25"/>
  <c r="D192" i="54" s="1"/>
  <c r="F176" i="25"/>
  <c r="D176" i="54" s="1"/>
  <c r="F160" i="25"/>
  <c r="D160" i="54" s="1"/>
  <c r="F144" i="25"/>
  <c r="D144" i="54" s="1"/>
  <c r="F128" i="25"/>
  <c r="D128" i="54" s="1"/>
  <c r="F112" i="25"/>
  <c r="D112" i="54" s="1"/>
  <c r="F96" i="25"/>
  <c r="D96" i="54" s="1"/>
  <c r="F9" i="25"/>
  <c r="D9" i="54" s="1"/>
  <c r="F87" i="25"/>
  <c r="D87" i="54" s="1"/>
  <c r="F139" i="25"/>
  <c r="D139" i="54" s="1"/>
  <c r="F45" i="25"/>
  <c r="D45" i="54" s="1"/>
  <c r="F307" i="25"/>
  <c r="D307" i="54" s="1"/>
  <c r="F179" i="25"/>
  <c r="D179" i="54" s="1"/>
  <c r="F193" i="25"/>
  <c r="D193" i="54" s="1"/>
  <c r="F263" i="25"/>
  <c r="D263" i="54" s="1"/>
  <c r="F209" i="25"/>
  <c r="D209" i="54" s="1"/>
  <c r="F252" i="25"/>
  <c r="D252" i="54" s="1"/>
  <c r="F204" i="25"/>
  <c r="D204" i="54" s="1"/>
  <c r="F156" i="25"/>
  <c r="D156" i="54" s="1"/>
  <c r="F108" i="25"/>
  <c r="D108" i="54" s="1"/>
  <c r="F55" i="25"/>
  <c r="D55" i="54" s="1"/>
  <c r="F48" i="25"/>
  <c r="D48" i="54" s="1"/>
  <c r="F299" i="25"/>
  <c r="D299" i="54" s="1"/>
  <c r="F229" i="25"/>
  <c r="D229" i="54" s="1"/>
  <c r="F53" i="25"/>
  <c r="D53" i="54" s="1"/>
  <c r="F62" i="25"/>
  <c r="D62" i="54" s="1"/>
  <c r="F14" i="25"/>
  <c r="D14" i="54" s="1"/>
  <c r="F267" i="25"/>
  <c r="D267" i="54" s="1"/>
  <c r="F245" i="25"/>
  <c r="D245" i="54" s="1"/>
  <c r="F213" i="25"/>
  <c r="D213" i="54" s="1"/>
  <c r="F237" i="25"/>
  <c r="D237" i="54" s="1"/>
  <c r="F199" i="25"/>
  <c r="D199" i="54" s="1"/>
  <c r="F97" i="25"/>
  <c r="D97" i="54" s="1"/>
  <c r="F268" i="25"/>
  <c r="D268" i="54" s="1"/>
  <c r="F236" i="25"/>
  <c r="D236" i="54" s="1"/>
  <c r="F172" i="25"/>
  <c r="D172" i="54" s="1"/>
  <c r="F140" i="25"/>
  <c r="D140" i="54" s="1"/>
  <c r="F92" i="25"/>
  <c r="D92" i="54" s="1"/>
  <c r="F80" i="25"/>
  <c r="D80" i="54" s="1"/>
  <c r="F16" i="25"/>
  <c r="D16" i="54" s="1"/>
  <c r="F305" i="25"/>
  <c r="D305" i="54" s="1"/>
  <c r="F149" i="25"/>
  <c r="D149" i="54" s="1"/>
  <c r="F83" i="25"/>
  <c r="D83" i="54" s="1"/>
  <c r="F78" i="25"/>
  <c r="D78" i="54" s="1"/>
  <c r="F30" i="25"/>
  <c r="D30" i="54" s="1"/>
  <c r="F203" i="25"/>
  <c r="D203" i="54" s="1"/>
  <c r="F101" i="25"/>
  <c r="D101" i="54" s="1"/>
  <c r="F103" i="25"/>
  <c r="D103" i="54" s="1"/>
  <c r="F157" i="25"/>
  <c r="D157" i="54" s="1"/>
  <c r="F223" i="25"/>
  <c r="D223" i="54" s="1"/>
  <c r="F13" i="25"/>
  <c r="D13" i="54" s="1"/>
  <c r="F243" i="25"/>
  <c r="D243" i="54" s="1"/>
  <c r="F115" i="25"/>
  <c r="D115" i="54" s="1"/>
  <c r="F181" i="25"/>
  <c r="D181" i="54" s="1"/>
  <c r="F95" i="25"/>
  <c r="D95" i="54" s="1"/>
  <c r="F135" i="25"/>
  <c r="D135" i="54" s="1"/>
  <c r="F35" i="25"/>
  <c r="D35" i="54" s="1"/>
  <c r="F220" i="25"/>
  <c r="D220" i="54" s="1"/>
  <c r="F188" i="25"/>
  <c r="D188" i="54" s="1"/>
  <c r="F124" i="25"/>
  <c r="D124" i="54" s="1"/>
  <c r="F69" i="25"/>
  <c r="D69" i="54" s="1"/>
  <c r="F64" i="25"/>
  <c r="D64" i="54" s="1"/>
  <c r="F32" i="25"/>
  <c r="D32" i="54" s="1"/>
  <c r="F99" i="25"/>
  <c r="D99" i="54" s="1"/>
  <c r="F301" i="25"/>
  <c r="D301" i="54" s="1"/>
  <c r="F37" i="25"/>
  <c r="D37" i="54" s="1"/>
  <c r="F46" i="25"/>
  <c r="D46" i="54" s="1"/>
  <c r="F217" i="25"/>
  <c r="D217" i="54" s="1"/>
  <c r="F210" i="25"/>
  <c r="D210" i="54" s="1"/>
  <c r="F302" i="25"/>
  <c r="D302" i="54" s="1"/>
  <c r="F286" i="25"/>
  <c r="D286" i="54" s="1"/>
  <c r="F313" i="25"/>
  <c r="D313" i="54" s="1"/>
  <c r="F297" i="25"/>
  <c r="D297" i="54" s="1"/>
  <c r="F281" i="25"/>
  <c r="D281" i="54" s="1"/>
  <c r="F264" i="25"/>
  <c r="D264" i="54" s="1"/>
  <c r="F248" i="25"/>
  <c r="D248" i="54" s="1"/>
  <c r="F232" i="25"/>
  <c r="D232" i="54" s="1"/>
  <c r="F216" i="25"/>
  <c r="D216" i="54" s="1"/>
  <c r="F200" i="25"/>
  <c r="D200" i="54" s="1"/>
  <c r="F184" i="25"/>
  <c r="D184" i="54" s="1"/>
  <c r="F168" i="25"/>
  <c r="D168" i="54" s="1"/>
  <c r="F152" i="25"/>
  <c r="D152" i="54" s="1"/>
  <c r="F136" i="25"/>
  <c r="D136" i="54" s="1"/>
  <c r="F120" i="25"/>
  <c r="D120" i="54" s="1"/>
  <c r="F104" i="25"/>
  <c r="D104" i="54" s="1"/>
  <c r="F88" i="25"/>
  <c r="D88" i="54" s="1"/>
  <c r="F72" i="25"/>
  <c r="D72" i="54" s="1"/>
  <c r="F56" i="25"/>
  <c r="D56" i="54" s="1"/>
  <c r="F40" i="25"/>
  <c r="D40" i="54" s="1"/>
  <c r="F24" i="25"/>
  <c r="D24" i="54" s="1"/>
  <c r="F271" i="25"/>
  <c r="D271" i="54" s="1"/>
  <c r="F255" i="25"/>
  <c r="D255" i="54" s="1"/>
  <c r="F239" i="25"/>
  <c r="D239" i="54" s="1"/>
  <c r="F207" i="25"/>
  <c r="D207" i="54" s="1"/>
  <c r="F191" i="25"/>
  <c r="D191" i="54" s="1"/>
  <c r="F175" i="25"/>
  <c r="D175" i="54" s="1"/>
  <c r="F143" i="25"/>
  <c r="D143" i="54" s="1"/>
  <c r="F127" i="25"/>
  <c r="D127" i="54" s="1"/>
  <c r="F111" i="25"/>
  <c r="D111" i="54" s="1"/>
  <c r="F79" i="25"/>
  <c r="D79" i="54" s="1"/>
  <c r="F63" i="25"/>
  <c r="D63" i="54" s="1"/>
  <c r="F47" i="25"/>
  <c r="D47" i="54" s="1"/>
  <c r="F31" i="25"/>
  <c r="D31" i="54" s="1"/>
  <c r="F15" i="25"/>
  <c r="D15" i="54" s="1"/>
  <c r="F283" i="25"/>
  <c r="D283" i="54" s="1"/>
  <c r="F312" i="25"/>
  <c r="D312" i="54" s="1"/>
  <c r="F296" i="25"/>
  <c r="D296" i="54" s="1"/>
  <c r="F280" i="25"/>
  <c r="D280" i="54" s="1"/>
  <c r="F261" i="25"/>
  <c r="D261" i="54" s="1"/>
  <c r="F197" i="25"/>
  <c r="D197" i="54" s="1"/>
  <c r="F165" i="25"/>
  <c r="D165" i="54" s="1"/>
  <c r="F85" i="25"/>
  <c r="D85" i="54" s="1"/>
  <c r="F21" i="25"/>
  <c r="D21" i="54" s="1"/>
  <c r="F270" i="25"/>
  <c r="D270" i="54" s="1"/>
  <c r="F254" i="25"/>
  <c r="D254" i="54" s="1"/>
  <c r="F238" i="25"/>
  <c r="D238" i="54" s="1"/>
  <c r="F222" i="25"/>
  <c r="D222" i="54" s="1"/>
  <c r="F206" i="25"/>
  <c r="D206" i="54" s="1"/>
  <c r="F190" i="25"/>
  <c r="D190" i="54" s="1"/>
  <c r="F174" i="25"/>
  <c r="D174" i="54" s="1"/>
  <c r="F158" i="25"/>
  <c r="D158" i="54" s="1"/>
  <c r="F142" i="25"/>
  <c r="D142" i="54" s="1"/>
  <c r="F126" i="25"/>
  <c r="D126" i="54" s="1"/>
  <c r="F110" i="25"/>
  <c r="D110" i="54" s="1"/>
  <c r="F94" i="25"/>
  <c r="D94" i="54" s="1"/>
  <c r="F287" i="25"/>
  <c r="D287" i="54" s="1"/>
  <c r="F300" i="25"/>
  <c r="D300" i="54" s="1"/>
  <c r="F265" i="25"/>
  <c r="D265" i="54" s="1"/>
  <c r="F233" i="25"/>
  <c r="D233" i="54" s="1"/>
  <c r="F185" i="25"/>
  <c r="D185" i="54" s="1"/>
  <c r="F153" i="25"/>
  <c r="D153" i="54" s="1"/>
  <c r="F121" i="25"/>
  <c r="D121" i="54" s="1"/>
  <c r="F105" i="25"/>
  <c r="D105" i="54" s="1"/>
  <c r="F73" i="25"/>
  <c r="D73" i="54" s="1"/>
  <c r="F41" i="25"/>
  <c r="D41" i="54" s="1"/>
  <c r="F7" i="25"/>
  <c r="D7" i="54" s="1"/>
  <c r="F226" i="25"/>
  <c r="D226" i="54" s="1"/>
  <c r="F178" i="25"/>
  <c r="D178" i="54" s="1"/>
  <c r="F146" i="25"/>
  <c r="D146" i="54" s="1"/>
  <c r="F114" i="25"/>
  <c r="D114" i="54" s="1"/>
  <c r="F82" i="25"/>
  <c r="D82" i="54" s="1"/>
  <c r="F50" i="25"/>
  <c r="D50" i="54" s="1"/>
  <c r="F34" i="25"/>
  <c r="D34" i="54" s="1"/>
  <c r="F314" i="25"/>
  <c r="D314" i="54" s="1"/>
  <c r="F309" i="25"/>
  <c r="D309" i="54" s="1"/>
  <c r="F260" i="25"/>
  <c r="D260" i="54" s="1"/>
  <c r="F212" i="25"/>
  <c r="D212" i="54" s="1"/>
  <c r="F148" i="25"/>
  <c r="D148" i="54" s="1"/>
  <c r="F100" i="25"/>
  <c r="D100" i="54" s="1"/>
  <c r="F52" i="25"/>
  <c r="D52" i="54" s="1"/>
  <c r="F219" i="25"/>
  <c r="D219" i="54" s="1"/>
  <c r="F171" i="25"/>
  <c r="D171" i="54" s="1"/>
  <c r="F123" i="25"/>
  <c r="D123" i="54" s="1"/>
  <c r="F75" i="25"/>
  <c r="D75" i="54" s="1"/>
  <c r="F27" i="25"/>
  <c r="D27" i="54" s="1"/>
  <c r="F311" i="25"/>
  <c r="D311" i="54" s="1"/>
  <c r="F292" i="25"/>
  <c r="D292" i="54" s="1"/>
  <c r="F241" i="25"/>
  <c r="D241" i="54" s="1"/>
  <c r="F129" i="25"/>
  <c r="D129" i="54" s="1"/>
  <c r="F65" i="25"/>
  <c r="D65" i="54" s="1"/>
  <c r="F266" i="25"/>
  <c r="D266" i="54" s="1"/>
  <c r="F186" i="25"/>
  <c r="D186" i="54" s="1"/>
  <c r="F106" i="25"/>
  <c r="D106" i="54" s="1"/>
  <c r="F58" i="25"/>
  <c r="D58" i="54" s="1"/>
  <c r="F10" i="25"/>
  <c r="D10" i="54" s="1"/>
  <c r="F310" i="25"/>
  <c r="D310" i="54" s="1"/>
  <c r="F294" i="25"/>
  <c r="D294" i="54" s="1"/>
  <c r="F278" i="25"/>
  <c r="D278" i="54" s="1"/>
  <c r="F247" i="25"/>
  <c r="D247" i="54" s="1"/>
  <c r="F231" i="25"/>
  <c r="D231" i="54" s="1"/>
  <c r="F183" i="25"/>
  <c r="D183" i="54" s="1"/>
  <c r="F167" i="25"/>
  <c r="D167" i="54" s="1"/>
  <c r="F119" i="25"/>
  <c r="D119" i="54" s="1"/>
  <c r="F71" i="25"/>
  <c r="D71" i="54" s="1"/>
  <c r="F23" i="25"/>
  <c r="D23" i="54" s="1"/>
  <c r="F303" i="25"/>
  <c r="D303" i="54" s="1"/>
  <c r="F272" i="25"/>
  <c r="D272" i="54" s="1"/>
  <c r="F284" i="25"/>
  <c r="D284" i="54" s="1"/>
  <c r="F249" i="25"/>
  <c r="D249" i="54" s="1"/>
  <c r="F201" i="25"/>
  <c r="D201" i="54" s="1"/>
  <c r="F169" i="25"/>
  <c r="D169" i="54" s="1"/>
  <c r="F137" i="25"/>
  <c r="D137" i="54" s="1"/>
  <c r="F89" i="25"/>
  <c r="D89" i="54" s="1"/>
  <c r="F57" i="25"/>
  <c r="D57" i="54" s="1"/>
  <c r="F25" i="25"/>
  <c r="D25" i="54" s="1"/>
  <c r="F258" i="25"/>
  <c r="D258" i="54" s="1"/>
  <c r="F242" i="25"/>
  <c r="D242" i="54" s="1"/>
  <c r="F194" i="25"/>
  <c r="D194" i="54" s="1"/>
  <c r="F162" i="25"/>
  <c r="D162" i="54" s="1"/>
  <c r="F130" i="25"/>
  <c r="D130" i="54" s="1"/>
  <c r="F98" i="25"/>
  <c r="D98" i="54" s="1"/>
  <c r="F66" i="25"/>
  <c r="D66" i="54" s="1"/>
  <c r="F18" i="25"/>
  <c r="D18" i="54" s="1"/>
  <c r="F282" i="25"/>
  <c r="D282" i="54" s="1"/>
  <c r="F277" i="25"/>
  <c r="D277" i="54" s="1"/>
  <c r="F228" i="25"/>
  <c r="D228" i="54" s="1"/>
  <c r="F180" i="25"/>
  <c r="D180" i="54" s="1"/>
  <c r="F132" i="25"/>
  <c r="D132" i="54" s="1"/>
  <c r="F84" i="25"/>
  <c r="D84" i="54" s="1"/>
  <c r="F36" i="25"/>
  <c r="D36" i="54" s="1"/>
  <c r="F251" i="25"/>
  <c r="D251" i="54" s="1"/>
  <c r="F155" i="25"/>
  <c r="D155" i="54" s="1"/>
  <c r="F107" i="25"/>
  <c r="D107" i="54" s="1"/>
  <c r="F59" i="25"/>
  <c r="D59" i="54" s="1"/>
  <c r="F11" i="25"/>
  <c r="D11" i="54" s="1"/>
  <c r="F279" i="25"/>
  <c r="D279" i="54" s="1"/>
  <c r="F276" i="25"/>
  <c r="D276" i="54" s="1"/>
  <c r="F225" i="25"/>
  <c r="D225" i="54" s="1"/>
  <c r="F177" i="25"/>
  <c r="D177" i="54" s="1"/>
  <c r="F81" i="25"/>
  <c r="D81" i="54" s="1"/>
  <c r="F33" i="25"/>
  <c r="D33" i="54" s="1"/>
  <c r="F250" i="25"/>
  <c r="D250" i="54" s="1"/>
  <c r="F202" i="25"/>
  <c r="D202" i="54" s="1"/>
  <c r="F138" i="25"/>
  <c r="D138" i="54" s="1"/>
  <c r="F74" i="25"/>
  <c r="D74" i="54" s="1"/>
  <c r="F26" i="25"/>
  <c r="D26" i="54" s="1"/>
  <c r="F291" i="25"/>
  <c r="D291" i="54" s="1"/>
  <c r="F275" i="25"/>
  <c r="D275" i="54" s="1"/>
  <c r="F269" i="25"/>
  <c r="D269" i="54" s="1"/>
  <c r="F253" i="25"/>
  <c r="D253" i="54" s="1"/>
  <c r="F221" i="25"/>
  <c r="D221" i="54" s="1"/>
  <c r="F189" i="25"/>
  <c r="D189" i="54" s="1"/>
  <c r="F173" i="25"/>
  <c r="D173" i="54" s="1"/>
  <c r="F141" i="25"/>
  <c r="D141" i="54" s="1"/>
  <c r="F125" i="25"/>
  <c r="D125" i="54" s="1"/>
  <c r="F109" i="25"/>
  <c r="D109" i="54" s="1"/>
  <c r="F93" i="25"/>
  <c r="D93" i="54" s="1"/>
  <c r="F77" i="25"/>
  <c r="D77" i="54" s="1"/>
  <c r="F61" i="25"/>
  <c r="D61" i="54" s="1"/>
  <c r="F29" i="25"/>
  <c r="D29" i="54" s="1"/>
  <c r="F262" i="25"/>
  <c r="D262" i="54" s="1"/>
  <c r="F246" i="25"/>
  <c r="D246" i="54" s="1"/>
  <c r="F230" i="25"/>
  <c r="D230" i="54" s="1"/>
  <c r="F214" i="25"/>
  <c r="D214" i="54" s="1"/>
  <c r="F198" i="25"/>
  <c r="D198" i="54" s="1"/>
  <c r="F182" i="25"/>
  <c r="D182" i="54" s="1"/>
  <c r="F166" i="25"/>
  <c r="D166" i="54" s="1"/>
  <c r="F150" i="25"/>
  <c r="D150" i="54" s="1"/>
  <c r="F134" i="25"/>
  <c r="D134" i="54" s="1"/>
  <c r="F118" i="25"/>
  <c r="D118" i="54" s="1"/>
  <c r="F102" i="25"/>
  <c r="D102" i="54" s="1"/>
  <c r="F8" i="25"/>
  <c r="D8" i="54" s="1"/>
  <c r="F298" i="25"/>
  <c r="D298" i="54" s="1"/>
  <c r="F293" i="25"/>
  <c r="D293" i="54" s="1"/>
  <c r="F244" i="25"/>
  <c r="D244" i="54" s="1"/>
  <c r="F196" i="25"/>
  <c r="D196" i="54" s="1"/>
  <c r="F164" i="25"/>
  <c r="D164" i="54" s="1"/>
  <c r="F116" i="25"/>
  <c r="D116" i="54" s="1"/>
  <c r="F68" i="25"/>
  <c r="D68" i="54" s="1"/>
  <c r="F20" i="25"/>
  <c r="D20" i="54" s="1"/>
  <c r="F235" i="25"/>
  <c r="D235" i="54" s="1"/>
  <c r="F187" i="25"/>
  <c r="D187" i="54" s="1"/>
  <c r="F91" i="25"/>
  <c r="D91" i="54" s="1"/>
  <c r="F43" i="25"/>
  <c r="D43" i="54" s="1"/>
  <c r="F295" i="25"/>
  <c r="D295" i="54" s="1"/>
  <c r="F308" i="25"/>
  <c r="D308" i="54" s="1"/>
  <c r="F257" i="25"/>
  <c r="D257" i="54" s="1"/>
  <c r="F161" i="25"/>
  <c r="D161" i="54" s="1"/>
  <c r="F113" i="25"/>
  <c r="D113" i="54" s="1"/>
  <c r="F49" i="25"/>
  <c r="D49" i="54" s="1"/>
  <c r="F17" i="25"/>
  <c r="D17" i="54" s="1"/>
  <c r="F234" i="25"/>
  <c r="D234" i="54" s="1"/>
  <c r="F218" i="25"/>
  <c r="D218" i="54" s="1"/>
  <c r="F170" i="25"/>
  <c r="D170" i="54" s="1"/>
  <c r="F154" i="25"/>
  <c r="D154" i="54" s="1"/>
  <c r="F122" i="25"/>
  <c r="D122" i="54" s="1"/>
  <c r="F90" i="25"/>
  <c r="D90" i="54" s="1"/>
  <c r="F42" i="25"/>
  <c r="D42" i="54" s="1"/>
  <c r="F285" i="25"/>
  <c r="D285" i="54" s="1"/>
  <c r="F76" i="25"/>
  <c r="D76" i="54" s="1"/>
  <c r="F60" i="25"/>
  <c r="D60" i="54" s="1"/>
  <c r="F44" i="25"/>
  <c r="D44" i="54" s="1"/>
  <c r="F28" i="25"/>
  <c r="D28" i="54" s="1"/>
  <c r="F12" i="25"/>
  <c r="D12" i="54" s="1"/>
  <c r="F227" i="25"/>
  <c r="D227" i="54" s="1"/>
  <c r="F211" i="25"/>
  <c r="D211" i="54" s="1"/>
  <c r="F163" i="25"/>
  <c r="D163" i="54" s="1"/>
  <c r="F147" i="25"/>
  <c r="D147" i="54" s="1"/>
  <c r="F67" i="25"/>
  <c r="D67" i="54" s="1"/>
  <c r="F51" i="25"/>
  <c r="D51" i="54" s="1"/>
  <c r="G325" i="34"/>
  <c r="H325" i="34" s="1"/>
  <c r="F22" i="48"/>
  <c r="F24" i="48" s="1"/>
  <c r="N4" i="11"/>
  <c r="G11" i="9"/>
  <c r="F6" i="25" s="1"/>
  <c r="D6" i="54" s="1"/>
  <c r="F320" i="9"/>
  <c r="O315" i="49"/>
  <c r="N56" i="11" l="1"/>
  <c r="N59" i="11"/>
  <c r="N90" i="11"/>
  <c r="N300" i="11"/>
  <c r="N277" i="11"/>
  <c r="N281" i="11"/>
  <c r="N70" i="11"/>
  <c r="N54" i="11"/>
  <c r="N217" i="11"/>
  <c r="N145" i="11"/>
  <c r="N242" i="11"/>
  <c r="N220" i="11"/>
  <c r="N204" i="11"/>
  <c r="N268" i="11"/>
  <c r="N237" i="11"/>
  <c r="N187" i="11"/>
  <c r="N15" i="11"/>
  <c r="N312" i="11"/>
  <c r="N55" i="11"/>
  <c r="N156" i="11"/>
  <c r="N125" i="11"/>
  <c r="N194" i="11"/>
  <c r="N173" i="11"/>
  <c r="N113" i="11"/>
  <c r="N64" i="11"/>
  <c r="N263" i="11"/>
  <c r="N92" i="11"/>
  <c r="N127" i="11"/>
  <c r="N243" i="11"/>
  <c r="N45" i="11"/>
  <c r="N128" i="11"/>
  <c r="N205" i="11"/>
  <c r="N48" i="11"/>
  <c r="N288" i="11"/>
  <c r="N251" i="11"/>
  <c r="N203" i="11"/>
  <c r="N196" i="11"/>
  <c r="N279" i="11"/>
  <c r="N108" i="11"/>
  <c r="N180" i="11"/>
  <c r="N218" i="11"/>
  <c r="N229" i="11"/>
  <c r="N39" i="11"/>
  <c r="N247" i="11"/>
  <c r="N66" i="11"/>
  <c r="N195" i="11"/>
  <c r="N172" i="11"/>
  <c r="N306" i="11"/>
  <c r="N221" i="11"/>
  <c r="N94" i="11"/>
  <c r="N244" i="11"/>
  <c r="N238" i="11"/>
  <c r="N104" i="11"/>
  <c r="N313" i="11"/>
  <c r="N290" i="11"/>
  <c r="N169" i="11"/>
  <c r="N101" i="11"/>
  <c r="N207" i="11"/>
  <c r="N311" i="11"/>
  <c r="N160" i="11"/>
  <c r="N41" i="11"/>
  <c r="N266" i="11"/>
  <c r="N193" i="11"/>
  <c r="N148" i="11"/>
  <c r="N12" i="11"/>
  <c r="N32" i="11"/>
  <c r="N134" i="11"/>
  <c r="N79" i="11"/>
  <c r="N192" i="11"/>
  <c r="N22" i="11"/>
  <c r="N25" i="11"/>
  <c r="N6" i="11"/>
  <c r="N212" i="11"/>
  <c r="N26" i="11"/>
  <c r="N219" i="11"/>
  <c r="N287" i="11"/>
  <c r="N27" i="11"/>
  <c r="N121" i="11"/>
  <c r="N149" i="11"/>
  <c r="N57" i="11"/>
  <c r="N305" i="11"/>
  <c r="N222" i="11"/>
  <c r="N33" i="11"/>
  <c r="N137" i="11"/>
  <c r="N294" i="11"/>
  <c r="N295" i="11"/>
  <c r="N136" i="11"/>
  <c r="N252" i="11"/>
  <c r="N303" i="11"/>
  <c r="N100" i="11"/>
  <c r="N73" i="11"/>
  <c r="N40" i="11"/>
  <c r="N139" i="11"/>
  <c r="N120" i="11"/>
  <c r="N278" i="11"/>
  <c r="N257" i="11"/>
  <c r="N150" i="11"/>
  <c r="N49" i="11"/>
  <c r="N253" i="11"/>
  <c r="N232" i="11"/>
  <c r="N293" i="11"/>
  <c r="N270" i="11"/>
  <c r="N241" i="11"/>
  <c r="N28" i="11"/>
  <c r="N308" i="11"/>
  <c r="N228" i="11"/>
  <c r="N14" i="11"/>
  <c r="N285" i="11"/>
  <c r="N51" i="11"/>
  <c r="N234" i="11"/>
  <c r="N151" i="11"/>
  <c r="N11" i="11"/>
  <c r="N20" i="11"/>
  <c r="N96" i="11"/>
  <c r="N47" i="11"/>
  <c r="N106" i="11"/>
  <c r="N240" i="11"/>
  <c r="N83" i="11"/>
  <c r="N80" i="11"/>
  <c r="N155" i="11"/>
  <c r="N138" i="11"/>
  <c r="N227" i="11"/>
  <c r="N132" i="11"/>
  <c r="N44" i="11"/>
  <c r="N115" i="11"/>
  <c r="N112" i="11"/>
  <c r="N21" i="11"/>
  <c r="N129" i="11"/>
  <c r="N276" i="11"/>
  <c r="N216" i="11"/>
  <c r="N110" i="11"/>
  <c r="N93" i="11"/>
  <c r="N226" i="11"/>
  <c r="N157" i="11"/>
  <c r="N81" i="11"/>
  <c r="N75" i="11"/>
  <c r="N291" i="11"/>
  <c r="N124" i="11"/>
  <c r="N62" i="11"/>
  <c r="N275" i="11"/>
  <c r="N301" i="11"/>
  <c r="N201" i="11"/>
  <c r="N126" i="11"/>
  <c r="N310" i="11"/>
  <c r="N206" i="11"/>
  <c r="N230" i="11"/>
  <c r="N76" i="11"/>
  <c r="N52" i="11"/>
  <c r="N210" i="11"/>
  <c r="N283" i="11"/>
  <c r="N208" i="11"/>
  <c r="N67" i="11"/>
  <c r="N199" i="11"/>
  <c r="N63" i="11"/>
  <c r="N258" i="11"/>
  <c r="N29" i="11"/>
  <c r="N140" i="11"/>
  <c r="N264" i="11"/>
  <c r="N171" i="11"/>
  <c r="N213" i="11"/>
  <c r="N97" i="11"/>
  <c r="N292" i="11"/>
  <c r="N200" i="11"/>
  <c r="N78" i="11"/>
  <c r="N231" i="11"/>
  <c r="N153" i="11"/>
  <c r="N111" i="11"/>
  <c r="N143" i="11"/>
  <c r="N260" i="11"/>
  <c r="N144" i="11"/>
  <c r="N30" i="11"/>
  <c r="N250" i="11"/>
  <c r="N177" i="11"/>
  <c r="N190" i="11"/>
  <c r="N58" i="11"/>
  <c r="N107" i="11"/>
  <c r="N102" i="11"/>
  <c r="N23" i="11"/>
  <c r="N46" i="11"/>
  <c r="N183" i="11"/>
  <c r="N159" i="11"/>
  <c r="N68" i="11"/>
  <c r="N87" i="11"/>
  <c r="N65" i="11"/>
  <c r="N82" i="11"/>
  <c r="N152" i="11"/>
  <c r="N36" i="11"/>
  <c r="N69" i="11"/>
  <c r="N175" i="11"/>
  <c r="N191" i="11"/>
  <c r="N202" i="11"/>
  <c r="N215" i="11"/>
  <c r="N133" i="11"/>
  <c r="N239" i="11"/>
  <c r="N302" i="11"/>
  <c r="N170" i="11"/>
  <c r="N298" i="11"/>
  <c r="N167" i="11"/>
  <c r="N122" i="11"/>
  <c r="N9" i="11"/>
  <c r="N35" i="11"/>
  <c r="N256" i="11"/>
  <c r="N154" i="11"/>
  <c r="N262" i="11"/>
  <c r="N224" i="11"/>
  <c r="N182" i="11"/>
  <c r="N19" i="11"/>
  <c r="N236" i="11"/>
  <c r="N211" i="11"/>
  <c r="N309" i="11"/>
  <c r="N254" i="11"/>
  <c r="N225" i="11"/>
  <c r="N53" i="11"/>
  <c r="N284" i="11"/>
  <c r="N163" i="11"/>
  <c r="N188" i="11"/>
  <c r="N7" i="11"/>
  <c r="N162" i="11"/>
  <c r="N189" i="11"/>
  <c r="N123" i="11"/>
  <c r="N114" i="11"/>
  <c r="N91" i="11"/>
  <c r="N296" i="11"/>
  <c r="N245" i="11"/>
  <c r="N147" i="11"/>
  <c r="N273" i="11"/>
  <c r="N198" i="11"/>
  <c r="N50" i="11"/>
  <c r="N77" i="11"/>
  <c r="N178" i="11"/>
  <c r="N223" i="11"/>
  <c r="N166" i="11"/>
  <c r="N119" i="11"/>
  <c r="N109" i="11"/>
  <c r="N146" i="11"/>
  <c r="N186" i="11"/>
  <c r="N246" i="11"/>
  <c r="N179" i="11"/>
  <c r="N214" i="11"/>
  <c r="N34" i="11"/>
  <c r="N95" i="11"/>
  <c r="N259" i="11"/>
  <c r="N141" i="11"/>
  <c r="N60" i="11"/>
  <c r="N13" i="11"/>
  <c r="N307" i="11"/>
  <c r="N174" i="11"/>
  <c r="N88" i="11"/>
  <c r="N297" i="11"/>
  <c r="N235" i="11"/>
  <c r="N185" i="11"/>
  <c r="N61" i="11"/>
  <c r="N272" i="11"/>
  <c r="N271" i="11"/>
  <c r="N176" i="11"/>
  <c r="N117" i="11"/>
  <c r="N282" i="11"/>
  <c r="N209" i="11"/>
  <c r="N165" i="11"/>
  <c r="N31" i="11"/>
  <c r="N164" i="11"/>
  <c r="N299" i="11"/>
  <c r="N158" i="11"/>
  <c r="N181" i="11"/>
  <c r="N103" i="11"/>
  <c r="N98" i="11"/>
  <c r="N168" i="11"/>
  <c r="N85" i="11"/>
  <c r="N197" i="11"/>
  <c r="N135" i="11"/>
  <c r="N304" i="11"/>
  <c r="N184" i="11"/>
  <c r="N99" i="11"/>
  <c r="N24" i="11"/>
  <c r="N289" i="11"/>
  <c r="N142" i="11"/>
  <c r="N71" i="11"/>
  <c r="N37" i="11"/>
  <c r="N118" i="11"/>
  <c r="N8" i="11"/>
  <c r="N233" i="11"/>
  <c r="N161" i="11"/>
  <c r="N255" i="11"/>
  <c r="N84" i="11"/>
  <c r="N105" i="11"/>
  <c r="N86" i="11"/>
  <c r="N38" i="11"/>
  <c r="N72" i="11"/>
  <c r="N10" i="11"/>
  <c r="N18" i="11"/>
  <c r="N116" i="11"/>
  <c r="N17" i="11"/>
  <c r="N269" i="11"/>
  <c r="N265" i="11"/>
  <c r="N267" i="11"/>
  <c r="N43" i="11"/>
  <c r="N16" i="11"/>
  <c r="N248" i="11"/>
  <c r="N286" i="11"/>
  <c r="N42" i="11"/>
  <c r="N89" i="11"/>
  <c r="N274" i="11"/>
  <c r="N74" i="11"/>
  <c r="N280" i="11"/>
  <c r="N261" i="11"/>
  <c r="N249" i="11"/>
  <c r="N131" i="11"/>
  <c r="N130" i="11"/>
  <c r="E147" i="54"/>
  <c r="E163" i="54"/>
  <c r="E28" i="54"/>
  <c r="E285" i="54"/>
  <c r="E154" i="54"/>
  <c r="E17" i="54"/>
  <c r="E257" i="54"/>
  <c r="E20" i="54"/>
  <c r="E196" i="54"/>
  <c r="E8" i="54"/>
  <c r="E166" i="54"/>
  <c r="E230" i="54"/>
  <c r="E61" i="54"/>
  <c r="E125" i="54"/>
  <c r="E275" i="54"/>
  <c r="E202" i="54"/>
  <c r="E81" i="54"/>
  <c r="E276" i="54"/>
  <c r="E155" i="54"/>
  <c r="E251" i="54"/>
  <c r="E282" i="54"/>
  <c r="E25" i="54"/>
  <c r="E169" i="54"/>
  <c r="E23" i="54"/>
  <c r="E71" i="54"/>
  <c r="E119" i="54"/>
  <c r="E231" i="54"/>
  <c r="E247" i="54"/>
  <c r="E310" i="54"/>
  <c r="E75" i="54"/>
  <c r="E52" i="54"/>
  <c r="E260" i="54"/>
  <c r="E309" i="54"/>
  <c r="E226" i="54"/>
  <c r="E105" i="54"/>
  <c r="E287" i="54"/>
  <c r="E222" i="54"/>
  <c r="E270" i="54"/>
  <c r="E21" i="54"/>
  <c r="E197" i="54"/>
  <c r="E261" i="54"/>
  <c r="E31" i="54"/>
  <c r="E47" i="54"/>
  <c r="E127" i="54"/>
  <c r="E143" i="54"/>
  <c r="E24" i="54"/>
  <c r="E104" i="54"/>
  <c r="E152" i="54"/>
  <c r="E168" i="54"/>
  <c r="E216" i="54"/>
  <c r="E302" i="54"/>
  <c r="E210" i="54"/>
  <c r="E301" i="54"/>
  <c r="E69" i="54"/>
  <c r="E157" i="54"/>
  <c r="E203" i="54"/>
  <c r="E305" i="54"/>
  <c r="E92" i="54"/>
  <c r="E140" i="54"/>
  <c r="E268" i="54"/>
  <c r="E213" i="54"/>
  <c r="E245" i="54"/>
  <c r="E62" i="54"/>
  <c r="E53" i="54"/>
  <c r="E204" i="54"/>
  <c r="E87" i="54"/>
  <c r="E112" i="54"/>
  <c r="E176" i="54"/>
  <c r="E256" i="54"/>
  <c r="E304" i="54"/>
  <c r="E117" i="54"/>
  <c r="E133" i="54"/>
  <c r="E259" i="54"/>
  <c r="E54" i="54"/>
  <c r="E19" i="54"/>
  <c r="E274" i="54"/>
  <c r="E159" i="54"/>
  <c r="E145" i="54"/>
  <c r="D315" i="54"/>
  <c r="E51" i="54"/>
  <c r="E67" i="54"/>
  <c r="E12" i="54"/>
  <c r="E76" i="54"/>
  <c r="E122" i="54"/>
  <c r="E234" i="54"/>
  <c r="E161" i="54"/>
  <c r="E295" i="54"/>
  <c r="E235" i="54"/>
  <c r="E164" i="54"/>
  <c r="E298" i="54"/>
  <c r="E150" i="54"/>
  <c r="E214" i="54"/>
  <c r="E262" i="54"/>
  <c r="E29" i="54"/>
  <c r="E109" i="54"/>
  <c r="E189" i="54"/>
  <c r="E74" i="54"/>
  <c r="E138" i="54"/>
  <c r="E33" i="54"/>
  <c r="E279" i="54"/>
  <c r="E132" i="54"/>
  <c r="E98" i="54"/>
  <c r="E130" i="54"/>
  <c r="E137" i="54"/>
  <c r="E183" i="54"/>
  <c r="E294" i="54"/>
  <c r="E106" i="54"/>
  <c r="E186" i="54"/>
  <c r="E241" i="54"/>
  <c r="E27" i="54"/>
  <c r="E212" i="54"/>
  <c r="E34" i="54"/>
  <c r="E50" i="54"/>
  <c r="E178" i="54"/>
  <c r="E7" i="54"/>
  <c r="E73" i="54"/>
  <c r="E142" i="54"/>
  <c r="E206" i="54"/>
  <c r="E254" i="54"/>
  <c r="E296" i="54"/>
  <c r="E191" i="54"/>
  <c r="E72" i="54"/>
  <c r="E88" i="54"/>
  <c r="E200" i="54"/>
  <c r="E264" i="54"/>
  <c r="E281" i="54"/>
  <c r="E286" i="54"/>
  <c r="E46" i="54"/>
  <c r="E37" i="54"/>
  <c r="E64" i="54"/>
  <c r="E188" i="54"/>
  <c r="E220" i="54"/>
  <c r="E181" i="54"/>
  <c r="E83" i="54"/>
  <c r="E149" i="54"/>
  <c r="E80" i="54"/>
  <c r="E237" i="54"/>
  <c r="E14" i="54"/>
  <c r="E229" i="54"/>
  <c r="E48" i="54"/>
  <c r="E156" i="54"/>
  <c r="E263" i="54"/>
  <c r="E193" i="54"/>
  <c r="E139" i="54"/>
  <c r="E160" i="54"/>
  <c r="E224" i="54"/>
  <c r="E240" i="54"/>
  <c r="E288" i="54"/>
  <c r="E131" i="54"/>
  <c r="E38" i="54"/>
  <c r="E211" i="54"/>
  <c r="E227" i="54"/>
  <c r="E60" i="54"/>
  <c r="E42" i="54"/>
  <c r="E90" i="54"/>
  <c r="E218" i="54"/>
  <c r="E113" i="54"/>
  <c r="E308" i="54"/>
  <c r="E187" i="54"/>
  <c r="E134" i="54"/>
  <c r="E198" i="54"/>
  <c r="E246" i="54"/>
  <c r="E93" i="54"/>
  <c r="E173" i="54"/>
  <c r="E269" i="54"/>
  <c r="E26" i="54"/>
  <c r="E225" i="54"/>
  <c r="E11" i="54"/>
  <c r="E59" i="54"/>
  <c r="E107" i="54"/>
  <c r="E84" i="54"/>
  <c r="E228" i="54"/>
  <c r="E277" i="54"/>
  <c r="E66" i="54"/>
  <c r="E242" i="54"/>
  <c r="E89" i="54"/>
  <c r="E201" i="54"/>
  <c r="E249" i="54"/>
  <c r="E303" i="54"/>
  <c r="E278" i="54"/>
  <c r="E58" i="54"/>
  <c r="E129" i="54"/>
  <c r="E292" i="54"/>
  <c r="E171" i="54"/>
  <c r="E219" i="54"/>
  <c r="E314" i="54"/>
  <c r="E146" i="54"/>
  <c r="E41" i="54"/>
  <c r="E153" i="54"/>
  <c r="E300" i="54"/>
  <c r="E110" i="54"/>
  <c r="E126" i="54"/>
  <c r="E174" i="54"/>
  <c r="E190" i="54"/>
  <c r="E165" i="54"/>
  <c r="E280" i="54"/>
  <c r="E15" i="54"/>
  <c r="E63" i="54"/>
  <c r="E79" i="54"/>
  <c r="E111" i="54"/>
  <c r="E271" i="54"/>
  <c r="E56" i="54"/>
  <c r="E120" i="54"/>
  <c r="E136" i="54"/>
  <c r="E184" i="54"/>
  <c r="E248" i="54"/>
  <c r="E217" i="54"/>
  <c r="E99" i="54"/>
  <c r="E32" i="54"/>
  <c r="E35" i="54"/>
  <c r="E95" i="54"/>
  <c r="E13" i="54"/>
  <c r="E103" i="54"/>
  <c r="E101" i="54"/>
  <c r="E78" i="54"/>
  <c r="E172" i="54"/>
  <c r="E236" i="54"/>
  <c r="E199" i="54"/>
  <c r="E299" i="54"/>
  <c r="E55" i="54"/>
  <c r="E179" i="54"/>
  <c r="E307" i="54"/>
  <c r="E45" i="54"/>
  <c r="E96" i="54"/>
  <c r="E144" i="54"/>
  <c r="E208" i="54"/>
  <c r="E273" i="54"/>
  <c r="E151" i="54"/>
  <c r="E205" i="54"/>
  <c r="E22" i="54"/>
  <c r="E86" i="54"/>
  <c r="E306" i="54"/>
  <c r="E289" i="54"/>
  <c r="E44" i="54"/>
  <c r="E170" i="54"/>
  <c r="E49" i="54"/>
  <c r="E43" i="54"/>
  <c r="E91" i="54"/>
  <c r="E68" i="54"/>
  <c r="E116" i="54"/>
  <c r="E244" i="54"/>
  <c r="E293" i="54"/>
  <c r="E102" i="54"/>
  <c r="E118" i="54"/>
  <c r="E182" i="54"/>
  <c r="E77" i="54"/>
  <c r="E141" i="54"/>
  <c r="E221" i="54"/>
  <c r="E253" i="54"/>
  <c r="E291" i="54"/>
  <c r="E250" i="54"/>
  <c r="E177" i="54"/>
  <c r="E36" i="54"/>
  <c r="E180" i="54"/>
  <c r="E18" i="54"/>
  <c r="E162" i="54"/>
  <c r="E194" i="54"/>
  <c r="E258" i="54"/>
  <c r="E57" i="54"/>
  <c r="E284" i="54"/>
  <c r="E272" i="54"/>
  <c r="E167" i="54"/>
  <c r="E10" i="54"/>
  <c r="E266" i="54"/>
  <c r="E65" i="54"/>
  <c r="E311" i="54"/>
  <c r="E123" i="54"/>
  <c r="E100" i="54"/>
  <c r="E148" i="54"/>
  <c r="E82" i="54"/>
  <c r="E114" i="54"/>
  <c r="E121" i="54"/>
  <c r="E185" i="54"/>
  <c r="E233" i="54"/>
  <c r="E265" i="54"/>
  <c r="E94" i="54"/>
  <c r="E158" i="54"/>
  <c r="E238" i="54"/>
  <c r="E85" i="54"/>
  <c r="E312" i="54"/>
  <c r="E283" i="54"/>
  <c r="E175" i="54"/>
  <c r="E207" i="54"/>
  <c r="E239" i="54"/>
  <c r="E255" i="54"/>
  <c r="E40" i="54"/>
  <c r="E232" i="54"/>
  <c r="E297" i="54"/>
  <c r="E313" i="54"/>
  <c r="E124" i="54"/>
  <c r="E135" i="54"/>
  <c r="E115" i="54"/>
  <c r="E243" i="54"/>
  <c r="E223" i="54"/>
  <c r="E30" i="54"/>
  <c r="E16" i="54"/>
  <c r="E97" i="54"/>
  <c r="E267" i="54"/>
  <c r="E108" i="54"/>
  <c r="E252" i="54"/>
  <c r="E209" i="54"/>
  <c r="E9" i="54"/>
  <c r="E128" i="54"/>
  <c r="E192" i="54"/>
  <c r="E39" i="54"/>
  <c r="E215" i="54"/>
  <c r="E195" i="54"/>
  <c r="E70" i="54"/>
  <c r="E290" i="54"/>
  <c r="E6" i="54"/>
  <c r="D60" i="48"/>
  <c r="D61" i="48" s="1"/>
  <c r="K6" i="54"/>
  <c r="K315" i="54" s="1"/>
  <c r="F60" i="48"/>
  <c r="F61" i="48" s="1"/>
  <c r="J217" i="11"/>
  <c r="J242" i="11"/>
  <c r="G15" i="34"/>
  <c r="D5" i="12"/>
  <c r="J168" i="11"/>
  <c r="J243" i="11"/>
  <c r="J46" i="11"/>
  <c r="J313" i="11"/>
  <c r="J311" i="11"/>
  <c r="J309" i="11"/>
  <c r="J307" i="11"/>
  <c r="J305" i="11"/>
  <c r="J303" i="11"/>
  <c r="J301" i="11"/>
  <c r="J299" i="11"/>
  <c r="J297" i="11"/>
  <c r="J295" i="11"/>
  <c r="J293" i="11"/>
  <c r="J291" i="11"/>
  <c r="J289" i="11"/>
  <c r="J287" i="11"/>
  <c r="J285" i="11"/>
  <c r="J283" i="11"/>
  <c r="J281" i="11"/>
  <c r="J279" i="11"/>
  <c r="J277" i="11"/>
  <c r="J275" i="11"/>
  <c r="J273" i="11"/>
  <c r="J271" i="11"/>
  <c r="J269" i="11"/>
  <c r="J267" i="11"/>
  <c r="J265" i="11"/>
  <c r="J263" i="11"/>
  <c r="J261" i="11"/>
  <c r="J259" i="11"/>
  <c r="J257" i="11"/>
  <c r="J255" i="11"/>
  <c r="J253" i="11"/>
  <c r="J251" i="11"/>
  <c r="J249" i="11"/>
  <c r="J247" i="11"/>
  <c r="J245" i="11"/>
  <c r="J241" i="11"/>
  <c r="J239" i="11"/>
  <c r="J237" i="11"/>
  <c r="J235" i="11"/>
  <c r="J233" i="11"/>
  <c r="J229" i="11"/>
  <c r="J225" i="11"/>
  <c r="J221" i="11"/>
  <c r="J216" i="11"/>
  <c r="J212" i="11"/>
  <c r="J208" i="11"/>
  <c r="J204" i="11"/>
  <c r="J232" i="11"/>
  <c r="J228" i="11"/>
  <c r="J224" i="11"/>
  <c r="J220" i="11"/>
  <c r="J215" i="11"/>
  <c r="J211" i="11"/>
  <c r="J207" i="11"/>
  <c r="J203" i="11"/>
  <c r="J201" i="11"/>
  <c r="J199" i="11"/>
  <c r="J197" i="11"/>
  <c r="J195" i="11"/>
  <c r="J193" i="11"/>
  <c r="J191" i="11"/>
  <c r="J189" i="11"/>
  <c r="J187" i="11"/>
  <c r="J185" i="11"/>
  <c r="J183" i="11"/>
  <c r="J181" i="11"/>
  <c r="J179" i="11"/>
  <c r="J177" i="11"/>
  <c r="J175" i="11"/>
  <c r="J173" i="11"/>
  <c r="J171" i="11"/>
  <c r="J169" i="11"/>
  <c r="J166" i="11"/>
  <c r="J164" i="11"/>
  <c r="J162" i="11"/>
  <c r="J160" i="11"/>
  <c r="J158" i="11"/>
  <c r="J156" i="11"/>
  <c r="J154" i="11"/>
  <c r="J152" i="11"/>
  <c r="J150" i="11"/>
  <c r="J148" i="11"/>
  <c r="J146" i="11"/>
  <c r="J144" i="11"/>
  <c r="J142" i="11"/>
  <c r="J140" i="11"/>
  <c r="J138" i="11"/>
  <c r="J136" i="11"/>
  <c r="J134" i="11"/>
  <c r="J132" i="11"/>
  <c r="J130" i="11"/>
  <c r="J128" i="11"/>
  <c r="J126" i="11"/>
  <c r="J124" i="11"/>
  <c r="J123" i="11"/>
  <c r="J121" i="11"/>
  <c r="J119" i="11"/>
  <c r="J117" i="11"/>
  <c r="J115" i="11"/>
  <c r="J113" i="11"/>
  <c r="J111" i="11"/>
  <c r="J109" i="11"/>
  <c r="J107" i="11"/>
  <c r="J105" i="11"/>
  <c r="J103" i="11"/>
  <c r="J101" i="11"/>
  <c r="J99" i="11"/>
  <c r="J122" i="11"/>
  <c r="J120" i="11"/>
  <c r="J118" i="11"/>
  <c r="J116" i="11"/>
  <c r="J114" i="11"/>
  <c r="J112" i="11"/>
  <c r="J110" i="11"/>
  <c r="J108" i="11"/>
  <c r="J106" i="11"/>
  <c r="J104" i="11"/>
  <c r="J102" i="11"/>
  <c r="J100" i="11"/>
  <c r="J98" i="11"/>
  <c r="J94" i="11"/>
  <c r="J90" i="11"/>
  <c r="J86" i="11"/>
  <c r="J84" i="11"/>
  <c r="J82" i="11"/>
  <c r="J80" i="11"/>
  <c r="J78" i="11"/>
  <c r="J76" i="11"/>
  <c r="J74" i="11"/>
  <c r="J72" i="11"/>
  <c r="J70" i="11"/>
  <c r="J68" i="11"/>
  <c r="J66" i="11"/>
  <c r="J64" i="11"/>
  <c r="J62" i="11"/>
  <c r="J60" i="11"/>
  <c r="J58" i="11"/>
  <c r="J56" i="11"/>
  <c r="J54" i="11"/>
  <c r="J52" i="11"/>
  <c r="J50" i="11"/>
  <c r="J48" i="11"/>
  <c r="J97" i="11"/>
  <c r="J93" i="11"/>
  <c r="J89" i="11"/>
  <c r="J85" i="11"/>
  <c r="J83" i="11"/>
  <c r="J81" i="11"/>
  <c r="J79" i="11"/>
  <c r="J77" i="11"/>
  <c r="J75" i="11"/>
  <c r="J73" i="11"/>
  <c r="J71" i="11"/>
  <c r="J69" i="11"/>
  <c r="J67" i="11"/>
  <c r="J65" i="11"/>
  <c r="J63" i="11"/>
  <c r="J61" i="11"/>
  <c r="J59" i="11"/>
  <c r="J57" i="11"/>
  <c r="J55" i="11"/>
  <c r="J53" i="11"/>
  <c r="J51" i="11"/>
  <c r="J49" i="11"/>
  <c r="J47" i="11"/>
  <c r="J44" i="11"/>
  <c r="J42" i="11"/>
  <c r="J40" i="11"/>
  <c r="J38" i="11"/>
  <c r="J36" i="11"/>
  <c r="J45" i="11"/>
  <c r="J32" i="11"/>
  <c r="J28" i="11"/>
  <c r="J24" i="11"/>
  <c r="J33" i="11"/>
  <c r="J29" i="11"/>
  <c r="J25" i="11"/>
  <c r="J22" i="11"/>
  <c r="J20" i="11"/>
  <c r="J19" i="11"/>
  <c r="J17" i="11"/>
  <c r="J15" i="11"/>
  <c r="J13" i="11"/>
  <c r="J11" i="11"/>
  <c r="J9" i="11"/>
  <c r="J7" i="11"/>
  <c r="J312" i="11"/>
  <c r="J310" i="11"/>
  <c r="J308" i="11"/>
  <c r="J306" i="11"/>
  <c r="J304" i="11"/>
  <c r="J302" i="11"/>
  <c r="J300" i="11"/>
  <c r="J298" i="11"/>
  <c r="J296" i="11"/>
  <c r="J294" i="11"/>
  <c r="J292" i="11"/>
  <c r="J290" i="11"/>
  <c r="J288" i="11"/>
  <c r="J286" i="11"/>
  <c r="J284" i="11"/>
  <c r="J282" i="11"/>
  <c r="J280" i="11"/>
  <c r="J278" i="11"/>
  <c r="J276" i="11"/>
  <c r="J274" i="11"/>
  <c r="J272" i="11"/>
  <c r="J270" i="11"/>
  <c r="J268" i="11"/>
  <c r="J266" i="11"/>
  <c r="J264" i="11"/>
  <c r="J262" i="11"/>
  <c r="J260" i="11"/>
  <c r="J258" i="11"/>
  <c r="J256" i="11"/>
  <c r="J254" i="11"/>
  <c r="J252" i="11"/>
  <c r="J250" i="11"/>
  <c r="J248" i="11"/>
  <c r="J246" i="11"/>
  <c r="J244" i="11"/>
  <c r="J240" i="11"/>
  <c r="J238" i="11"/>
  <c r="J236" i="11"/>
  <c r="J234" i="11"/>
  <c r="J231" i="11"/>
  <c r="J227" i="11"/>
  <c r="J223" i="11"/>
  <c r="J219" i="11"/>
  <c r="J214" i="11"/>
  <c r="J210" i="11"/>
  <c r="J206" i="11"/>
  <c r="J202" i="11"/>
  <c r="J200" i="11"/>
  <c r="J198" i="11"/>
  <c r="J196" i="11"/>
  <c r="J194" i="11"/>
  <c r="J192" i="11"/>
  <c r="J190" i="11"/>
  <c r="J188" i="11"/>
  <c r="J186" i="11"/>
  <c r="J184" i="11"/>
  <c r="J182" i="11"/>
  <c r="J180" i="11"/>
  <c r="J178" i="11"/>
  <c r="J176" i="11"/>
  <c r="J174" i="11"/>
  <c r="J172" i="11"/>
  <c r="J170" i="11"/>
  <c r="J167" i="11"/>
  <c r="J165" i="11"/>
  <c r="J163" i="11"/>
  <c r="J161" i="11"/>
  <c r="J159" i="11"/>
  <c r="J157" i="11"/>
  <c r="J155" i="11"/>
  <c r="J153" i="11"/>
  <c r="J151" i="11"/>
  <c r="J149" i="11"/>
  <c r="J147" i="11"/>
  <c r="J145" i="11"/>
  <c r="J143" i="11"/>
  <c r="J141" i="11"/>
  <c r="J139" i="11"/>
  <c r="J137" i="11"/>
  <c r="J135" i="11"/>
  <c r="J133" i="11"/>
  <c r="J131" i="11"/>
  <c r="J129" i="11"/>
  <c r="J127" i="11"/>
  <c r="J230" i="11"/>
  <c r="J226" i="11"/>
  <c r="J222" i="11"/>
  <c r="J218" i="11"/>
  <c r="J213" i="11"/>
  <c r="J209" i="11"/>
  <c r="J205" i="11"/>
  <c r="J125" i="11"/>
  <c r="J96" i="11"/>
  <c r="J92" i="11"/>
  <c r="J88" i="11"/>
  <c r="J95" i="11"/>
  <c r="J91" i="11"/>
  <c r="J87" i="11"/>
  <c r="J34" i="11"/>
  <c r="J43" i="11"/>
  <c r="J41" i="11"/>
  <c r="J39" i="11"/>
  <c r="J37" i="11"/>
  <c r="J35" i="11"/>
  <c r="J30" i="11"/>
  <c r="J26" i="11"/>
  <c r="J23" i="11"/>
  <c r="J21" i="11"/>
  <c r="J18" i="11"/>
  <c r="J16" i="11"/>
  <c r="J14" i="11"/>
  <c r="J12" i="11"/>
  <c r="J10" i="11"/>
  <c r="J8" i="11"/>
  <c r="J6" i="11"/>
  <c r="J31" i="11"/>
  <c r="J27" i="11"/>
  <c r="N5" i="11"/>
  <c r="J5" i="11"/>
  <c r="D5" i="39"/>
  <c r="G320" i="9"/>
  <c r="O43" i="11" l="1"/>
  <c r="F43" i="39" s="1"/>
  <c r="O72" i="11"/>
  <c r="P72" i="11" s="1"/>
  <c r="O184" i="11"/>
  <c r="F184" i="12" s="1"/>
  <c r="O181" i="11"/>
  <c r="F181" i="39" s="1"/>
  <c r="O117" i="11"/>
  <c r="P117" i="11" s="1"/>
  <c r="O88" i="11"/>
  <c r="F88" i="12" s="1"/>
  <c r="O34" i="11"/>
  <c r="F34" i="12" s="1"/>
  <c r="O166" i="11"/>
  <c r="O188" i="11"/>
  <c r="P188" i="11" s="1"/>
  <c r="O236" i="11"/>
  <c r="F236" i="12" s="1"/>
  <c r="O9" i="11"/>
  <c r="F9" i="39" s="1"/>
  <c r="O107" i="11"/>
  <c r="O143" i="11"/>
  <c r="F143" i="39" s="1"/>
  <c r="O75" i="11"/>
  <c r="F75" i="12" s="1"/>
  <c r="O129" i="11"/>
  <c r="P129" i="11" s="1"/>
  <c r="O155" i="11"/>
  <c r="O11" i="11"/>
  <c r="P11" i="11" s="1"/>
  <c r="O28" i="11"/>
  <c r="F28" i="12" s="1"/>
  <c r="O257" i="11"/>
  <c r="F257" i="39" s="1"/>
  <c r="O252" i="11"/>
  <c r="O57" i="11"/>
  <c r="P57" i="11" s="1"/>
  <c r="O6" i="11"/>
  <c r="F6" i="12" s="1"/>
  <c r="O148" i="11"/>
  <c r="F148" i="39" s="1"/>
  <c r="O169" i="11"/>
  <c r="O306" i="11"/>
  <c r="P306" i="11" s="1"/>
  <c r="O205" i="11"/>
  <c r="P205" i="11" s="1"/>
  <c r="O187" i="11"/>
  <c r="F187" i="12" s="1"/>
  <c r="O8" i="11"/>
  <c r="O65" i="11"/>
  <c r="F65" i="39" s="1"/>
  <c r="O113" i="11"/>
  <c r="F113" i="12" s="1"/>
  <c r="O215" i="11"/>
  <c r="F215" i="12" s="1"/>
  <c r="O180" i="11"/>
  <c r="F180" i="39" s="1"/>
  <c r="O310" i="11"/>
  <c r="F310" i="39" s="1"/>
  <c r="O67" i="11"/>
  <c r="O74" i="11"/>
  <c r="O267" i="11"/>
  <c r="O38" i="11"/>
  <c r="O118" i="11"/>
  <c r="O304" i="11"/>
  <c r="O158" i="11"/>
  <c r="O176" i="11"/>
  <c r="O174" i="11"/>
  <c r="O214" i="11"/>
  <c r="O223" i="11"/>
  <c r="O296" i="11"/>
  <c r="O163" i="11"/>
  <c r="O19" i="11"/>
  <c r="O122" i="11"/>
  <c r="O202" i="11"/>
  <c r="O87" i="11"/>
  <c r="O58" i="11"/>
  <c r="O111" i="11"/>
  <c r="O171" i="11"/>
  <c r="O208" i="11"/>
  <c r="O126" i="11"/>
  <c r="O81" i="11"/>
  <c r="O21" i="11"/>
  <c r="O80" i="11"/>
  <c r="O151" i="11"/>
  <c r="O241" i="11"/>
  <c r="O278" i="11"/>
  <c r="O136" i="11"/>
  <c r="O149" i="11"/>
  <c r="O25" i="11"/>
  <c r="O193" i="11"/>
  <c r="O290" i="11"/>
  <c r="O172" i="11"/>
  <c r="O108" i="11"/>
  <c r="O128" i="11"/>
  <c r="O173" i="11"/>
  <c r="O237" i="11"/>
  <c r="O70" i="11"/>
  <c r="P9" i="11"/>
  <c r="F180" i="12"/>
  <c r="O274" i="11"/>
  <c r="O265" i="11"/>
  <c r="O86" i="11"/>
  <c r="O37" i="11"/>
  <c r="O135" i="11"/>
  <c r="O299" i="11"/>
  <c r="O271" i="11"/>
  <c r="O307" i="11"/>
  <c r="O179" i="11"/>
  <c r="O178" i="11"/>
  <c r="O91" i="11"/>
  <c r="O284" i="11"/>
  <c r="O182" i="11"/>
  <c r="O167" i="11"/>
  <c r="O191" i="11"/>
  <c r="O68" i="11"/>
  <c r="O190" i="11"/>
  <c r="O153" i="11"/>
  <c r="O264" i="11"/>
  <c r="O283" i="11"/>
  <c r="O201" i="11"/>
  <c r="O157" i="11"/>
  <c r="O112" i="11"/>
  <c r="O83" i="11"/>
  <c r="O234" i="11"/>
  <c r="O270" i="11"/>
  <c r="O120" i="11"/>
  <c r="O295" i="11"/>
  <c r="O121" i="11"/>
  <c r="O22" i="11"/>
  <c r="O266" i="11"/>
  <c r="O313" i="11"/>
  <c r="O195" i="11"/>
  <c r="O279" i="11"/>
  <c r="O45" i="11"/>
  <c r="O194" i="11"/>
  <c r="O268" i="11"/>
  <c r="O281" i="11"/>
  <c r="O280" i="11"/>
  <c r="P75" i="11"/>
  <c r="F252" i="39"/>
  <c r="F252" i="12"/>
  <c r="P252" i="11"/>
  <c r="F205" i="39"/>
  <c r="O89" i="11"/>
  <c r="O269" i="11"/>
  <c r="O105" i="11"/>
  <c r="O71" i="11"/>
  <c r="O197" i="11"/>
  <c r="O164" i="11"/>
  <c r="O272" i="11"/>
  <c r="O13" i="11"/>
  <c r="O246" i="11"/>
  <c r="O77" i="11"/>
  <c r="O114" i="11"/>
  <c r="O53" i="11"/>
  <c r="O224" i="11"/>
  <c r="O298" i="11"/>
  <c r="O175" i="11"/>
  <c r="O159" i="11"/>
  <c r="O177" i="11"/>
  <c r="O231" i="11"/>
  <c r="O140" i="11"/>
  <c r="O210" i="11"/>
  <c r="O301" i="11"/>
  <c r="O226" i="11"/>
  <c r="O115" i="11"/>
  <c r="O240" i="11"/>
  <c r="O51" i="11"/>
  <c r="O293" i="11"/>
  <c r="O139" i="11"/>
  <c r="O294" i="11"/>
  <c r="O27" i="11"/>
  <c r="O192" i="11"/>
  <c r="O41" i="11"/>
  <c r="O104" i="11"/>
  <c r="O66" i="11"/>
  <c r="O196" i="11"/>
  <c r="O243" i="11"/>
  <c r="O125" i="11"/>
  <c r="O204" i="11"/>
  <c r="O277" i="11"/>
  <c r="P236" i="11"/>
  <c r="F236" i="39"/>
  <c r="O213" i="11"/>
  <c r="F11" i="39"/>
  <c r="O54" i="11"/>
  <c r="O130" i="11"/>
  <c r="O42" i="11"/>
  <c r="O17" i="11"/>
  <c r="O84" i="11"/>
  <c r="O142" i="11"/>
  <c r="O85" i="11"/>
  <c r="O31" i="11"/>
  <c r="O61" i="11"/>
  <c r="O60" i="11"/>
  <c r="O186" i="11"/>
  <c r="O50" i="11"/>
  <c r="O123" i="11"/>
  <c r="O225" i="11"/>
  <c r="O262" i="11"/>
  <c r="O170" i="11"/>
  <c r="O69" i="11"/>
  <c r="O183" i="11"/>
  <c r="O250" i="11"/>
  <c r="O78" i="11"/>
  <c r="O29" i="11"/>
  <c r="O52" i="11"/>
  <c r="O275" i="11"/>
  <c r="O93" i="11"/>
  <c r="O44" i="11"/>
  <c r="O106" i="11"/>
  <c r="O285" i="11"/>
  <c r="O232" i="11"/>
  <c r="O40" i="11"/>
  <c r="O137" i="11"/>
  <c r="O287" i="11"/>
  <c r="O79" i="11"/>
  <c r="O160" i="11"/>
  <c r="O238" i="11"/>
  <c r="O247" i="11"/>
  <c r="O203" i="11"/>
  <c r="O127" i="11"/>
  <c r="O156" i="11"/>
  <c r="O220" i="11"/>
  <c r="O300" i="11"/>
  <c r="F72" i="12"/>
  <c r="F166" i="39"/>
  <c r="F166" i="12"/>
  <c r="P166" i="11"/>
  <c r="F155" i="39"/>
  <c r="P155" i="11"/>
  <c r="F155" i="12"/>
  <c r="P113" i="11"/>
  <c r="F113" i="39"/>
  <c r="O131" i="11"/>
  <c r="O286" i="11"/>
  <c r="O116" i="11"/>
  <c r="O255" i="11"/>
  <c r="O289" i="11"/>
  <c r="O168" i="11"/>
  <c r="O165" i="11"/>
  <c r="O185" i="11"/>
  <c r="O141" i="11"/>
  <c r="O146" i="11"/>
  <c r="O198" i="11"/>
  <c r="O189" i="11"/>
  <c r="O254" i="11"/>
  <c r="O154" i="11"/>
  <c r="O302" i="11"/>
  <c r="O36" i="11"/>
  <c r="O46" i="11"/>
  <c r="O30" i="11"/>
  <c r="O200" i="11"/>
  <c r="O258" i="11"/>
  <c r="O76" i="11"/>
  <c r="O62" i="11"/>
  <c r="O110" i="11"/>
  <c r="O132" i="11"/>
  <c r="O47" i="11"/>
  <c r="O14" i="11"/>
  <c r="O253" i="11"/>
  <c r="O73" i="11"/>
  <c r="O33" i="11"/>
  <c r="O219" i="11"/>
  <c r="O134" i="11"/>
  <c r="O311" i="11"/>
  <c r="O244" i="11"/>
  <c r="O39" i="11"/>
  <c r="O251" i="11"/>
  <c r="O92" i="11"/>
  <c r="O55" i="11"/>
  <c r="O242" i="11"/>
  <c r="O90" i="11"/>
  <c r="F169" i="39"/>
  <c r="F169" i="12"/>
  <c r="P169" i="11"/>
  <c r="O249" i="11"/>
  <c r="O248" i="11"/>
  <c r="O18" i="11"/>
  <c r="O161" i="11"/>
  <c r="O24" i="11"/>
  <c r="O98" i="11"/>
  <c r="O209" i="11"/>
  <c r="O235" i="11"/>
  <c r="O259" i="11"/>
  <c r="O109" i="11"/>
  <c r="O273" i="11"/>
  <c r="O162" i="11"/>
  <c r="O309" i="11"/>
  <c r="O256" i="11"/>
  <c r="O239" i="11"/>
  <c r="O152" i="11"/>
  <c r="O23" i="11"/>
  <c r="O144" i="11"/>
  <c r="O292" i="11"/>
  <c r="O63" i="11"/>
  <c r="O230" i="11"/>
  <c r="O124" i="11"/>
  <c r="O216" i="11"/>
  <c r="O227" i="11"/>
  <c r="O96" i="11"/>
  <c r="O228" i="11"/>
  <c r="O49" i="11"/>
  <c r="O100" i="11"/>
  <c r="O222" i="11"/>
  <c r="O26" i="11"/>
  <c r="O32" i="11"/>
  <c r="O207" i="11"/>
  <c r="O94" i="11"/>
  <c r="O229" i="11"/>
  <c r="O288" i="11"/>
  <c r="O263" i="11"/>
  <c r="O312" i="11"/>
  <c r="O145" i="11"/>
  <c r="O59" i="11"/>
  <c r="F8" i="39"/>
  <c r="P8" i="11"/>
  <c r="F8" i="12"/>
  <c r="O245" i="11"/>
  <c r="F107" i="12"/>
  <c r="P107" i="11"/>
  <c r="F107" i="39"/>
  <c r="F57" i="12"/>
  <c r="O261" i="11"/>
  <c r="O16" i="11"/>
  <c r="O10" i="11"/>
  <c r="O233" i="11"/>
  <c r="O99" i="11"/>
  <c r="O103" i="11"/>
  <c r="O282" i="11"/>
  <c r="O297" i="11"/>
  <c r="O95" i="11"/>
  <c r="O119" i="11"/>
  <c r="O147" i="11"/>
  <c r="O7" i="11"/>
  <c r="O211" i="11"/>
  <c r="O35" i="11"/>
  <c r="O133" i="11"/>
  <c r="O82" i="11"/>
  <c r="O102" i="11"/>
  <c r="O260" i="11"/>
  <c r="O97" i="11"/>
  <c r="O199" i="11"/>
  <c r="O206" i="11"/>
  <c r="O291" i="11"/>
  <c r="O276" i="11"/>
  <c r="O138" i="11"/>
  <c r="O20" i="11"/>
  <c r="O308" i="11"/>
  <c r="O150" i="11"/>
  <c r="O303" i="11"/>
  <c r="O305" i="11"/>
  <c r="O212" i="11"/>
  <c r="O12" i="11"/>
  <c r="O101" i="11"/>
  <c r="O221" i="11"/>
  <c r="O218" i="11"/>
  <c r="O48" i="11"/>
  <c r="O64" i="11"/>
  <c r="O15" i="11"/>
  <c r="O217" i="11"/>
  <c r="O56" i="11"/>
  <c r="N314" i="11"/>
  <c r="E33" i="48"/>
  <c r="E34" i="48"/>
  <c r="E315" i="54"/>
  <c r="D314" i="12"/>
  <c r="D314" i="39"/>
  <c r="O5" i="11"/>
  <c r="P5" i="11" s="1"/>
  <c r="J314" i="11"/>
  <c r="F315" i="25"/>
  <c r="F129" i="39" l="1"/>
  <c r="F28" i="39"/>
  <c r="F6" i="39"/>
  <c r="P187" i="11"/>
  <c r="P6" i="11"/>
  <c r="F72" i="39"/>
  <c r="F148" i="12"/>
  <c r="P257" i="11"/>
  <c r="P184" i="11"/>
  <c r="P65" i="11"/>
  <c r="F310" i="12"/>
  <c r="F306" i="12"/>
  <c r="F129" i="12"/>
  <c r="F75" i="39"/>
  <c r="F9" i="12"/>
  <c r="F215" i="39"/>
  <c r="F187" i="39"/>
  <c r="F184" i="39"/>
  <c r="F205" i="12"/>
  <c r="P34" i="11"/>
  <c r="P88" i="11"/>
  <c r="P28" i="11"/>
  <c r="F257" i="12"/>
  <c r="P148" i="11"/>
  <c r="F143" i="12"/>
  <c r="F65" i="12"/>
  <c r="F117" i="12"/>
  <c r="P143" i="11"/>
  <c r="F11" i="12"/>
  <c r="F117" i="39"/>
  <c r="F57" i="39"/>
  <c r="F43" i="12"/>
  <c r="F188" i="39"/>
  <c r="P43" i="11"/>
  <c r="F306" i="39"/>
  <c r="F188" i="12"/>
  <c r="P310" i="11"/>
  <c r="P215" i="11"/>
  <c r="F181" i="12"/>
  <c r="F34" i="39"/>
  <c r="P181" i="11"/>
  <c r="P180" i="11"/>
  <c r="F88" i="39"/>
  <c r="F102" i="39"/>
  <c r="P102" i="11"/>
  <c r="F102" i="12"/>
  <c r="P207" i="11"/>
  <c r="F207" i="39"/>
  <c r="F207" i="12"/>
  <c r="P235" i="11"/>
  <c r="F235" i="12"/>
  <c r="F235" i="39"/>
  <c r="F183" i="12"/>
  <c r="P183" i="11"/>
  <c r="F183" i="39"/>
  <c r="F27" i="12"/>
  <c r="F27" i="39"/>
  <c r="P27" i="11"/>
  <c r="P197" i="11"/>
  <c r="F197" i="12"/>
  <c r="F197" i="39"/>
  <c r="P86" i="11"/>
  <c r="F86" i="12"/>
  <c r="F86" i="39"/>
  <c r="P101" i="11"/>
  <c r="F101" i="39"/>
  <c r="F101" i="12"/>
  <c r="P59" i="11"/>
  <c r="F59" i="39"/>
  <c r="F59" i="12"/>
  <c r="P239" i="11"/>
  <c r="F239" i="39"/>
  <c r="F239" i="12"/>
  <c r="F110" i="39"/>
  <c r="P110" i="11"/>
  <c r="F110" i="12"/>
  <c r="F44" i="12"/>
  <c r="P44" i="11"/>
  <c r="F44" i="39"/>
  <c r="F61" i="12"/>
  <c r="P61" i="11"/>
  <c r="F61" i="39"/>
  <c r="P54" i="11"/>
  <c r="F54" i="12"/>
  <c r="F54" i="39"/>
  <c r="F125" i="39"/>
  <c r="P125" i="11"/>
  <c r="F125" i="12"/>
  <c r="F279" i="39"/>
  <c r="P279" i="11"/>
  <c r="F279" i="12"/>
  <c r="F153" i="39"/>
  <c r="F153" i="12"/>
  <c r="P153" i="11"/>
  <c r="F265" i="39"/>
  <c r="P265" i="11"/>
  <c r="F265" i="12"/>
  <c r="F108" i="39"/>
  <c r="F108" i="12"/>
  <c r="P108" i="11"/>
  <c r="P111" i="11"/>
  <c r="F111" i="12"/>
  <c r="F111" i="39"/>
  <c r="F133" i="39"/>
  <c r="P133" i="11"/>
  <c r="F133" i="12"/>
  <c r="F145" i="39"/>
  <c r="P145" i="11"/>
  <c r="F145" i="12"/>
  <c r="P26" i="11"/>
  <c r="F26" i="39"/>
  <c r="F26" i="12"/>
  <c r="F124" i="39"/>
  <c r="F124" i="12"/>
  <c r="P124" i="11"/>
  <c r="F256" i="39"/>
  <c r="P256" i="11"/>
  <c r="F256" i="12"/>
  <c r="F98" i="39"/>
  <c r="F98" i="12"/>
  <c r="P98" i="11"/>
  <c r="F242" i="39"/>
  <c r="F242" i="12"/>
  <c r="P242" i="11"/>
  <c r="P219" i="11"/>
  <c r="F219" i="39"/>
  <c r="F219" i="12"/>
  <c r="P62" i="11"/>
  <c r="F62" i="12"/>
  <c r="F62" i="39"/>
  <c r="F154" i="39"/>
  <c r="F154" i="12"/>
  <c r="P154" i="11"/>
  <c r="F168" i="39"/>
  <c r="F168" i="12"/>
  <c r="P168" i="11"/>
  <c r="F300" i="39"/>
  <c r="P300" i="11"/>
  <c r="F300" i="12"/>
  <c r="F79" i="39"/>
  <c r="P79" i="11"/>
  <c r="F79" i="12"/>
  <c r="P93" i="11"/>
  <c r="F93" i="39"/>
  <c r="F93" i="12"/>
  <c r="F170" i="39"/>
  <c r="F170" i="12"/>
  <c r="P170" i="11"/>
  <c r="F31" i="39"/>
  <c r="F31" i="12"/>
  <c r="P31" i="11"/>
  <c r="F243" i="39"/>
  <c r="P243" i="11"/>
  <c r="F243" i="12"/>
  <c r="F139" i="39"/>
  <c r="F139" i="12"/>
  <c r="P139" i="11"/>
  <c r="F140" i="39"/>
  <c r="F140" i="12"/>
  <c r="P140" i="11"/>
  <c r="F114" i="39"/>
  <c r="F114" i="12"/>
  <c r="P114" i="11"/>
  <c r="P105" i="11"/>
  <c r="F105" i="39"/>
  <c r="F105" i="12"/>
  <c r="F195" i="12"/>
  <c r="P195" i="11"/>
  <c r="F195" i="39"/>
  <c r="F234" i="39"/>
  <c r="F234" i="12"/>
  <c r="P234" i="11"/>
  <c r="F190" i="39"/>
  <c r="P190" i="11"/>
  <c r="F190" i="12"/>
  <c r="F179" i="39"/>
  <c r="F179" i="12"/>
  <c r="P179" i="11"/>
  <c r="F274" i="39"/>
  <c r="F274" i="12"/>
  <c r="P274" i="11"/>
  <c r="F172" i="39"/>
  <c r="F172" i="12"/>
  <c r="P172" i="11"/>
  <c r="F151" i="39"/>
  <c r="P151" i="11"/>
  <c r="F151" i="12"/>
  <c r="P58" i="11"/>
  <c r="F58" i="12"/>
  <c r="F58" i="39"/>
  <c r="F214" i="39"/>
  <c r="F214" i="12"/>
  <c r="P214" i="11"/>
  <c r="P74" i="11"/>
  <c r="F74" i="12"/>
  <c r="F74" i="39"/>
  <c r="F132" i="39"/>
  <c r="F132" i="12"/>
  <c r="P132" i="11"/>
  <c r="F238" i="39"/>
  <c r="F238" i="12"/>
  <c r="P238" i="11"/>
  <c r="F130" i="39"/>
  <c r="F130" i="12"/>
  <c r="P130" i="11"/>
  <c r="P91" i="11"/>
  <c r="F91" i="39"/>
  <c r="F91" i="12"/>
  <c r="F278" i="39"/>
  <c r="P278" i="11"/>
  <c r="F278" i="12"/>
  <c r="P216" i="11"/>
  <c r="F216" i="12"/>
  <c r="F216" i="39"/>
  <c r="F134" i="39"/>
  <c r="P134" i="11"/>
  <c r="F134" i="12"/>
  <c r="F294" i="39"/>
  <c r="F294" i="12"/>
  <c r="P294" i="11"/>
  <c r="F270" i="39"/>
  <c r="F270" i="12"/>
  <c r="P270" i="11"/>
  <c r="F178" i="39"/>
  <c r="F178" i="12"/>
  <c r="P178" i="11"/>
  <c r="P241" i="11"/>
  <c r="F241" i="12"/>
  <c r="F241" i="39"/>
  <c r="P223" i="11"/>
  <c r="F223" i="39"/>
  <c r="F223" i="12"/>
  <c r="P56" i="11"/>
  <c r="F56" i="12"/>
  <c r="F56" i="39"/>
  <c r="P217" i="11"/>
  <c r="F217" i="12"/>
  <c r="F217" i="39"/>
  <c r="F103" i="12"/>
  <c r="P103" i="11"/>
  <c r="F103" i="39"/>
  <c r="F312" i="12"/>
  <c r="P312" i="11"/>
  <c r="F312" i="39"/>
  <c r="F222" i="39"/>
  <c r="F222" i="12"/>
  <c r="P222" i="11"/>
  <c r="F230" i="39"/>
  <c r="F230" i="12"/>
  <c r="P230" i="11"/>
  <c r="P309" i="11"/>
  <c r="F309" i="12"/>
  <c r="F309" i="39"/>
  <c r="F24" i="39"/>
  <c r="F24" i="12"/>
  <c r="P24" i="11"/>
  <c r="F55" i="12"/>
  <c r="P55" i="11"/>
  <c r="F55" i="39"/>
  <c r="F33" i="12"/>
  <c r="P33" i="11"/>
  <c r="F33" i="39"/>
  <c r="P76" i="11"/>
  <c r="F76" i="12"/>
  <c r="F76" i="39"/>
  <c r="F254" i="39"/>
  <c r="F254" i="12"/>
  <c r="P254" i="11"/>
  <c r="P289" i="11"/>
  <c r="F289" i="12"/>
  <c r="F289" i="39"/>
  <c r="F220" i="12"/>
  <c r="P220" i="11"/>
  <c r="F220" i="39"/>
  <c r="F287" i="39"/>
  <c r="P287" i="11"/>
  <c r="F287" i="12"/>
  <c r="F275" i="39"/>
  <c r="P275" i="11"/>
  <c r="F275" i="12"/>
  <c r="F262" i="39"/>
  <c r="F262" i="12"/>
  <c r="P262" i="11"/>
  <c r="F85" i="39"/>
  <c r="F85" i="12"/>
  <c r="P85" i="11"/>
  <c r="P196" i="11"/>
  <c r="F196" i="12"/>
  <c r="F196" i="39"/>
  <c r="P293" i="11"/>
  <c r="F293" i="12"/>
  <c r="F293" i="39"/>
  <c r="P231" i="11"/>
  <c r="F231" i="39"/>
  <c r="F231" i="12"/>
  <c r="F77" i="39"/>
  <c r="F77" i="12"/>
  <c r="P77" i="11"/>
  <c r="F269" i="39"/>
  <c r="P269" i="11"/>
  <c r="F269" i="12"/>
  <c r="P313" i="11"/>
  <c r="F313" i="12"/>
  <c r="F313" i="39"/>
  <c r="P83" i="11"/>
  <c r="F83" i="12"/>
  <c r="F83" i="39"/>
  <c r="P68" i="11"/>
  <c r="F68" i="12"/>
  <c r="F68" i="39"/>
  <c r="F307" i="39"/>
  <c r="P307" i="11"/>
  <c r="F307" i="12"/>
  <c r="F290" i="12"/>
  <c r="P290" i="11"/>
  <c r="F290" i="39"/>
  <c r="P80" i="11"/>
  <c r="F80" i="12"/>
  <c r="F80" i="39"/>
  <c r="F87" i="12"/>
  <c r="F87" i="39"/>
  <c r="P87" i="11"/>
  <c r="F174" i="39"/>
  <c r="P174" i="11"/>
  <c r="F174" i="12"/>
  <c r="F36" i="39"/>
  <c r="F36" i="12"/>
  <c r="P36" i="11"/>
  <c r="P209" i="11"/>
  <c r="F209" i="12"/>
  <c r="F209" i="39"/>
  <c r="F210" i="39"/>
  <c r="F210" i="12"/>
  <c r="P210" i="11"/>
  <c r="P67" i="11"/>
  <c r="F67" i="39"/>
  <c r="F67" i="12"/>
  <c r="F291" i="39"/>
  <c r="P291" i="11"/>
  <c r="F291" i="12"/>
  <c r="F15" i="39"/>
  <c r="P15" i="11"/>
  <c r="F15" i="12"/>
  <c r="F305" i="39"/>
  <c r="P305" i="11"/>
  <c r="F305" i="12"/>
  <c r="F206" i="39"/>
  <c r="F206" i="12"/>
  <c r="P206" i="11"/>
  <c r="P211" i="11"/>
  <c r="F211" i="39"/>
  <c r="F211" i="12"/>
  <c r="P99" i="11"/>
  <c r="F99" i="39"/>
  <c r="F99" i="12"/>
  <c r="F263" i="39"/>
  <c r="P263" i="11"/>
  <c r="F263" i="12"/>
  <c r="F100" i="39"/>
  <c r="F100" i="12"/>
  <c r="P100" i="11"/>
  <c r="F63" i="12"/>
  <c r="P63" i="11"/>
  <c r="F63" i="39"/>
  <c r="F162" i="39"/>
  <c r="F162" i="12"/>
  <c r="P162" i="11"/>
  <c r="F161" i="39"/>
  <c r="F161" i="12"/>
  <c r="P161" i="11"/>
  <c r="F92" i="39"/>
  <c r="F92" i="12"/>
  <c r="P92" i="11"/>
  <c r="F73" i="39"/>
  <c r="F73" i="12"/>
  <c r="P73" i="11"/>
  <c r="F258" i="39"/>
  <c r="F258" i="12"/>
  <c r="P258" i="11"/>
  <c r="P189" i="11"/>
  <c r="F189" i="12"/>
  <c r="F189" i="39"/>
  <c r="F255" i="39"/>
  <c r="P255" i="11"/>
  <c r="F255" i="12"/>
  <c r="F156" i="39"/>
  <c r="P156" i="11"/>
  <c r="F156" i="12"/>
  <c r="F137" i="39"/>
  <c r="F137" i="12"/>
  <c r="P137" i="11"/>
  <c r="P52" i="11"/>
  <c r="F52" i="12"/>
  <c r="F52" i="39"/>
  <c r="P225" i="11"/>
  <c r="F225" i="12"/>
  <c r="F225" i="39"/>
  <c r="F142" i="39"/>
  <c r="P142" i="11"/>
  <c r="F142" i="12"/>
  <c r="P66" i="11"/>
  <c r="F66" i="12"/>
  <c r="F66" i="39"/>
  <c r="P51" i="11"/>
  <c r="F51" i="39"/>
  <c r="F51" i="12"/>
  <c r="F177" i="39"/>
  <c r="P177" i="11"/>
  <c r="F177" i="12"/>
  <c r="F246" i="39"/>
  <c r="F246" i="12"/>
  <c r="P246" i="11"/>
  <c r="F89" i="12"/>
  <c r="P89" i="11"/>
  <c r="F89" i="39"/>
  <c r="F280" i="39"/>
  <c r="F280" i="12"/>
  <c r="P280" i="11"/>
  <c r="F266" i="39"/>
  <c r="F266" i="12"/>
  <c r="P266" i="11"/>
  <c r="F112" i="39"/>
  <c r="F112" i="12"/>
  <c r="P112" i="11"/>
  <c r="F191" i="12"/>
  <c r="P191" i="11"/>
  <c r="F191" i="39"/>
  <c r="F271" i="39"/>
  <c r="P271" i="11"/>
  <c r="F271" i="12"/>
  <c r="P193" i="11"/>
  <c r="F193" i="12"/>
  <c r="F193" i="39"/>
  <c r="F21" i="12"/>
  <c r="P21" i="11"/>
  <c r="F21" i="39"/>
  <c r="F202" i="39"/>
  <c r="P202" i="11"/>
  <c r="F202" i="12"/>
  <c r="F176" i="39"/>
  <c r="F176" i="12"/>
  <c r="P176" i="11"/>
  <c r="P221" i="11"/>
  <c r="F221" i="12"/>
  <c r="F221" i="39"/>
  <c r="F261" i="39"/>
  <c r="P261" i="11"/>
  <c r="F261" i="12"/>
  <c r="F152" i="39"/>
  <c r="P152" i="11"/>
  <c r="F152" i="12"/>
  <c r="P311" i="11"/>
  <c r="F311" i="12"/>
  <c r="F311" i="39"/>
  <c r="P185" i="11"/>
  <c r="F185" i="12"/>
  <c r="F185" i="39"/>
  <c r="F106" i="39"/>
  <c r="P106" i="11"/>
  <c r="F106" i="12"/>
  <c r="P204" i="11"/>
  <c r="F204" i="39"/>
  <c r="F204" i="12"/>
  <c r="P224" i="11"/>
  <c r="F224" i="12"/>
  <c r="F224" i="39"/>
  <c r="F120" i="39"/>
  <c r="F120" i="12"/>
  <c r="P120" i="11"/>
  <c r="P38" i="11"/>
  <c r="F38" i="12"/>
  <c r="F38" i="39"/>
  <c r="F138" i="39"/>
  <c r="F138" i="12"/>
  <c r="P138" i="11"/>
  <c r="F32" i="39"/>
  <c r="P32" i="11"/>
  <c r="F32" i="12"/>
  <c r="P90" i="11"/>
  <c r="F90" i="12"/>
  <c r="F90" i="39"/>
  <c r="F302" i="12"/>
  <c r="P302" i="11"/>
  <c r="F302" i="39"/>
  <c r="F69" i="12"/>
  <c r="P69" i="11"/>
  <c r="F69" i="39"/>
  <c r="P53" i="11"/>
  <c r="F53" i="39"/>
  <c r="F53" i="12"/>
  <c r="F267" i="39"/>
  <c r="P267" i="11"/>
  <c r="F267" i="12"/>
  <c r="F12" i="39"/>
  <c r="P12" i="11"/>
  <c r="F12" i="12"/>
  <c r="F276" i="39"/>
  <c r="F276" i="12"/>
  <c r="P276" i="11"/>
  <c r="F282" i="39"/>
  <c r="F282" i="12"/>
  <c r="P282" i="11"/>
  <c r="F212" i="12"/>
  <c r="P212" i="11"/>
  <c r="F212" i="39"/>
  <c r="F35" i="39"/>
  <c r="F35" i="12"/>
  <c r="P35" i="11"/>
  <c r="P64" i="11"/>
  <c r="F64" i="12"/>
  <c r="F64" i="39"/>
  <c r="F303" i="39"/>
  <c r="P303" i="11"/>
  <c r="F303" i="12"/>
  <c r="P199" i="11"/>
  <c r="F199" i="12"/>
  <c r="F199" i="39"/>
  <c r="P7" i="11"/>
  <c r="F7" i="39"/>
  <c r="F7" i="12"/>
  <c r="P233" i="11"/>
  <c r="F233" i="12"/>
  <c r="F233" i="39"/>
  <c r="F245" i="39"/>
  <c r="P245" i="11"/>
  <c r="F245" i="12"/>
  <c r="F288" i="39"/>
  <c r="P288" i="11"/>
  <c r="F288" i="12"/>
  <c r="F49" i="12"/>
  <c r="P49" i="11"/>
  <c r="F49" i="39"/>
  <c r="F292" i="12"/>
  <c r="P292" i="11"/>
  <c r="F292" i="39"/>
  <c r="F273" i="39"/>
  <c r="P273" i="11"/>
  <c r="F273" i="12"/>
  <c r="P18" i="11"/>
  <c r="F18" i="39"/>
  <c r="F18" i="12"/>
  <c r="F251" i="39"/>
  <c r="P251" i="11"/>
  <c r="F251" i="12"/>
  <c r="F253" i="39"/>
  <c r="P253" i="11"/>
  <c r="F253" i="12"/>
  <c r="P200" i="11"/>
  <c r="F200" i="12"/>
  <c r="F200" i="39"/>
  <c r="F198" i="39"/>
  <c r="F198" i="12"/>
  <c r="P198" i="11"/>
  <c r="F116" i="39"/>
  <c r="F116" i="12"/>
  <c r="P116" i="11"/>
  <c r="F127" i="39"/>
  <c r="F127" i="12"/>
  <c r="P127" i="11"/>
  <c r="F40" i="39"/>
  <c r="F40" i="12"/>
  <c r="P40" i="11"/>
  <c r="F29" i="12"/>
  <c r="P29" i="11"/>
  <c r="F29" i="39"/>
  <c r="F123" i="39"/>
  <c r="P123" i="11"/>
  <c r="F123" i="12"/>
  <c r="P84" i="11"/>
  <c r="F84" i="12"/>
  <c r="F84" i="39"/>
  <c r="F104" i="39"/>
  <c r="F104" i="12"/>
  <c r="P104" i="11"/>
  <c r="P240" i="11"/>
  <c r="F240" i="12"/>
  <c r="F240" i="39"/>
  <c r="F159" i="39"/>
  <c r="P159" i="11"/>
  <c r="F159" i="12"/>
  <c r="P13" i="11"/>
  <c r="F13" i="12"/>
  <c r="F13" i="39"/>
  <c r="F281" i="39"/>
  <c r="P281" i="11"/>
  <c r="F281" i="12"/>
  <c r="P22" i="11"/>
  <c r="F22" i="39"/>
  <c r="F22" i="12"/>
  <c r="F157" i="39"/>
  <c r="F157" i="12"/>
  <c r="P157" i="11"/>
  <c r="F167" i="39"/>
  <c r="F167" i="12"/>
  <c r="P167" i="11"/>
  <c r="F299" i="39"/>
  <c r="P299" i="11"/>
  <c r="F299" i="12"/>
  <c r="P70" i="11"/>
  <c r="F70" i="12"/>
  <c r="F70" i="39"/>
  <c r="F25" i="12"/>
  <c r="P25" i="11"/>
  <c r="F25" i="39"/>
  <c r="F81" i="39"/>
  <c r="F81" i="12"/>
  <c r="P81" i="11"/>
  <c r="F122" i="39"/>
  <c r="P122" i="11"/>
  <c r="F122" i="12"/>
  <c r="F158" i="39"/>
  <c r="F158" i="12"/>
  <c r="P158" i="11"/>
  <c r="F20" i="39"/>
  <c r="P20" i="11"/>
  <c r="F20" i="12"/>
  <c r="P227" i="11"/>
  <c r="F227" i="12"/>
  <c r="F227" i="39"/>
  <c r="P213" i="11"/>
  <c r="F213" i="12"/>
  <c r="F213" i="39"/>
  <c r="F264" i="39"/>
  <c r="P264" i="11"/>
  <c r="F264" i="12"/>
  <c r="F128" i="39"/>
  <c r="F128" i="12"/>
  <c r="P128" i="11"/>
  <c r="F296" i="39"/>
  <c r="F296" i="12"/>
  <c r="P296" i="11"/>
  <c r="P82" i="11"/>
  <c r="F82" i="12"/>
  <c r="F82" i="39"/>
  <c r="F165" i="39"/>
  <c r="F165" i="12"/>
  <c r="P165" i="11"/>
  <c r="P71" i="11"/>
  <c r="F71" i="39"/>
  <c r="F71" i="12"/>
  <c r="F48" i="12"/>
  <c r="P48" i="11"/>
  <c r="F48" i="39"/>
  <c r="F150" i="39"/>
  <c r="F150" i="12"/>
  <c r="P150" i="11"/>
  <c r="P97" i="11"/>
  <c r="F97" i="12"/>
  <c r="F97" i="39"/>
  <c r="F147" i="39"/>
  <c r="P147" i="11"/>
  <c r="F147" i="12"/>
  <c r="F10" i="39"/>
  <c r="P10" i="11"/>
  <c r="F10" i="12"/>
  <c r="P229" i="11"/>
  <c r="F229" i="12"/>
  <c r="F229" i="39"/>
  <c r="F228" i="12"/>
  <c r="P228" i="11"/>
  <c r="F228" i="39"/>
  <c r="F144" i="39"/>
  <c r="P144" i="11"/>
  <c r="F144" i="12"/>
  <c r="P109" i="11"/>
  <c r="F109" i="39"/>
  <c r="F109" i="12"/>
  <c r="F248" i="39"/>
  <c r="P248" i="11"/>
  <c r="F248" i="12"/>
  <c r="F39" i="39"/>
  <c r="P39" i="11"/>
  <c r="F39" i="12"/>
  <c r="P14" i="11"/>
  <c r="F14" i="39"/>
  <c r="F14" i="12"/>
  <c r="F30" i="12"/>
  <c r="P30" i="11"/>
  <c r="F30" i="39"/>
  <c r="F146" i="39"/>
  <c r="P146" i="11"/>
  <c r="F146" i="12"/>
  <c r="F286" i="39"/>
  <c r="P286" i="11"/>
  <c r="F286" i="12"/>
  <c r="F203" i="12"/>
  <c r="P203" i="11"/>
  <c r="F203" i="39"/>
  <c r="P232" i="11"/>
  <c r="F232" i="12"/>
  <c r="F232" i="39"/>
  <c r="P78" i="11"/>
  <c r="F78" i="12"/>
  <c r="F78" i="39"/>
  <c r="P50" i="11"/>
  <c r="F50" i="12"/>
  <c r="F50" i="39"/>
  <c r="P17" i="11"/>
  <c r="F17" i="39"/>
  <c r="F17" i="12"/>
  <c r="F41" i="12"/>
  <c r="P41" i="11"/>
  <c r="F41" i="39"/>
  <c r="F115" i="12"/>
  <c r="P115" i="11"/>
  <c r="F115" i="39"/>
  <c r="F175" i="39"/>
  <c r="P175" i="11"/>
  <c r="F175" i="12"/>
  <c r="F272" i="39"/>
  <c r="P272" i="11"/>
  <c r="F272" i="12"/>
  <c r="F268" i="39"/>
  <c r="F268" i="12"/>
  <c r="P268" i="11"/>
  <c r="P121" i="11"/>
  <c r="F121" i="12"/>
  <c r="F121" i="39"/>
  <c r="P201" i="11"/>
  <c r="F201" i="12"/>
  <c r="F201" i="39"/>
  <c r="F182" i="39"/>
  <c r="P182" i="11"/>
  <c r="F182" i="12"/>
  <c r="F135" i="39"/>
  <c r="P135" i="11"/>
  <c r="F135" i="12"/>
  <c r="P237" i="11"/>
  <c r="F237" i="12"/>
  <c r="F237" i="39"/>
  <c r="F149" i="39"/>
  <c r="P149" i="11"/>
  <c r="F149" i="12"/>
  <c r="F126" i="39"/>
  <c r="P126" i="11"/>
  <c r="F126" i="12"/>
  <c r="F19" i="39"/>
  <c r="P19" i="11"/>
  <c r="F19" i="12"/>
  <c r="F304" i="39"/>
  <c r="F304" i="12"/>
  <c r="P304" i="11"/>
  <c r="F95" i="12"/>
  <c r="P95" i="11"/>
  <c r="F95" i="39"/>
  <c r="P60" i="11"/>
  <c r="F60" i="12"/>
  <c r="F60" i="39"/>
  <c r="F301" i="39"/>
  <c r="P301" i="11"/>
  <c r="F301" i="12"/>
  <c r="P45" i="11"/>
  <c r="F45" i="39"/>
  <c r="F45" i="12"/>
  <c r="F171" i="39"/>
  <c r="F171" i="12"/>
  <c r="P171" i="11"/>
  <c r="P297" i="11"/>
  <c r="F297" i="12"/>
  <c r="F297" i="39"/>
  <c r="F160" i="39"/>
  <c r="P160" i="11"/>
  <c r="F160" i="12"/>
  <c r="F218" i="39"/>
  <c r="F218" i="12"/>
  <c r="P218" i="11"/>
  <c r="F308" i="39"/>
  <c r="F308" i="12"/>
  <c r="P308" i="11"/>
  <c r="F260" i="39"/>
  <c r="F260" i="12"/>
  <c r="P260" i="11"/>
  <c r="P119" i="11"/>
  <c r="F119" i="39"/>
  <c r="F119" i="12"/>
  <c r="F16" i="39"/>
  <c r="P16" i="11"/>
  <c r="F16" i="12"/>
  <c r="F94" i="39"/>
  <c r="P94" i="11"/>
  <c r="F94" i="12"/>
  <c r="F96" i="39"/>
  <c r="F96" i="12"/>
  <c r="P96" i="11"/>
  <c r="F23" i="39"/>
  <c r="F23" i="12"/>
  <c r="P23" i="11"/>
  <c r="F259" i="39"/>
  <c r="P259" i="11"/>
  <c r="F259" i="12"/>
  <c r="F249" i="39"/>
  <c r="P249" i="11"/>
  <c r="F249" i="12"/>
  <c r="F244" i="39"/>
  <c r="F244" i="12"/>
  <c r="P244" i="11"/>
  <c r="P47" i="11"/>
  <c r="F47" i="12"/>
  <c r="F47" i="39"/>
  <c r="P46" i="11"/>
  <c r="F46" i="12"/>
  <c r="F46" i="39"/>
  <c r="F141" i="39"/>
  <c r="P141" i="11"/>
  <c r="F141" i="12"/>
  <c r="F131" i="39"/>
  <c r="F131" i="12"/>
  <c r="P131" i="11"/>
  <c r="F247" i="39"/>
  <c r="P247" i="11"/>
  <c r="F247" i="12"/>
  <c r="F285" i="39"/>
  <c r="P285" i="11"/>
  <c r="F285" i="12"/>
  <c r="F250" i="39"/>
  <c r="F250" i="12"/>
  <c r="P250" i="11"/>
  <c r="F186" i="39"/>
  <c r="F186" i="12"/>
  <c r="P186" i="11"/>
  <c r="P42" i="11"/>
  <c r="F42" i="12"/>
  <c r="F42" i="39"/>
  <c r="F277" i="39"/>
  <c r="P277" i="11"/>
  <c r="F277" i="12"/>
  <c r="P192" i="11"/>
  <c r="F192" i="39"/>
  <c r="F192" i="12"/>
  <c r="F226" i="39"/>
  <c r="F226" i="12"/>
  <c r="P226" i="11"/>
  <c r="F298" i="12"/>
  <c r="P298" i="11"/>
  <c r="F298" i="39"/>
  <c r="F164" i="39"/>
  <c r="F164" i="12"/>
  <c r="P164" i="11"/>
  <c r="F194" i="39"/>
  <c r="F194" i="12"/>
  <c r="P194" i="11"/>
  <c r="F295" i="39"/>
  <c r="P295" i="11"/>
  <c r="F295" i="12"/>
  <c r="F283" i="39"/>
  <c r="P283" i="11"/>
  <c r="F283" i="12"/>
  <c r="F284" i="39"/>
  <c r="F284" i="12"/>
  <c r="P284" i="11"/>
  <c r="F37" i="12"/>
  <c r="P37" i="11"/>
  <c r="F37" i="39"/>
  <c r="F173" i="39"/>
  <c r="P173" i="11"/>
  <c r="F173" i="12"/>
  <c r="F136" i="39"/>
  <c r="P136" i="11"/>
  <c r="F136" i="12"/>
  <c r="P208" i="11"/>
  <c r="F208" i="12"/>
  <c r="F208" i="39"/>
  <c r="F163" i="39"/>
  <c r="P163" i="11"/>
  <c r="F163" i="12"/>
  <c r="F118" i="39"/>
  <c r="F118" i="12"/>
  <c r="P118" i="11"/>
  <c r="F34" i="48"/>
  <c r="O314" i="11"/>
  <c r="P314" i="11" s="1"/>
  <c r="H33" i="25"/>
  <c r="H206" i="25"/>
  <c r="H172" i="25"/>
  <c r="H155" i="25"/>
  <c r="H199" i="25"/>
  <c r="H166" i="25"/>
  <c r="H134" i="25"/>
  <c r="H17" i="25"/>
  <c r="H177" i="25"/>
  <c r="H300" i="25"/>
  <c r="H41" i="25"/>
  <c r="H197" i="25"/>
  <c r="H89" i="25"/>
  <c r="H215" i="25"/>
  <c r="H219" i="25"/>
  <c r="H223" i="25"/>
  <c r="H196" i="25"/>
  <c r="H180" i="25"/>
  <c r="H163" i="25"/>
  <c r="H147" i="25"/>
  <c r="H32" i="25"/>
  <c r="H191" i="25"/>
  <c r="H175" i="25"/>
  <c r="H158" i="25"/>
  <c r="H127" i="25"/>
  <c r="H112" i="25"/>
  <c r="H92" i="25"/>
  <c r="H190" i="25"/>
  <c r="H212" i="25"/>
  <c r="H7" i="25"/>
  <c r="H268" i="25"/>
  <c r="H25" i="25"/>
  <c r="H224" i="25"/>
  <c r="H210" i="25"/>
  <c r="H222" i="25"/>
  <c r="H214" i="25"/>
  <c r="H192" i="25"/>
  <c r="H176" i="25"/>
  <c r="H159" i="25"/>
  <c r="H143" i="25"/>
  <c r="H35" i="25"/>
  <c r="H203" i="25"/>
  <c r="H187" i="25"/>
  <c r="H171" i="25"/>
  <c r="H154" i="25"/>
  <c r="H138" i="25"/>
  <c r="H124" i="25"/>
  <c r="H108" i="25"/>
  <c r="H24" i="25"/>
  <c r="H91" i="25"/>
  <c r="H174" i="25"/>
  <c r="H193" i="25"/>
  <c r="H128" i="25"/>
  <c r="H64" i="25"/>
  <c r="H93" i="25"/>
  <c r="H252" i="25"/>
  <c r="H303" i="25"/>
  <c r="H237" i="25"/>
  <c r="H50" i="25"/>
  <c r="H80" i="25"/>
  <c r="H29" i="25"/>
  <c r="H153" i="25"/>
  <c r="H173" i="25"/>
  <c r="H306" i="25"/>
  <c r="H240" i="25"/>
  <c r="H145" i="25"/>
  <c r="H309" i="25"/>
  <c r="H245" i="25"/>
  <c r="H148" i="25"/>
  <c r="H304" i="25"/>
  <c r="H238" i="25"/>
  <c r="H291" i="25"/>
  <c r="H45" i="25"/>
  <c r="H95" i="25"/>
  <c r="H266" i="25"/>
  <c r="H301" i="25"/>
  <c r="H233" i="25"/>
  <c r="H26" i="25"/>
  <c r="H76" i="25"/>
  <c r="H254" i="25"/>
  <c r="H305" i="25"/>
  <c r="H239" i="25"/>
  <c r="H86" i="25"/>
  <c r="H47" i="25"/>
  <c r="H260" i="25"/>
  <c r="H295" i="25"/>
  <c r="H74" i="25"/>
  <c r="H122" i="25"/>
  <c r="H152" i="25"/>
  <c r="H264" i="25"/>
  <c r="H299" i="25"/>
  <c r="H37" i="25"/>
  <c r="H201" i="25"/>
  <c r="H36" i="25"/>
  <c r="H102" i="25"/>
  <c r="H68" i="25"/>
  <c r="H310" i="25"/>
  <c r="H246" i="25"/>
  <c r="H281" i="25"/>
  <c r="H51" i="25"/>
  <c r="H217" i="25"/>
  <c r="H69" i="25"/>
  <c r="H101" i="25"/>
  <c r="H77" i="25"/>
  <c r="H55" i="25"/>
  <c r="H65" i="25"/>
  <c r="H57" i="25"/>
  <c r="H113" i="25"/>
  <c r="H97" i="25"/>
  <c r="H42" i="25"/>
  <c r="H104" i="25"/>
  <c r="H114" i="25"/>
  <c r="H287" i="25"/>
  <c r="H48" i="25"/>
  <c r="H156" i="25"/>
  <c r="H194" i="25"/>
  <c r="H293" i="25"/>
  <c r="H132" i="25"/>
  <c r="H288" i="25"/>
  <c r="H126" i="25"/>
  <c r="H285" i="25"/>
  <c r="H314" i="25"/>
  <c r="H250" i="25"/>
  <c r="H269" i="25"/>
  <c r="H244" i="25"/>
  <c r="H60" i="25"/>
  <c r="H302" i="25"/>
  <c r="H236" i="25"/>
  <c r="H289" i="25"/>
  <c r="H43" i="25"/>
  <c r="H70" i="25"/>
  <c r="H308" i="25"/>
  <c r="H242" i="25"/>
  <c r="H279" i="25"/>
  <c r="H58" i="25"/>
  <c r="H182" i="25"/>
  <c r="H312" i="25"/>
  <c r="H248" i="25"/>
  <c r="H283" i="25"/>
  <c r="H198" i="25"/>
  <c r="H168" i="25"/>
  <c r="H87" i="25"/>
  <c r="H46" i="25"/>
  <c r="H52" i="25"/>
  <c r="H294" i="25"/>
  <c r="H21" i="25"/>
  <c r="H265" i="25"/>
  <c r="H220" i="25"/>
  <c r="H123" i="25"/>
  <c r="H53" i="25"/>
  <c r="H79" i="25"/>
  <c r="H61" i="25"/>
  <c r="H119" i="25"/>
  <c r="H49" i="25"/>
  <c r="H59" i="25"/>
  <c r="H6" i="25"/>
  <c r="F5" i="39"/>
  <c r="F5" i="12"/>
  <c r="H232" i="25"/>
  <c r="H230" i="25"/>
  <c r="H188" i="25"/>
  <c r="H139" i="25"/>
  <c r="H183" i="25"/>
  <c r="H150" i="25"/>
  <c r="H120" i="25"/>
  <c r="H99" i="25"/>
  <c r="H157" i="25"/>
  <c r="H19" i="25"/>
  <c r="H234" i="25"/>
  <c r="H208" i="25"/>
  <c r="H202" i="25"/>
  <c r="H137" i="25"/>
  <c r="H290" i="25"/>
  <c r="H129" i="25"/>
  <c r="H275" i="25"/>
  <c r="H31" i="25"/>
  <c r="H207" i="25"/>
  <c r="H227" i="25"/>
  <c r="H205" i="25"/>
  <c r="H231" i="25"/>
  <c r="H184" i="25"/>
  <c r="H167" i="25"/>
  <c r="H135" i="25"/>
  <c r="H38" i="25"/>
  <c r="H195" i="25"/>
  <c r="H179" i="25"/>
  <c r="H162" i="25"/>
  <c r="H146" i="25"/>
  <c r="H130" i="25"/>
  <c r="H116" i="25"/>
  <c r="H100" i="25"/>
  <c r="H13" i="25"/>
  <c r="H211" i="25"/>
  <c r="H141" i="25"/>
  <c r="H160" i="25"/>
  <c r="H22" i="25"/>
  <c r="H78" i="25"/>
  <c r="H284" i="25"/>
  <c r="H94" i="25"/>
  <c r="H271" i="25"/>
  <c r="H82" i="25"/>
  <c r="H140" i="25"/>
  <c r="H62" i="25"/>
  <c r="H186" i="25"/>
  <c r="H28" i="25"/>
  <c r="H125" i="25"/>
  <c r="H274" i="25"/>
  <c r="H178" i="25"/>
  <c r="H40" i="25"/>
  <c r="H277" i="25"/>
  <c r="H181" i="25"/>
  <c r="H11" i="25"/>
  <c r="H272" i="25"/>
  <c r="H16" i="25"/>
  <c r="H259" i="25"/>
  <c r="H235" i="25"/>
  <c r="H298" i="25"/>
  <c r="H90" i="25"/>
  <c r="H253" i="25"/>
  <c r="H72" i="25"/>
  <c r="H204" i="25"/>
  <c r="H286" i="25"/>
  <c r="H98" i="25"/>
  <c r="H273" i="25"/>
  <c r="H226" i="25"/>
  <c r="H54" i="25"/>
  <c r="H292" i="25"/>
  <c r="H20" i="25"/>
  <c r="H263" i="25"/>
  <c r="H30" i="25"/>
  <c r="H149" i="25"/>
  <c r="H296" i="25"/>
  <c r="H23" i="25"/>
  <c r="H267" i="25"/>
  <c r="H165" i="25"/>
  <c r="H136" i="25"/>
  <c r="H221" i="25"/>
  <c r="H228" i="25"/>
  <c r="H225" i="25"/>
  <c r="H278" i="25"/>
  <c r="H313" i="25"/>
  <c r="H249" i="25"/>
  <c r="H121" i="25"/>
  <c r="H107" i="25"/>
  <c r="H67" i="25"/>
  <c r="H63" i="25"/>
  <c r="H109" i="25"/>
  <c r="H103" i="25"/>
  <c r="H111" i="25"/>
  <c r="H243" i="25"/>
  <c r="H200" i="25"/>
  <c r="H151" i="25"/>
  <c r="H213" i="25"/>
  <c r="H131" i="25"/>
  <c r="H142" i="25"/>
  <c r="H9" i="25"/>
  <c r="H144" i="25"/>
  <c r="H27" i="25"/>
  <c r="H12" i="25"/>
  <c r="H255" i="25"/>
  <c r="H66" i="25"/>
  <c r="H88" i="25"/>
  <c r="H44" i="25"/>
  <c r="H170" i="25"/>
  <c r="H189" i="25"/>
  <c r="H110" i="25"/>
  <c r="H258" i="25"/>
  <c r="H161" i="25"/>
  <c r="H18" i="25"/>
  <c r="H261" i="25"/>
  <c r="H164" i="25"/>
  <c r="H209" i="25"/>
  <c r="H256" i="25"/>
  <c r="H307" i="25"/>
  <c r="H241" i="25"/>
  <c r="H229" i="25"/>
  <c r="H282" i="25"/>
  <c r="H10" i="25"/>
  <c r="H39" i="25"/>
  <c r="H56" i="25"/>
  <c r="H34" i="25"/>
  <c r="H270" i="25"/>
  <c r="H14" i="25"/>
  <c r="H257" i="25"/>
  <c r="H216" i="25"/>
  <c r="H169" i="25"/>
  <c r="H276" i="25"/>
  <c r="H311" i="25"/>
  <c r="H247" i="25"/>
  <c r="H106" i="25"/>
  <c r="H185" i="25"/>
  <c r="H280" i="25"/>
  <c r="H8" i="25"/>
  <c r="H251" i="25"/>
  <c r="H133" i="25"/>
  <c r="H15" i="25"/>
  <c r="H118" i="25"/>
  <c r="H84" i="25"/>
  <c r="H96" i="25"/>
  <c r="H262" i="25"/>
  <c r="H297" i="25"/>
  <c r="H105" i="25"/>
  <c r="H83" i="25"/>
  <c r="H85" i="25"/>
  <c r="H117" i="25"/>
  <c r="H115" i="25"/>
  <c r="H71" i="25"/>
  <c r="H81" i="25"/>
  <c r="H73" i="25"/>
  <c r="H75" i="25"/>
  <c r="H218" i="25"/>
  <c r="C7" i="34" l="1"/>
  <c r="C9" i="34" s="1"/>
  <c r="F314" i="39"/>
  <c r="H315" i="25"/>
  <c r="D7" i="34" l="1"/>
  <c r="D9" i="34" s="1"/>
  <c r="E15" i="34" s="1"/>
  <c r="F314" i="12"/>
  <c r="E19" i="34" l="1"/>
  <c r="I19" i="34" s="1"/>
  <c r="E27" i="34"/>
  <c r="I27" i="34" s="1"/>
  <c r="E35" i="34"/>
  <c r="I35" i="34" s="1"/>
  <c r="E43" i="34"/>
  <c r="I43" i="34" s="1"/>
  <c r="E51" i="34"/>
  <c r="I51" i="34" s="1"/>
  <c r="E59" i="34"/>
  <c r="I59" i="34" s="1"/>
  <c r="E67" i="34"/>
  <c r="I67" i="34" s="1"/>
  <c r="E75" i="34"/>
  <c r="I75" i="34" s="1"/>
  <c r="E83" i="34"/>
  <c r="I83" i="34" s="1"/>
  <c r="E91" i="34"/>
  <c r="I91" i="34" s="1"/>
  <c r="E99" i="34"/>
  <c r="I99" i="34" s="1"/>
  <c r="E107" i="34"/>
  <c r="I107" i="34" s="1"/>
  <c r="E115" i="34"/>
  <c r="I115" i="34" s="1"/>
  <c r="E123" i="34"/>
  <c r="I123" i="34" s="1"/>
  <c r="E131" i="34"/>
  <c r="I131" i="34" s="1"/>
  <c r="E139" i="34"/>
  <c r="I139" i="34" s="1"/>
  <c r="E147" i="34"/>
  <c r="I147" i="34" s="1"/>
  <c r="E155" i="34"/>
  <c r="I155" i="34" s="1"/>
  <c r="E163" i="34"/>
  <c r="I163" i="34" s="1"/>
  <c r="E171" i="34"/>
  <c r="I171" i="34" s="1"/>
  <c r="E179" i="34"/>
  <c r="I179" i="34" s="1"/>
  <c r="E187" i="34"/>
  <c r="I187" i="34" s="1"/>
  <c r="E195" i="34"/>
  <c r="I195" i="34" s="1"/>
  <c r="E203" i="34"/>
  <c r="I203" i="34" s="1"/>
  <c r="E211" i="34"/>
  <c r="I211" i="34" s="1"/>
  <c r="E219" i="34"/>
  <c r="I219" i="34" s="1"/>
  <c r="E227" i="34"/>
  <c r="I227" i="34" s="1"/>
  <c r="E235" i="34"/>
  <c r="I235" i="34" s="1"/>
  <c r="E243" i="34"/>
  <c r="I243" i="34" s="1"/>
  <c r="E18" i="34"/>
  <c r="I18" i="34" s="1"/>
  <c r="E26" i="34"/>
  <c r="I26" i="34" s="1"/>
  <c r="E34" i="34"/>
  <c r="I34" i="34" s="1"/>
  <c r="E42" i="34"/>
  <c r="I42" i="34" s="1"/>
  <c r="E50" i="34"/>
  <c r="I50" i="34" s="1"/>
  <c r="E58" i="34"/>
  <c r="I58" i="34" s="1"/>
  <c r="E66" i="34"/>
  <c r="I66" i="34" s="1"/>
  <c r="E74" i="34"/>
  <c r="I74" i="34" s="1"/>
  <c r="E82" i="34"/>
  <c r="I82" i="34" s="1"/>
  <c r="E90" i="34"/>
  <c r="I90" i="34" s="1"/>
  <c r="E98" i="34"/>
  <c r="I98" i="34" s="1"/>
  <c r="E106" i="34"/>
  <c r="I106" i="34" s="1"/>
  <c r="E114" i="34"/>
  <c r="I114" i="34" s="1"/>
  <c r="E122" i="34"/>
  <c r="I122" i="34" s="1"/>
  <c r="E130" i="34"/>
  <c r="I130" i="34" s="1"/>
  <c r="E138" i="34"/>
  <c r="I138" i="34" s="1"/>
  <c r="E146" i="34"/>
  <c r="I146" i="34" s="1"/>
  <c r="E154" i="34"/>
  <c r="I154" i="34" s="1"/>
  <c r="E162" i="34"/>
  <c r="I162" i="34" s="1"/>
  <c r="E170" i="34"/>
  <c r="I170" i="34" s="1"/>
  <c r="E178" i="34"/>
  <c r="I178" i="34" s="1"/>
  <c r="E186" i="34"/>
  <c r="I186" i="34" s="1"/>
  <c r="E194" i="34"/>
  <c r="I194" i="34" s="1"/>
  <c r="E202" i="34"/>
  <c r="I202" i="34" s="1"/>
  <c r="E210" i="34"/>
  <c r="I210" i="34" s="1"/>
  <c r="E17" i="34"/>
  <c r="I17" i="34" s="1"/>
  <c r="E25" i="34"/>
  <c r="I25" i="34" s="1"/>
  <c r="E33" i="34"/>
  <c r="I33" i="34" s="1"/>
  <c r="E41" i="34"/>
  <c r="I41" i="34" s="1"/>
  <c r="E49" i="34"/>
  <c r="I49" i="34" s="1"/>
  <c r="E57" i="34"/>
  <c r="I57" i="34" s="1"/>
  <c r="E65" i="34"/>
  <c r="I65" i="34" s="1"/>
  <c r="E73" i="34"/>
  <c r="I73" i="34" s="1"/>
  <c r="E81" i="34"/>
  <c r="I81" i="34" s="1"/>
  <c r="E89" i="34"/>
  <c r="I89" i="34" s="1"/>
  <c r="E97" i="34"/>
  <c r="I97" i="34" s="1"/>
  <c r="E105" i="34"/>
  <c r="I105" i="34" s="1"/>
  <c r="E113" i="34"/>
  <c r="I113" i="34" s="1"/>
  <c r="E121" i="34"/>
  <c r="I121" i="34" s="1"/>
  <c r="E129" i="34"/>
  <c r="I129" i="34" s="1"/>
  <c r="E137" i="34"/>
  <c r="I137" i="34" s="1"/>
  <c r="E145" i="34"/>
  <c r="I145" i="34" s="1"/>
  <c r="E153" i="34"/>
  <c r="I153" i="34" s="1"/>
  <c r="E161" i="34"/>
  <c r="I161" i="34" s="1"/>
  <c r="E169" i="34"/>
  <c r="I169" i="34" s="1"/>
  <c r="E177" i="34"/>
  <c r="I177" i="34" s="1"/>
  <c r="E185" i="34"/>
  <c r="I185" i="34" s="1"/>
  <c r="E193" i="34"/>
  <c r="I193" i="34" s="1"/>
  <c r="E201" i="34"/>
  <c r="I201" i="34" s="1"/>
  <c r="E209" i="34"/>
  <c r="I209" i="34" s="1"/>
  <c r="E224" i="34"/>
  <c r="I224" i="34" s="1"/>
  <c r="E232" i="34"/>
  <c r="I232" i="34" s="1"/>
  <c r="E240" i="34"/>
  <c r="I240" i="34" s="1"/>
  <c r="E248" i="34"/>
  <c r="I248" i="34" s="1"/>
  <c r="E207" i="34"/>
  <c r="I207" i="34" s="1"/>
  <c r="E223" i="34"/>
  <c r="I223" i="34" s="1"/>
  <c r="E231" i="34"/>
  <c r="I231" i="34" s="1"/>
  <c r="E239" i="34"/>
  <c r="I239" i="34" s="1"/>
  <c r="E247" i="34"/>
  <c r="I247" i="34" s="1"/>
  <c r="E22" i="34"/>
  <c r="I22" i="34" s="1"/>
  <c r="E30" i="34"/>
  <c r="I30" i="34" s="1"/>
  <c r="E38" i="34"/>
  <c r="I38" i="34" s="1"/>
  <c r="E46" i="34"/>
  <c r="I46" i="34" s="1"/>
  <c r="E54" i="34"/>
  <c r="I54" i="34" s="1"/>
  <c r="E62" i="34"/>
  <c r="I62" i="34" s="1"/>
  <c r="E70" i="34"/>
  <c r="I70" i="34" s="1"/>
  <c r="E78" i="34"/>
  <c r="I78" i="34" s="1"/>
  <c r="E86" i="34"/>
  <c r="I86" i="34" s="1"/>
  <c r="E94" i="34"/>
  <c r="I94" i="34" s="1"/>
  <c r="E102" i="34"/>
  <c r="I102" i="34" s="1"/>
  <c r="E110" i="34"/>
  <c r="I110" i="34" s="1"/>
  <c r="E118" i="34"/>
  <c r="I118" i="34" s="1"/>
  <c r="E126" i="34"/>
  <c r="I126" i="34" s="1"/>
  <c r="E134" i="34"/>
  <c r="I134" i="34" s="1"/>
  <c r="E142" i="34"/>
  <c r="I142" i="34" s="1"/>
  <c r="E150" i="34"/>
  <c r="I150" i="34" s="1"/>
  <c r="E158" i="34"/>
  <c r="I158" i="34" s="1"/>
  <c r="E166" i="34"/>
  <c r="I166" i="34" s="1"/>
  <c r="E174" i="34"/>
  <c r="I174" i="34" s="1"/>
  <c r="E182" i="34"/>
  <c r="I182" i="34" s="1"/>
  <c r="E190" i="34"/>
  <c r="I190" i="34" s="1"/>
  <c r="E206" i="34"/>
  <c r="I206" i="34" s="1"/>
  <c r="E214" i="34"/>
  <c r="I214" i="34" s="1"/>
  <c r="E222" i="34"/>
  <c r="I222" i="34" s="1"/>
  <c r="E230" i="34"/>
  <c r="I230" i="34" s="1"/>
  <c r="E238" i="34"/>
  <c r="I238" i="34" s="1"/>
  <c r="E246" i="34"/>
  <c r="I246" i="34" s="1"/>
  <c r="E165" i="34"/>
  <c r="I165" i="34" s="1"/>
  <c r="E173" i="34"/>
  <c r="I173" i="34" s="1"/>
  <c r="E181" i="34"/>
  <c r="I181" i="34" s="1"/>
  <c r="E213" i="34"/>
  <c r="I213" i="34" s="1"/>
  <c r="E221" i="34"/>
  <c r="I221" i="34" s="1"/>
  <c r="E229" i="34"/>
  <c r="I229" i="34" s="1"/>
  <c r="E237" i="34"/>
  <c r="I237" i="34" s="1"/>
  <c r="E245" i="34"/>
  <c r="I245" i="34" s="1"/>
  <c r="E164" i="34"/>
  <c r="I164" i="34" s="1"/>
  <c r="E172" i="34"/>
  <c r="I172" i="34" s="1"/>
  <c r="E180" i="34"/>
  <c r="I180" i="34" s="1"/>
  <c r="E212" i="34"/>
  <c r="I212" i="34" s="1"/>
  <c r="E228" i="34"/>
  <c r="I228" i="34" s="1"/>
  <c r="E236" i="34"/>
  <c r="I236" i="34" s="1"/>
  <c r="E257" i="34"/>
  <c r="I257" i="34" s="1"/>
  <c r="E265" i="34"/>
  <c r="I265" i="34" s="1"/>
  <c r="E273" i="34"/>
  <c r="I273" i="34" s="1"/>
  <c r="E281" i="34"/>
  <c r="I281" i="34" s="1"/>
  <c r="E289" i="34"/>
  <c r="I289" i="34" s="1"/>
  <c r="E297" i="34"/>
  <c r="I297" i="34" s="1"/>
  <c r="E305" i="34"/>
  <c r="I305" i="34" s="1"/>
  <c r="E313" i="34"/>
  <c r="I313" i="34" s="1"/>
  <c r="E321" i="34"/>
  <c r="I321" i="34" s="1"/>
  <c r="E256" i="34"/>
  <c r="I256" i="34" s="1"/>
  <c r="E264" i="34"/>
  <c r="I264" i="34" s="1"/>
  <c r="E272" i="34"/>
  <c r="I272" i="34" s="1"/>
  <c r="E280" i="34"/>
  <c r="I280" i="34" s="1"/>
  <c r="E288" i="34"/>
  <c r="I288" i="34" s="1"/>
  <c r="E296" i="34"/>
  <c r="I296" i="34" s="1"/>
  <c r="E304" i="34"/>
  <c r="I304" i="34" s="1"/>
  <c r="E312" i="34"/>
  <c r="I312" i="34" s="1"/>
  <c r="E320" i="34"/>
  <c r="I320" i="34" s="1"/>
  <c r="E253" i="34"/>
  <c r="I253" i="34" s="1"/>
  <c r="E261" i="34"/>
  <c r="I261" i="34" s="1"/>
  <c r="E269" i="34"/>
  <c r="I269" i="34" s="1"/>
  <c r="E277" i="34"/>
  <c r="I277" i="34" s="1"/>
  <c r="E285" i="34"/>
  <c r="I285" i="34" s="1"/>
  <c r="E293" i="34"/>
  <c r="I293" i="34" s="1"/>
  <c r="E301" i="34"/>
  <c r="I301" i="34" s="1"/>
  <c r="E309" i="34"/>
  <c r="I309" i="34" s="1"/>
  <c r="E317" i="34"/>
  <c r="I317" i="34" s="1"/>
  <c r="E252" i="34"/>
  <c r="I252" i="34" s="1"/>
  <c r="E260" i="34"/>
  <c r="I260" i="34" s="1"/>
  <c r="E268" i="34"/>
  <c r="I268" i="34" s="1"/>
  <c r="E276" i="34"/>
  <c r="I276" i="34" s="1"/>
  <c r="E284" i="34"/>
  <c r="I284" i="34" s="1"/>
  <c r="E292" i="34"/>
  <c r="I292" i="34" s="1"/>
  <c r="E300" i="34"/>
  <c r="I300" i="34" s="1"/>
  <c r="E308" i="34"/>
  <c r="I308" i="34" s="1"/>
  <c r="E316" i="34"/>
  <c r="I316" i="34" s="1"/>
  <c r="E324" i="34"/>
  <c r="I324" i="34" s="1"/>
  <c r="E318" i="34"/>
  <c r="I318" i="34" s="1"/>
  <c r="E278" i="34"/>
  <c r="I278" i="34" s="1"/>
  <c r="E319" i="34"/>
  <c r="I319" i="34" s="1"/>
  <c r="E266" i="34"/>
  <c r="I266" i="34" s="1"/>
  <c r="E322" i="34"/>
  <c r="I322" i="34" s="1"/>
  <c r="E200" i="34"/>
  <c r="I200" i="34" s="1"/>
  <c r="E92" i="34"/>
  <c r="I92" i="34" s="1"/>
  <c r="E198" i="34"/>
  <c r="I198" i="34" s="1"/>
  <c r="E151" i="34"/>
  <c r="I151" i="34" s="1"/>
  <c r="E220" i="34"/>
  <c r="I220" i="34" s="1"/>
  <c r="E36" i="34"/>
  <c r="I36" i="34" s="1"/>
  <c r="E133" i="34"/>
  <c r="I133" i="34" s="1"/>
  <c r="E32" i="34"/>
  <c r="I32" i="34" s="1"/>
  <c r="E96" i="34"/>
  <c r="I96" i="34" s="1"/>
  <c r="E225" i="34"/>
  <c r="I225" i="34" s="1"/>
  <c r="E143" i="34"/>
  <c r="I143" i="34" s="1"/>
  <c r="E85" i="34"/>
  <c r="I85" i="34" s="1"/>
  <c r="E303" i="34"/>
  <c r="I303" i="34" s="1"/>
  <c r="E263" i="34"/>
  <c r="I263" i="34" s="1"/>
  <c r="E302" i="34"/>
  <c r="I302" i="34" s="1"/>
  <c r="E251" i="34"/>
  <c r="I251" i="34" s="1"/>
  <c r="E307" i="34"/>
  <c r="I307" i="34" s="1"/>
  <c r="E191" i="34"/>
  <c r="I191" i="34" s="1"/>
  <c r="E76" i="34"/>
  <c r="I76" i="34" s="1"/>
  <c r="E189" i="34"/>
  <c r="I189" i="34" s="1"/>
  <c r="E72" i="34"/>
  <c r="I72" i="34" s="1"/>
  <c r="E144" i="34"/>
  <c r="I144" i="34" s="1"/>
  <c r="E196" i="34"/>
  <c r="I196" i="34" s="1"/>
  <c r="E20" i="34"/>
  <c r="I20" i="34" s="1"/>
  <c r="E124" i="34"/>
  <c r="I124" i="34" s="1"/>
  <c r="E23" i="34"/>
  <c r="I23" i="34" s="1"/>
  <c r="E87" i="34"/>
  <c r="I87" i="34" s="1"/>
  <c r="E208" i="34"/>
  <c r="I208" i="34" s="1"/>
  <c r="E136" i="34"/>
  <c r="I136" i="34" s="1"/>
  <c r="E69" i="34"/>
  <c r="I69" i="34" s="1"/>
  <c r="E286" i="34"/>
  <c r="I286" i="34" s="1"/>
  <c r="E299" i="34"/>
  <c r="I299" i="34" s="1"/>
  <c r="E287" i="34"/>
  <c r="I287" i="34" s="1"/>
  <c r="E314" i="34"/>
  <c r="I314" i="34" s="1"/>
  <c r="E290" i="34"/>
  <c r="I290" i="34" s="1"/>
  <c r="E176" i="34"/>
  <c r="I176" i="34" s="1"/>
  <c r="E60" i="34"/>
  <c r="I60" i="34" s="1"/>
  <c r="E148" i="34"/>
  <c r="I148" i="34" s="1"/>
  <c r="E63" i="34"/>
  <c r="I63" i="34" s="1"/>
  <c r="E135" i="34"/>
  <c r="I135" i="34" s="1"/>
  <c r="E167" i="34"/>
  <c r="I167" i="34" s="1"/>
  <c r="E242" i="34"/>
  <c r="I242" i="34" s="1"/>
  <c r="E111" i="34"/>
  <c r="I111" i="34" s="1"/>
  <c r="E216" i="34"/>
  <c r="I216" i="34" s="1"/>
  <c r="E80" i="34"/>
  <c r="I80" i="34" s="1"/>
  <c r="E197" i="34"/>
  <c r="I197" i="34" s="1"/>
  <c r="E127" i="34"/>
  <c r="I127" i="34" s="1"/>
  <c r="E53" i="34"/>
  <c r="I53" i="34" s="1"/>
  <c r="E271" i="34"/>
  <c r="I271" i="34" s="1"/>
  <c r="E323" i="34"/>
  <c r="I323" i="34" s="1"/>
  <c r="E270" i="34"/>
  <c r="I270" i="34" s="1"/>
  <c r="E267" i="34"/>
  <c r="I267" i="34" s="1"/>
  <c r="E275" i="34"/>
  <c r="I275" i="34" s="1"/>
  <c r="E157" i="34"/>
  <c r="I157" i="34" s="1"/>
  <c r="E40" i="34"/>
  <c r="I40" i="34" s="1"/>
  <c r="E132" i="34"/>
  <c r="I132" i="34" s="1"/>
  <c r="E56" i="34"/>
  <c r="I56" i="34" s="1"/>
  <c r="E128" i="34"/>
  <c r="I128" i="34" s="1"/>
  <c r="E117" i="34"/>
  <c r="I117" i="34" s="1"/>
  <c r="E218" i="34"/>
  <c r="I218" i="34" s="1"/>
  <c r="E100" i="34"/>
  <c r="I100" i="34" s="1"/>
  <c r="E175" i="34"/>
  <c r="I175" i="34" s="1"/>
  <c r="E71" i="34"/>
  <c r="I71" i="34" s="1"/>
  <c r="E188" i="34"/>
  <c r="I188" i="34" s="1"/>
  <c r="E103" i="34"/>
  <c r="I103" i="34" s="1"/>
  <c r="E44" i="34"/>
  <c r="I44" i="34" s="1"/>
  <c r="E254" i="34"/>
  <c r="I254" i="34" s="1"/>
  <c r="E306" i="34"/>
  <c r="I306" i="34" s="1"/>
  <c r="E255" i="34"/>
  <c r="I255" i="34" s="1"/>
  <c r="E311" i="34"/>
  <c r="I311" i="34" s="1"/>
  <c r="E258" i="34"/>
  <c r="I258" i="34" s="1"/>
  <c r="E141" i="34"/>
  <c r="I141" i="34" s="1"/>
  <c r="E31" i="34"/>
  <c r="I31" i="34" s="1"/>
  <c r="E119" i="34"/>
  <c r="I119" i="34" s="1"/>
  <c r="E47" i="34"/>
  <c r="I47" i="34" s="1"/>
  <c r="E104" i="34"/>
  <c r="I104" i="34" s="1"/>
  <c r="E93" i="34"/>
  <c r="I93" i="34" s="1"/>
  <c r="E205" i="34"/>
  <c r="I205" i="34" s="1"/>
  <c r="E84" i="34"/>
  <c r="I84" i="34" s="1"/>
  <c r="E156" i="34"/>
  <c r="I156" i="34" s="1"/>
  <c r="E64" i="34"/>
  <c r="I64" i="34" s="1"/>
  <c r="E184" i="34"/>
  <c r="I184" i="34" s="1"/>
  <c r="E37" i="34"/>
  <c r="I37" i="34" s="1"/>
  <c r="E28" i="34"/>
  <c r="I28" i="34" s="1"/>
  <c r="E282" i="34"/>
  <c r="I282" i="34" s="1"/>
  <c r="E291" i="34"/>
  <c r="I291" i="34" s="1"/>
  <c r="E315" i="34"/>
  <c r="I315" i="34" s="1"/>
  <c r="E250" i="34"/>
  <c r="I250" i="34" s="1"/>
  <c r="E125" i="34"/>
  <c r="I125" i="34" s="1"/>
  <c r="E24" i="34"/>
  <c r="I24" i="34" s="1"/>
  <c r="E108" i="34"/>
  <c r="I108" i="34" s="1"/>
  <c r="E29" i="34"/>
  <c r="I29" i="34" s="1"/>
  <c r="E77" i="34"/>
  <c r="I77" i="34" s="1"/>
  <c r="E199" i="34"/>
  <c r="I199" i="34" s="1"/>
  <c r="E68" i="34"/>
  <c r="I68" i="34" s="1"/>
  <c r="E140" i="34"/>
  <c r="I140" i="34" s="1"/>
  <c r="E55" i="34"/>
  <c r="I55" i="34" s="1"/>
  <c r="E168" i="34"/>
  <c r="I168" i="34" s="1"/>
  <c r="E21" i="34"/>
  <c r="I21" i="34" s="1"/>
  <c r="E294" i="34"/>
  <c r="I294" i="34" s="1"/>
  <c r="E215" i="34"/>
  <c r="I215" i="34" s="1"/>
  <c r="E310" i="34"/>
  <c r="I310" i="34" s="1"/>
  <c r="E274" i="34"/>
  <c r="I274" i="34" s="1"/>
  <c r="E298" i="34"/>
  <c r="I298" i="34" s="1"/>
  <c r="E279" i="34"/>
  <c r="I279" i="34" s="1"/>
  <c r="E217" i="34"/>
  <c r="I217" i="34" s="1"/>
  <c r="E112" i="34"/>
  <c r="I112" i="34" s="1"/>
  <c r="E241" i="34"/>
  <c r="I241" i="34" s="1"/>
  <c r="E95" i="34"/>
  <c r="I95" i="34" s="1"/>
  <c r="E183" i="34"/>
  <c r="I183" i="34" s="1"/>
  <c r="E244" i="34"/>
  <c r="I244" i="34" s="1"/>
  <c r="E61" i="34"/>
  <c r="I61" i="34" s="1"/>
  <c r="E192" i="34"/>
  <c r="I192" i="34" s="1"/>
  <c r="E52" i="34"/>
  <c r="I52" i="34" s="1"/>
  <c r="E120" i="34"/>
  <c r="I120" i="34" s="1"/>
  <c r="E48" i="34"/>
  <c r="I48" i="34" s="1"/>
  <c r="E159" i="34"/>
  <c r="I159" i="34" s="1"/>
  <c r="E234" i="34"/>
  <c r="I234" i="34" s="1"/>
  <c r="E295" i="34"/>
  <c r="I295" i="34" s="1"/>
  <c r="E259" i="34"/>
  <c r="I259" i="34" s="1"/>
  <c r="E283" i="34"/>
  <c r="I283" i="34" s="1"/>
  <c r="E262" i="34"/>
  <c r="I262" i="34" s="1"/>
  <c r="E204" i="34"/>
  <c r="I204" i="34" s="1"/>
  <c r="E101" i="34"/>
  <c r="I101" i="34" s="1"/>
  <c r="E226" i="34"/>
  <c r="I226" i="34" s="1"/>
  <c r="E88" i="34"/>
  <c r="I88" i="34" s="1"/>
  <c r="E160" i="34"/>
  <c r="I160" i="34" s="1"/>
  <c r="E233" i="34"/>
  <c r="I233" i="34" s="1"/>
  <c r="E45" i="34"/>
  <c r="I45" i="34" s="1"/>
  <c r="E149" i="34"/>
  <c r="I149" i="34" s="1"/>
  <c r="E39" i="34"/>
  <c r="I39" i="34" s="1"/>
  <c r="E109" i="34"/>
  <c r="I109" i="34" s="1"/>
  <c r="E249" i="34"/>
  <c r="I249" i="34" s="1"/>
  <c r="E152" i="34"/>
  <c r="I152" i="34" s="1"/>
  <c r="E116" i="34"/>
  <c r="I116" i="34" s="1"/>
  <c r="E79" i="34"/>
  <c r="I79" i="34" s="1"/>
  <c r="E16" i="34"/>
  <c r="E37" i="12" l="1"/>
  <c r="G37" i="12" s="1"/>
  <c r="E37" i="39"/>
  <c r="G37" i="39" s="1"/>
  <c r="H37" i="39" s="1"/>
  <c r="I37" i="39" s="1"/>
  <c r="J37" i="39" s="1"/>
  <c r="E17" i="39"/>
  <c r="G17" i="39" s="1"/>
  <c r="H17" i="39" s="1"/>
  <c r="I17" i="39" s="1"/>
  <c r="J17" i="39" s="1"/>
  <c r="E17" i="12"/>
  <c r="G17" i="12" s="1"/>
  <c r="E207" i="39"/>
  <c r="G207" i="39" s="1"/>
  <c r="H207" i="39" s="1"/>
  <c r="I207" i="39" s="1"/>
  <c r="J207" i="39" s="1"/>
  <c r="E207" i="12"/>
  <c r="G207" i="12" s="1"/>
  <c r="E178" i="39"/>
  <c r="G178" i="39" s="1"/>
  <c r="H178" i="39" s="1"/>
  <c r="I178" i="39" s="1"/>
  <c r="J178" i="39" s="1"/>
  <c r="E178" i="12"/>
  <c r="G178" i="12" s="1"/>
  <c r="E266" i="39"/>
  <c r="G266" i="39" s="1"/>
  <c r="H266" i="39" s="1"/>
  <c r="I266" i="39" s="1"/>
  <c r="J266" i="39" s="1"/>
  <c r="E266" i="12"/>
  <c r="G266" i="12" s="1"/>
  <c r="E203" i="12"/>
  <c r="G203" i="12" s="1"/>
  <c r="E203" i="39"/>
  <c r="G203" i="39" s="1"/>
  <c r="H203" i="39" s="1"/>
  <c r="I203" i="39" s="1"/>
  <c r="J203" i="39" s="1"/>
  <c r="E236" i="39"/>
  <c r="G236" i="39" s="1"/>
  <c r="H236" i="39" s="1"/>
  <c r="I236" i="39" s="1"/>
  <c r="J236" i="39" s="1"/>
  <c r="E236" i="12"/>
  <c r="G236" i="12" s="1"/>
  <c r="E78" i="39"/>
  <c r="G78" i="39" s="1"/>
  <c r="H78" i="39" s="1"/>
  <c r="I78" i="39" s="1"/>
  <c r="J78" i="39" s="1"/>
  <c r="E78" i="12"/>
  <c r="G78" i="12" s="1"/>
  <c r="E151" i="39"/>
  <c r="G151" i="39" s="1"/>
  <c r="H151" i="39" s="1"/>
  <c r="I151" i="39" s="1"/>
  <c r="J151" i="39" s="1"/>
  <c r="E151" i="12"/>
  <c r="G151" i="12" s="1"/>
  <c r="E192" i="12"/>
  <c r="G192" i="12" s="1"/>
  <c r="E192" i="39"/>
  <c r="G192" i="39" s="1"/>
  <c r="H192" i="39" s="1"/>
  <c r="I192" i="39" s="1"/>
  <c r="J192" i="39" s="1"/>
  <c r="E193" i="39"/>
  <c r="G193" i="39" s="1"/>
  <c r="H193" i="39" s="1"/>
  <c r="I193" i="39" s="1"/>
  <c r="J193" i="39" s="1"/>
  <c r="E193" i="12"/>
  <c r="G193" i="12" s="1"/>
  <c r="E97" i="12"/>
  <c r="G97" i="12" s="1"/>
  <c r="E97" i="39"/>
  <c r="G97" i="39" s="1"/>
  <c r="H97" i="39" s="1"/>
  <c r="I97" i="39" s="1"/>
  <c r="J97" i="39" s="1"/>
  <c r="E243" i="39"/>
  <c r="G243" i="39" s="1"/>
  <c r="H243" i="39" s="1"/>
  <c r="I243" i="39" s="1"/>
  <c r="J243" i="39" s="1"/>
  <c r="E243" i="12"/>
  <c r="G243" i="12" s="1"/>
  <c r="E259" i="39"/>
  <c r="G259" i="39" s="1"/>
  <c r="H259" i="39" s="1"/>
  <c r="I259" i="39" s="1"/>
  <c r="J259" i="39" s="1"/>
  <c r="E259" i="12"/>
  <c r="G259" i="12" s="1"/>
  <c r="E279" i="39"/>
  <c r="G279" i="39" s="1"/>
  <c r="H279" i="39" s="1"/>
  <c r="I279" i="39" s="1"/>
  <c r="J279" i="39" s="1"/>
  <c r="E279" i="12"/>
  <c r="G279" i="12" s="1"/>
  <c r="E76" i="39"/>
  <c r="G76" i="39" s="1"/>
  <c r="H76" i="39" s="1"/>
  <c r="I76" i="39" s="1"/>
  <c r="J76" i="39" s="1"/>
  <c r="E76" i="12"/>
  <c r="G76" i="12" s="1"/>
  <c r="E132" i="39"/>
  <c r="G132" i="39" s="1"/>
  <c r="H132" i="39" s="1"/>
  <c r="I132" i="39" s="1"/>
  <c r="J132" i="39" s="1"/>
  <c r="E132" i="12"/>
  <c r="G132" i="12" s="1"/>
  <c r="E187" i="12"/>
  <c r="G187" i="12" s="1"/>
  <c r="E187" i="39"/>
  <c r="G187" i="39" s="1"/>
  <c r="H187" i="39" s="1"/>
  <c r="I187" i="39" s="1"/>
  <c r="J187" i="39" s="1"/>
  <c r="E249" i="39"/>
  <c r="G249" i="39" s="1"/>
  <c r="H249" i="39" s="1"/>
  <c r="I249" i="39" s="1"/>
  <c r="J249" i="39" s="1"/>
  <c r="E249" i="12"/>
  <c r="G249" i="12" s="1"/>
  <c r="E269" i="39"/>
  <c r="G269" i="39" s="1"/>
  <c r="H269" i="39" s="1"/>
  <c r="I269" i="39" s="1"/>
  <c r="J269" i="39" s="1"/>
  <c r="E269" i="12"/>
  <c r="G269" i="12" s="1"/>
  <c r="E278" i="39"/>
  <c r="G278" i="39" s="1"/>
  <c r="H278" i="39" s="1"/>
  <c r="I278" i="39" s="1"/>
  <c r="J278" i="39" s="1"/>
  <c r="E278" i="12"/>
  <c r="G278" i="12" s="1"/>
  <c r="E170" i="39"/>
  <c r="G170" i="39" s="1"/>
  <c r="H170" i="39" s="1"/>
  <c r="I170" i="39" s="1"/>
  <c r="J170" i="39" s="1"/>
  <c r="E170" i="12"/>
  <c r="G170" i="12" s="1"/>
  <c r="E195" i="12"/>
  <c r="G195" i="12" s="1"/>
  <c r="E195" i="39"/>
  <c r="G195" i="39" s="1"/>
  <c r="H195" i="39" s="1"/>
  <c r="I195" i="39" s="1"/>
  <c r="J195" i="39" s="1"/>
  <c r="E123" i="39"/>
  <c r="G123" i="39" s="1"/>
  <c r="H123" i="39" s="1"/>
  <c r="I123" i="39" s="1"/>
  <c r="J123" i="39" s="1"/>
  <c r="E123" i="12"/>
  <c r="G123" i="12" s="1"/>
  <c r="E59" i="12"/>
  <c r="G59" i="12" s="1"/>
  <c r="E59" i="39"/>
  <c r="G59" i="39" s="1"/>
  <c r="H59" i="39" s="1"/>
  <c r="I59" i="39" s="1"/>
  <c r="J59" i="39" s="1"/>
  <c r="E228" i="39"/>
  <c r="G228" i="39" s="1"/>
  <c r="H228" i="39" s="1"/>
  <c r="I228" i="39" s="1"/>
  <c r="J228" i="39" s="1"/>
  <c r="E228" i="12"/>
  <c r="G228" i="12" s="1"/>
  <c r="E198" i="39"/>
  <c r="G198" i="39" s="1"/>
  <c r="H198" i="39" s="1"/>
  <c r="I198" i="39" s="1"/>
  <c r="J198" i="39" s="1"/>
  <c r="E198" i="12"/>
  <c r="G198" i="12" s="1"/>
  <c r="E134" i="39"/>
  <c r="G134" i="39" s="1"/>
  <c r="H134" i="39" s="1"/>
  <c r="I134" i="39" s="1"/>
  <c r="J134" i="39" s="1"/>
  <c r="E134" i="12"/>
  <c r="G134" i="12" s="1"/>
  <c r="E70" i="39"/>
  <c r="G70" i="39" s="1"/>
  <c r="H70" i="39" s="1"/>
  <c r="I70" i="39" s="1"/>
  <c r="J70" i="39" s="1"/>
  <c r="E70" i="12"/>
  <c r="G70" i="12" s="1"/>
  <c r="E143" i="39"/>
  <c r="G143" i="39" s="1"/>
  <c r="H143" i="39" s="1"/>
  <c r="I143" i="39" s="1"/>
  <c r="J143" i="39" s="1"/>
  <c r="E143" i="12"/>
  <c r="G143" i="12" s="1"/>
  <c r="E79" i="39"/>
  <c r="G79" i="39" s="1"/>
  <c r="H79" i="39" s="1"/>
  <c r="I79" i="39" s="1"/>
  <c r="J79" i="39" s="1"/>
  <c r="E79" i="12"/>
  <c r="G79" i="12" s="1"/>
  <c r="E15" i="39"/>
  <c r="G15" i="39" s="1"/>
  <c r="H15" i="39" s="1"/>
  <c r="I15" i="39" s="1"/>
  <c r="J15" i="39" s="1"/>
  <c r="E15" i="12"/>
  <c r="G15" i="12" s="1"/>
  <c r="E184" i="12"/>
  <c r="G184" i="12" s="1"/>
  <c r="E184" i="39"/>
  <c r="G184" i="39" s="1"/>
  <c r="H184" i="39" s="1"/>
  <c r="I184" i="39" s="1"/>
  <c r="J184" i="39" s="1"/>
  <c r="E120" i="39"/>
  <c r="G120" i="39" s="1"/>
  <c r="H120" i="39" s="1"/>
  <c r="I120" i="39" s="1"/>
  <c r="J120" i="39" s="1"/>
  <c r="E120" i="12"/>
  <c r="G120" i="12" s="1"/>
  <c r="E56" i="39"/>
  <c r="G56" i="39" s="1"/>
  <c r="H56" i="39" s="1"/>
  <c r="I56" i="39" s="1"/>
  <c r="J56" i="39" s="1"/>
  <c r="E56" i="12"/>
  <c r="G56" i="12" s="1"/>
  <c r="E138" i="39"/>
  <c r="G138" i="39" s="1"/>
  <c r="H138" i="39" s="1"/>
  <c r="I138" i="39" s="1"/>
  <c r="J138" i="39" s="1"/>
  <c r="E138" i="12"/>
  <c r="G138" i="12" s="1"/>
  <c r="E251" i="39"/>
  <c r="G251" i="39" s="1"/>
  <c r="H251" i="39" s="1"/>
  <c r="I251" i="39" s="1"/>
  <c r="J251" i="39" s="1"/>
  <c r="E251" i="12"/>
  <c r="G251" i="12" s="1"/>
  <c r="E41" i="12"/>
  <c r="G41" i="12" s="1"/>
  <c r="E41" i="39"/>
  <c r="G41" i="39" s="1"/>
  <c r="H41" i="39" s="1"/>
  <c r="I41" i="39" s="1"/>
  <c r="J41" i="39" s="1"/>
  <c r="E206" i="39"/>
  <c r="G206" i="39" s="1"/>
  <c r="H206" i="39" s="1"/>
  <c r="I206" i="39" s="1"/>
  <c r="J206" i="39" s="1"/>
  <c r="E206" i="12"/>
  <c r="G206" i="12" s="1"/>
  <c r="E157" i="39"/>
  <c r="G157" i="39" s="1"/>
  <c r="H157" i="39" s="1"/>
  <c r="I157" i="39" s="1"/>
  <c r="J157" i="39" s="1"/>
  <c r="E157" i="12"/>
  <c r="G157" i="12" s="1"/>
  <c r="E13" i="39"/>
  <c r="G13" i="39" s="1"/>
  <c r="H13" i="39" s="1"/>
  <c r="I13" i="39" s="1"/>
  <c r="J13" i="39" s="1"/>
  <c r="E13" i="12"/>
  <c r="G13" i="12" s="1"/>
  <c r="E173" i="39"/>
  <c r="G173" i="39" s="1"/>
  <c r="H173" i="39" s="1"/>
  <c r="I173" i="39" s="1"/>
  <c r="J173" i="39" s="1"/>
  <c r="E173" i="12"/>
  <c r="G173" i="12" s="1"/>
  <c r="E108" i="39"/>
  <c r="G108" i="39" s="1"/>
  <c r="H108" i="39" s="1"/>
  <c r="I108" i="39" s="1"/>
  <c r="J108" i="39" s="1"/>
  <c r="E108" i="12"/>
  <c r="G108" i="12" s="1"/>
  <c r="E33" i="12"/>
  <c r="G33" i="12" s="1"/>
  <c r="E33" i="39"/>
  <c r="G33" i="39" s="1"/>
  <c r="H33" i="39" s="1"/>
  <c r="I33" i="39" s="1"/>
  <c r="J33" i="39" s="1"/>
  <c r="E117" i="12"/>
  <c r="G117" i="12" s="1"/>
  <c r="E117" i="39"/>
  <c r="G117" i="39" s="1"/>
  <c r="H117" i="39" s="1"/>
  <c r="I117" i="39" s="1"/>
  <c r="J117" i="39" s="1"/>
  <c r="E312" i="39"/>
  <c r="G312" i="39" s="1"/>
  <c r="H312" i="39" s="1"/>
  <c r="I312" i="39" s="1"/>
  <c r="J312" i="39" s="1"/>
  <c r="E312" i="12"/>
  <c r="G312" i="12" s="1"/>
  <c r="E231" i="39"/>
  <c r="G231" i="39" s="1"/>
  <c r="H231" i="39" s="1"/>
  <c r="I231" i="39" s="1"/>
  <c r="J231" i="39" s="1"/>
  <c r="E231" i="12"/>
  <c r="G231" i="12" s="1"/>
  <c r="E303" i="39"/>
  <c r="G303" i="39" s="1"/>
  <c r="H303" i="39" s="1"/>
  <c r="I303" i="39" s="1"/>
  <c r="J303" i="39" s="1"/>
  <c r="E303" i="12"/>
  <c r="G303" i="12" s="1"/>
  <c r="E12" i="39"/>
  <c r="G12" i="39" s="1"/>
  <c r="H12" i="39" s="1"/>
  <c r="I12" i="39" s="1"/>
  <c r="J12" i="39" s="1"/>
  <c r="E12" i="12"/>
  <c r="G12" i="12" s="1"/>
  <c r="E180" i="39"/>
  <c r="G180" i="39" s="1"/>
  <c r="H180" i="39" s="1"/>
  <c r="I180" i="39" s="1"/>
  <c r="J180" i="39" s="1"/>
  <c r="E180" i="12"/>
  <c r="G180" i="12" s="1"/>
  <c r="E214" i="39"/>
  <c r="G214" i="39" s="1"/>
  <c r="H214" i="39" s="1"/>
  <c r="I214" i="39" s="1"/>
  <c r="J214" i="39" s="1"/>
  <c r="E214" i="12"/>
  <c r="G214" i="12" s="1"/>
  <c r="E81" i="12"/>
  <c r="G81" i="12" s="1"/>
  <c r="E81" i="39"/>
  <c r="G81" i="39" s="1"/>
  <c r="H81" i="39" s="1"/>
  <c r="I81" i="39" s="1"/>
  <c r="J81" i="39" s="1"/>
  <c r="E305" i="39"/>
  <c r="G305" i="39" s="1"/>
  <c r="H305" i="39" s="1"/>
  <c r="I305" i="39" s="1"/>
  <c r="J305" i="39" s="1"/>
  <c r="E305" i="12"/>
  <c r="G305" i="12" s="1"/>
  <c r="E241" i="39"/>
  <c r="G241" i="39" s="1"/>
  <c r="H241" i="39" s="1"/>
  <c r="I241" i="39" s="1"/>
  <c r="J241" i="39" s="1"/>
  <c r="E241" i="12"/>
  <c r="G241" i="12" s="1"/>
  <c r="E250" i="39"/>
  <c r="G250" i="39" s="1"/>
  <c r="H250" i="39" s="1"/>
  <c r="I250" i="39" s="1"/>
  <c r="J250" i="39" s="1"/>
  <c r="E250" i="12"/>
  <c r="G250" i="12" s="1"/>
  <c r="E261" i="39"/>
  <c r="G261" i="39" s="1"/>
  <c r="H261" i="39" s="1"/>
  <c r="I261" i="39" s="1"/>
  <c r="J261" i="39" s="1"/>
  <c r="E261" i="12"/>
  <c r="G261" i="12" s="1"/>
  <c r="E270" i="39"/>
  <c r="G270" i="39" s="1"/>
  <c r="H270" i="39" s="1"/>
  <c r="I270" i="39" s="1"/>
  <c r="J270" i="39" s="1"/>
  <c r="E270" i="12"/>
  <c r="G270" i="12" s="1"/>
  <c r="E161" i="39"/>
  <c r="G161" i="39" s="1"/>
  <c r="H161" i="39" s="1"/>
  <c r="I161" i="39" s="1"/>
  <c r="J161" i="39" s="1"/>
  <c r="E161" i="12"/>
  <c r="G161" i="12" s="1"/>
  <c r="E162" i="39"/>
  <c r="G162" i="39" s="1"/>
  <c r="H162" i="39" s="1"/>
  <c r="I162" i="39" s="1"/>
  <c r="J162" i="39" s="1"/>
  <c r="E162" i="12"/>
  <c r="G162" i="12" s="1"/>
  <c r="E179" i="39"/>
  <c r="G179" i="39" s="1"/>
  <c r="H179" i="39" s="1"/>
  <c r="I179" i="39" s="1"/>
  <c r="J179" i="39" s="1"/>
  <c r="E179" i="12"/>
  <c r="G179" i="12" s="1"/>
  <c r="E115" i="39"/>
  <c r="G115" i="39" s="1"/>
  <c r="H115" i="39" s="1"/>
  <c r="I115" i="39" s="1"/>
  <c r="J115" i="39" s="1"/>
  <c r="E115" i="12"/>
  <c r="G115" i="12" s="1"/>
  <c r="E51" i="12"/>
  <c r="G51" i="12" s="1"/>
  <c r="E51" i="39"/>
  <c r="G51" i="39" s="1"/>
  <c r="H51" i="39" s="1"/>
  <c r="I51" i="39" s="1"/>
  <c r="J51" i="39" s="1"/>
  <c r="E220" i="39"/>
  <c r="G220" i="39" s="1"/>
  <c r="H220" i="39" s="1"/>
  <c r="I220" i="39" s="1"/>
  <c r="J220" i="39" s="1"/>
  <c r="E220" i="12"/>
  <c r="G220" i="12" s="1"/>
  <c r="E190" i="39"/>
  <c r="G190" i="39" s="1"/>
  <c r="H190" i="39" s="1"/>
  <c r="I190" i="39" s="1"/>
  <c r="J190" i="39" s="1"/>
  <c r="E190" i="12"/>
  <c r="G190" i="12" s="1"/>
  <c r="E126" i="39"/>
  <c r="G126" i="39" s="1"/>
  <c r="H126" i="39" s="1"/>
  <c r="I126" i="39" s="1"/>
  <c r="J126" i="39" s="1"/>
  <c r="E126" i="12"/>
  <c r="G126" i="12" s="1"/>
  <c r="E62" i="39"/>
  <c r="G62" i="39" s="1"/>
  <c r="H62" i="39" s="1"/>
  <c r="I62" i="39" s="1"/>
  <c r="J62" i="39" s="1"/>
  <c r="E62" i="12"/>
  <c r="G62" i="12" s="1"/>
  <c r="E199" i="12"/>
  <c r="G199" i="12" s="1"/>
  <c r="E199" i="39"/>
  <c r="G199" i="39" s="1"/>
  <c r="H199" i="39" s="1"/>
  <c r="I199" i="39" s="1"/>
  <c r="J199" i="39" s="1"/>
  <c r="E135" i="12"/>
  <c r="G135" i="12" s="1"/>
  <c r="E135" i="39"/>
  <c r="G135" i="39" s="1"/>
  <c r="H135" i="39" s="1"/>
  <c r="I135" i="39" s="1"/>
  <c r="J135" i="39" s="1"/>
  <c r="E71" i="39"/>
  <c r="G71" i="39" s="1"/>
  <c r="H71" i="39" s="1"/>
  <c r="I71" i="39" s="1"/>
  <c r="J71" i="39" s="1"/>
  <c r="E71" i="12"/>
  <c r="G71" i="12" s="1"/>
  <c r="E7" i="12"/>
  <c r="G7" i="12" s="1"/>
  <c r="E7" i="39"/>
  <c r="G7" i="39" s="1"/>
  <c r="H7" i="39" s="1"/>
  <c r="I7" i="39" s="1"/>
  <c r="J7" i="39" s="1"/>
  <c r="E176" i="39"/>
  <c r="G176" i="39" s="1"/>
  <c r="H176" i="39" s="1"/>
  <c r="I176" i="39" s="1"/>
  <c r="J176" i="39" s="1"/>
  <c r="E176" i="12"/>
  <c r="G176" i="12" s="1"/>
  <c r="E112" i="39"/>
  <c r="G112" i="39" s="1"/>
  <c r="H112" i="39" s="1"/>
  <c r="I112" i="39" s="1"/>
  <c r="J112" i="39" s="1"/>
  <c r="E112" i="12"/>
  <c r="G112" i="12" s="1"/>
  <c r="E48" i="39"/>
  <c r="G48" i="39" s="1"/>
  <c r="H48" i="39" s="1"/>
  <c r="I48" i="39" s="1"/>
  <c r="J48" i="39" s="1"/>
  <c r="E48" i="12"/>
  <c r="G48" i="12" s="1"/>
  <c r="E14" i="12"/>
  <c r="G14" i="12" s="1"/>
  <c r="E14" i="39"/>
  <c r="G14" i="39" s="1"/>
  <c r="H14" i="39" s="1"/>
  <c r="I14" i="39" s="1"/>
  <c r="J14" i="39" s="1"/>
  <c r="E28" i="39"/>
  <c r="G28" i="39" s="1"/>
  <c r="H28" i="39" s="1"/>
  <c r="I28" i="39" s="1"/>
  <c r="J28" i="39" s="1"/>
  <c r="E28" i="12"/>
  <c r="G28" i="12" s="1"/>
  <c r="E36" i="12"/>
  <c r="G36" i="12" s="1"/>
  <c r="E36" i="39"/>
  <c r="G36" i="39" s="1"/>
  <c r="H36" i="39" s="1"/>
  <c r="I36" i="39" s="1"/>
  <c r="J36" i="39" s="1"/>
  <c r="E181" i="39"/>
  <c r="G181" i="39" s="1"/>
  <c r="H181" i="39" s="1"/>
  <c r="I181" i="39" s="1"/>
  <c r="J181" i="39" s="1"/>
  <c r="E181" i="12"/>
  <c r="G181" i="12" s="1"/>
  <c r="E268" i="39"/>
  <c r="G268" i="39" s="1"/>
  <c r="H268" i="39" s="1"/>
  <c r="I268" i="39" s="1"/>
  <c r="J268" i="39" s="1"/>
  <c r="E268" i="12"/>
  <c r="G268" i="12" s="1"/>
  <c r="E44" i="39"/>
  <c r="G44" i="39" s="1"/>
  <c r="H44" i="39" s="1"/>
  <c r="I44" i="39" s="1"/>
  <c r="J44" i="39" s="1"/>
  <c r="E44" i="12"/>
  <c r="G44" i="12" s="1"/>
  <c r="E114" i="39"/>
  <c r="G114" i="39" s="1"/>
  <c r="H114" i="39" s="1"/>
  <c r="I114" i="39" s="1"/>
  <c r="J114" i="39" s="1"/>
  <c r="E114" i="12"/>
  <c r="G114" i="12" s="1"/>
  <c r="E53" i="12"/>
  <c r="G53" i="12" s="1"/>
  <c r="E53" i="39"/>
  <c r="G53" i="39" s="1"/>
  <c r="H53" i="39" s="1"/>
  <c r="I53" i="39" s="1"/>
  <c r="J53" i="39" s="1"/>
  <c r="E20" i="39"/>
  <c r="G20" i="39" s="1"/>
  <c r="H20" i="39" s="1"/>
  <c r="I20" i="39" s="1"/>
  <c r="J20" i="39" s="1"/>
  <c r="E20" i="12"/>
  <c r="G20" i="12" s="1"/>
  <c r="E92" i="39"/>
  <c r="G92" i="39" s="1"/>
  <c r="H92" i="39" s="1"/>
  <c r="I92" i="39" s="1"/>
  <c r="J92" i="39" s="1"/>
  <c r="E92" i="12"/>
  <c r="G92" i="12" s="1"/>
  <c r="E45" i="12"/>
  <c r="G45" i="12" s="1"/>
  <c r="E45" i="39"/>
  <c r="G45" i="39" s="1"/>
  <c r="H45" i="39" s="1"/>
  <c r="I45" i="39" s="1"/>
  <c r="J45" i="39" s="1"/>
  <c r="E260" i="39"/>
  <c r="G260" i="39" s="1"/>
  <c r="H260" i="39" s="1"/>
  <c r="I260" i="39" s="1"/>
  <c r="J260" i="39" s="1"/>
  <c r="E260" i="12"/>
  <c r="G260" i="12" s="1"/>
  <c r="E156" i="39"/>
  <c r="G156" i="39" s="1"/>
  <c r="H156" i="39" s="1"/>
  <c r="I156" i="39" s="1"/>
  <c r="J156" i="39" s="1"/>
  <c r="E156" i="12"/>
  <c r="G156" i="12" s="1"/>
  <c r="E276" i="39"/>
  <c r="G276" i="39" s="1"/>
  <c r="H276" i="39" s="1"/>
  <c r="I276" i="39" s="1"/>
  <c r="J276" i="39" s="1"/>
  <c r="E276" i="12"/>
  <c r="G276" i="12" s="1"/>
  <c r="E113" i="12"/>
  <c r="G113" i="12" s="1"/>
  <c r="E113" i="39"/>
  <c r="G113" i="39" s="1"/>
  <c r="H113" i="39" s="1"/>
  <c r="I113" i="39" s="1"/>
  <c r="J113" i="39" s="1"/>
  <c r="E296" i="39"/>
  <c r="G296" i="39" s="1"/>
  <c r="H296" i="39" s="1"/>
  <c r="I296" i="39" s="1"/>
  <c r="J296" i="39" s="1"/>
  <c r="E296" i="12"/>
  <c r="G296" i="12" s="1"/>
  <c r="E85" i="12"/>
  <c r="G85" i="12" s="1"/>
  <c r="E85" i="39"/>
  <c r="G85" i="39" s="1"/>
  <c r="H85" i="39" s="1"/>
  <c r="I85" i="39" s="1"/>
  <c r="J85" i="39" s="1"/>
  <c r="E189" i="39"/>
  <c r="G189" i="39" s="1"/>
  <c r="H189" i="39" s="1"/>
  <c r="I189" i="39" s="1"/>
  <c r="J189" i="39" s="1"/>
  <c r="E189" i="12"/>
  <c r="G189" i="12" s="1"/>
  <c r="E297" i="39"/>
  <c r="G297" i="39" s="1"/>
  <c r="H297" i="39" s="1"/>
  <c r="I297" i="39" s="1"/>
  <c r="J297" i="39" s="1"/>
  <c r="E297" i="12"/>
  <c r="G297" i="12" s="1"/>
  <c r="E306" i="39"/>
  <c r="G306" i="39" s="1"/>
  <c r="H306" i="39" s="1"/>
  <c r="I306" i="39" s="1"/>
  <c r="J306" i="39" s="1"/>
  <c r="E306" i="12"/>
  <c r="G306" i="12" s="1"/>
  <c r="E242" i="39"/>
  <c r="G242" i="39" s="1"/>
  <c r="H242" i="39" s="1"/>
  <c r="I242" i="39" s="1"/>
  <c r="J242" i="39" s="1"/>
  <c r="E242" i="12"/>
  <c r="G242" i="12" s="1"/>
  <c r="E253" i="39"/>
  <c r="G253" i="39" s="1"/>
  <c r="H253" i="39" s="1"/>
  <c r="I253" i="39" s="1"/>
  <c r="J253" i="39" s="1"/>
  <c r="E253" i="12"/>
  <c r="G253" i="12" s="1"/>
  <c r="E262" i="39"/>
  <c r="G262" i="39" s="1"/>
  <c r="H262" i="39" s="1"/>
  <c r="I262" i="39" s="1"/>
  <c r="J262" i="39" s="1"/>
  <c r="E262" i="12"/>
  <c r="G262" i="12" s="1"/>
  <c r="E153" i="39"/>
  <c r="G153" i="39" s="1"/>
  <c r="H153" i="39" s="1"/>
  <c r="I153" i="39" s="1"/>
  <c r="J153" i="39" s="1"/>
  <c r="E153" i="12"/>
  <c r="G153" i="12" s="1"/>
  <c r="E154" i="39"/>
  <c r="G154" i="39" s="1"/>
  <c r="H154" i="39" s="1"/>
  <c r="I154" i="39" s="1"/>
  <c r="J154" i="39" s="1"/>
  <c r="E154" i="12"/>
  <c r="G154" i="12" s="1"/>
  <c r="E171" i="39"/>
  <c r="G171" i="39" s="1"/>
  <c r="H171" i="39" s="1"/>
  <c r="I171" i="39" s="1"/>
  <c r="J171" i="39" s="1"/>
  <c r="E171" i="12"/>
  <c r="G171" i="12" s="1"/>
  <c r="E107" i="39"/>
  <c r="G107" i="39" s="1"/>
  <c r="H107" i="39" s="1"/>
  <c r="I107" i="39" s="1"/>
  <c r="J107" i="39" s="1"/>
  <c r="E107" i="12"/>
  <c r="G107" i="12" s="1"/>
  <c r="E43" i="12"/>
  <c r="G43" i="12" s="1"/>
  <c r="E43" i="39"/>
  <c r="G43" i="39" s="1"/>
  <c r="H43" i="39" s="1"/>
  <c r="I43" i="39" s="1"/>
  <c r="J43" i="39" s="1"/>
  <c r="E212" i="39"/>
  <c r="G212" i="39" s="1"/>
  <c r="H212" i="39" s="1"/>
  <c r="I212" i="39" s="1"/>
  <c r="J212" i="39" s="1"/>
  <c r="E212" i="12"/>
  <c r="G212" i="12" s="1"/>
  <c r="E182" i="39"/>
  <c r="G182" i="39" s="1"/>
  <c r="H182" i="39" s="1"/>
  <c r="I182" i="39" s="1"/>
  <c r="J182" i="39" s="1"/>
  <c r="E182" i="12"/>
  <c r="G182" i="12" s="1"/>
  <c r="E118" i="39"/>
  <c r="G118" i="39" s="1"/>
  <c r="H118" i="39" s="1"/>
  <c r="I118" i="39" s="1"/>
  <c r="J118" i="39" s="1"/>
  <c r="E118" i="12"/>
  <c r="G118" i="12" s="1"/>
  <c r="E54" i="39"/>
  <c r="G54" i="39" s="1"/>
  <c r="H54" i="39" s="1"/>
  <c r="I54" i="39" s="1"/>
  <c r="J54" i="39" s="1"/>
  <c r="E54" i="12"/>
  <c r="G54" i="12" s="1"/>
  <c r="E191" i="12"/>
  <c r="G191" i="12" s="1"/>
  <c r="E191" i="39"/>
  <c r="G191" i="39" s="1"/>
  <c r="H191" i="39" s="1"/>
  <c r="I191" i="39" s="1"/>
  <c r="J191" i="39" s="1"/>
  <c r="E127" i="12"/>
  <c r="G127" i="12" s="1"/>
  <c r="E127" i="39"/>
  <c r="G127" i="39" s="1"/>
  <c r="H127" i="39" s="1"/>
  <c r="I127" i="39" s="1"/>
  <c r="J127" i="39" s="1"/>
  <c r="E63" i="39"/>
  <c r="G63" i="39" s="1"/>
  <c r="H63" i="39" s="1"/>
  <c r="I63" i="39" s="1"/>
  <c r="J63" i="39" s="1"/>
  <c r="E63" i="12"/>
  <c r="G63" i="12" s="1"/>
  <c r="E232" i="12"/>
  <c r="G232" i="12" s="1"/>
  <c r="E232" i="39"/>
  <c r="G232" i="39" s="1"/>
  <c r="H232" i="39" s="1"/>
  <c r="I232" i="39" s="1"/>
  <c r="J232" i="39" s="1"/>
  <c r="E168" i="39"/>
  <c r="G168" i="39" s="1"/>
  <c r="H168" i="39" s="1"/>
  <c r="I168" i="39" s="1"/>
  <c r="J168" i="39" s="1"/>
  <c r="E168" i="12"/>
  <c r="G168" i="12" s="1"/>
  <c r="E104" i="39"/>
  <c r="G104" i="39" s="1"/>
  <c r="H104" i="39" s="1"/>
  <c r="I104" i="39" s="1"/>
  <c r="J104" i="39" s="1"/>
  <c r="E104" i="12"/>
  <c r="G104" i="12" s="1"/>
  <c r="E40" i="12"/>
  <c r="G40" i="12" s="1"/>
  <c r="E40" i="39"/>
  <c r="G40" i="39" s="1"/>
  <c r="H40" i="39" s="1"/>
  <c r="I40" i="39" s="1"/>
  <c r="J40" i="39" s="1"/>
  <c r="E283" i="39"/>
  <c r="G283" i="39" s="1"/>
  <c r="H283" i="39" s="1"/>
  <c r="I283" i="39" s="1"/>
  <c r="J283" i="39" s="1"/>
  <c r="E283" i="12"/>
  <c r="G283" i="12" s="1"/>
  <c r="E165" i="39"/>
  <c r="G165" i="39" s="1"/>
  <c r="H165" i="39" s="1"/>
  <c r="I165" i="39" s="1"/>
  <c r="J165" i="39" s="1"/>
  <c r="E165" i="12"/>
  <c r="G165" i="12" s="1"/>
  <c r="E277" i="39"/>
  <c r="G277" i="39" s="1"/>
  <c r="H277" i="39" s="1"/>
  <c r="I277" i="39" s="1"/>
  <c r="J277" i="39" s="1"/>
  <c r="E277" i="12"/>
  <c r="G277" i="12" s="1"/>
  <c r="E67" i="39"/>
  <c r="G67" i="39" s="1"/>
  <c r="H67" i="39" s="1"/>
  <c r="I67" i="39" s="1"/>
  <c r="J67" i="39" s="1"/>
  <c r="E67" i="12"/>
  <c r="G67" i="12" s="1"/>
  <c r="E23" i="12"/>
  <c r="G23" i="12" s="1"/>
  <c r="E23" i="39"/>
  <c r="G23" i="39" s="1"/>
  <c r="H23" i="39" s="1"/>
  <c r="I23" i="39" s="1"/>
  <c r="J23" i="39" s="1"/>
  <c r="E10" i="12"/>
  <c r="G10" i="12" s="1"/>
  <c r="E10" i="39"/>
  <c r="G10" i="39" s="1"/>
  <c r="H10" i="39" s="1"/>
  <c r="I10" i="39" s="1"/>
  <c r="J10" i="39" s="1"/>
  <c r="E106" i="39"/>
  <c r="G106" i="39" s="1"/>
  <c r="H106" i="39" s="1"/>
  <c r="I106" i="39" s="1"/>
  <c r="J106" i="39" s="1"/>
  <c r="E106" i="12"/>
  <c r="G106" i="12" s="1"/>
  <c r="E100" i="39"/>
  <c r="G100" i="39" s="1"/>
  <c r="H100" i="39" s="1"/>
  <c r="I100" i="39" s="1"/>
  <c r="J100" i="39" s="1"/>
  <c r="E100" i="12"/>
  <c r="G100" i="12" s="1"/>
  <c r="E65" i="12"/>
  <c r="G65" i="12" s="1"/>
  <c r="E65" i="39"/>
  <c r="G65" i="39" s="1"/>
  <c r="H65" i="39" s="1"/>
  <c r="I65" i="39" s="1"/>
  <c r="J65" i="39" s="1"/>
  <c r="E313" i="39"/>
  <c r="G313" i="39" s="1"/>
  <c r="H313" i="39" s="1"/>
  <c r="I313" i="39" s="1"/>
  <c r="J313" i="39" s="1"/>
  <c r="E313" i="12"/>
  <c r="G313" i="12" s="1"/>
  <c r="E258" i="39"/>
  <c r="G258" i="39" s="1"/>
  <c r="H258" i="39" s="1"/>
  <c r="I258" i="39" s="1"/>
  <c r="J258" i="39" s="1"/>
  <c r="E258" i="12"/>
  <c r="G258" i="12" s="1"/>
  <c r="E169" i="39"/>
  <c r="G169" i="39" s="1"/>
  <c r="H169" i="39" s="1"/>
  <c r="I169" i="39" s="1"/>
  <c r="J169" i="39" s="1"/>
  <c r="E169" i="12"/>
  <c r="G169" i="12" s="1"/>
  <c r="E6" i="39"/>
  <c r="G6" i="39" s="1"/>
  <c r="H6" i="39" s="1"/>
  <c r="I6" i="39" s="1"/>
  <c r="J6" i="39" s="1"/>
  <c r="E6" i="12"/>
  <c r="G6" i="12" s="1"/>
  <c r="E34" i="12"/>
  <c r="G34" i="12" s="1"/>
  <c r="E34" i="39"/>
  <c r="G34" i="39" s="1"/>
  <c r="H34" i="39" s="1"/>
  <c r="I34" i="39" s="1"/>
  <c r="J34" i="39" s="1"/>
  <c r="E272" i="39"/>
  <c r="G272" i="39" s="1"/>
  <c r="H272" i="39" s="1"/>
  <c r="I272" i="39" s="1"/>
  <c r="J272" i="39" s="1"/>
  <c r="E272" i="12"/>
  <c r="G272" i="12" s="1"/>
  <c r="E68" i="39"/>
  <c r="G68" i="39" s="1"/>
  <c r="H68" i="39" s="1"/>
  <c r="I68" i="39" s="1"/>
  <c r="J68" i="39" s="1"/>
  <c r="E68" i="12"/>
  <c r="G68" i="12" s="1"/>
  <c r="E222" i="39"/>
  <c r="G222" i="39" s="1"/>
  <c r="H222" i="39" s="1"/>
  <c r="I222" i="39" s="1"/>
  <c r="J222" i="39" s="1"/>
  <c r="E222" i="12"/>
  <c r="G222" i="12" s="1"/>
  <c r="E248" i="39"/>
  <c r="G248" i="39" s="1"/>
  <c r="H248" i="39" s="1"/>
  <c r="I248" i="39" s="1"/>
  <c r="J248" i="39" s="1"/>
  <c r="E248" i="12"/>
  <c r="G248" i="12" s="1"/>
  <c r="E50" i="39"/>
  <c r="G50" i="39" s="1"/>
  <c r="H50" i="39" s="1"/>
  <c r="I50" i="39" s="1"/>
  <c r="J50" i="39" s="1"/>
  <c r="E50" i="12"/>
  <c r="G50" i="12" s="1"/>
  <c r="E287" i="39"/>
  <c r="G287" i="39" s="1"/>
  <c r="H287" i="39" s="1"/>
  <c r="I287" i="39" s="1"/>
  <c r="J287" i="39" s="1"/>
  <c r="E287" i="12"/>
  <c r="G287" i="12" s="1"/>
  <c r="E129" i="39"/>
  <c r="G129" i="39" s="1"/>
  <c r="H129" i="39" s="1"/>
  <c r="I129" i="39" s="1"/>
  <c r="J129" i="39" s="1"/>
  <c r="E129" i="12"/>
  <c r="G129" i="12" s="1"/>
  <c r="E239" i="39"/>
  <c r="G239" i="39" s="1"/>
  <c r="H239" i="39" s="1"/>
  <c r="I239" i="39" s="1"/>
  <c r="J239" i="39" s="1"/>
  <c r="E239" i="12"/>
  <c r="G239" i="12" s="1"/>
  <c r="E145" i="39"/>
  <c r="G145" i="39" s="1"/>
  <c r="H145" i="39" s="1"/>
  <c r="I145" i="39" s="1"/>
  <c r="J145" i="39" s="1"/>
  <c r="E145" i="12"/>
  <c r="G145" i="12" s="1"/>
  <c r="E130" i="39"/>
  <c r="G130" i="39" s="1"/>
  <c r="H130" i="39" s="1"/>
  <c r="I130" i="39" s="1"/>
  <c r="J130" i="39" s="1"/>
  <c r="E130" i="12"/>
  <c r="G130" i="12" s="1"/>
  <c r="E177" i="39"/>
  <c r="G177" i="39" s="1"/>
  <c r="H177" i="39" s="1"/>
  <c r="I177" i="39" s="1"/>
  <c r="J177" i="39" s="1"/>
  <c r="E177" i="12"/>
  <c r="G177" i="12" s="1"/>
  <c r="E121" i="39"/>
  <c r="G121" i="39" s="1"/>
  <c r="H121" i="39" s="1"/>
  <c r="I121" i="39" s="1"/>
  <c r="J121" i="39" s="1"/>
  <c r="E121" i="12"/>
  <c r="G121" i="12" s="1"/>
  <c r="E42" i="12"/>
  <c r="G42" i="12" s="1"/>
  <c r="E42" i="39"/>
  <c r="G42" i="39" s="1"/>
  <c r="H42" i="39" s="1"/>
  <c r="I42" i="39" s="1"/>
  <c r="J42" i="39" s="1"/>
  <c r="E124" i="39"/>
  <c r="G124" i="39" s="1"/>
  <c r="H124" i="39" s="1"/>
  <c r="I124" i="39" s="1"/>
  <c r="J124" i="39" s="1"/>
  <c r="E124" i="12"/>
  <c r="G124" i="12" s="1"/>
  <c r="E288" i="39"/>
  <c r="G288" i="39" s="1"/>
  <c r="H288" i="39" s="1"/>
  <c r="I288" i="39" s="1"/>
  <c r="J288" i="39" s="1"/>
  <c r="E288" i="12"/>
  <c r="G288" i="12" s="1"/>
  <c r="E9" i="12"/>
  <c r="G9" i="12" s="1"/>
  <c r="E9" i="39"/>
  <c r="G9" i="39" s="1"/>
  <c r="H9" i="39" s="1"/>
  <c r="I9" i="39" s="1"/>
  <c r="J9" i="39" s="1"/>
  <c r="E240" i="39"/>
  <c r="G240" i="39" s="1"/>
  <c r="H240" i="39" s="1"/>
  <c r="I240" i="39" s="1"/>
  <c r="J240" i="39" s="1"/>
  <c r="E240" i="12"/>
  <c r="G240" i="12" s="1"/>
  <c r="E21" i="12"/>
  <c r="G21" i="12" s="1"/>
  <c r="E21" i="39"/>
  <c r="G21" i="39" s="1"/>
  <c r="H21" i="39" s="1"/>
  <c r="I21" i="39" s="1"/>
  <c r="J21" i="39" s="1"/>
  <c r="E311" i="39"/>
  <c r="G311" i="39" s="1"/>
  <c r="H311" i="39" s="1"/>
  <c r="I311" i="39" s="1"/>
  <c r="J311" i="39" s="1"/>
  <c r="E311" i="12"/>
  <c r="G311" i="12" s="1"/>
  <c r="E289" i="39"/>
  <c r="G289" i="39" s="1"/>
  <c r="H289" i="39" s="1"/>
  <c r="I289" i="39" s="1"/>
  <c r="J289" i="39" s="1"/>
  <c r="E289" i="12"/>
  <c r="G289" i="12" s="1"/>
  <c r="E298" i="39"/>
  <c r="G298" i="39" s="1"/>
  <c r="H298" i="39" s="1"/>
  <c r="I298" i="39" s="1"/>
  <c r="J298" i="39" s="1"/>
  <c r="E298" i="12"/>
  <c r="G298" i="12" s="1"/>
  <c r="E309" i="12"/>
  <c r="G309" i="12" s="1"/>
  <c r="E309" i="39"/>
  <c r="G309" i="39" s="1"/>
  <c r="H309" i="39" s="1"/>
  <c r="I309" i="39" s="1"/>
  <c r="J309" i="39" s="1"/>
  <c r="E245" i="39"/>
  <c r="G245" i="39" s="1"/>
  <c r="H245" i="39" s="1"/>
  <c r="I245" i="39" s="1"/>
  <c r="J245" i="39" s="1"/>
  <c r="E245" i="12"/>
  <c r="G245" i="12" s="1"/>
  <c r="E254" i="39"/>
  <c r="G254" i="39" s="1"/>
  <c r="H254" i="39" s="1"/>
  <c r="I254" i="39" s="1"/>
  <c r="J254" i="39" s="1"/>
  <c r="E254" i="12"/>
  <c r="G254" i="12" s="1"/>
  <c r="E234" i="39"/>
  <c r="G234" i="39" s="1"/>
  <c r="H234" i="39" s="1"/>
  <c r="I234" i="39" s="1"/>
  <c r="J234" i="39" s="1"/>
  <c r="E234" i="12"/>
  <c r="G234" i="12" s="1"/>
  <c r="E235" i="39"/>
  <c r="G235" i="39" s="1"/>
  <c r="H235" i="39" s="1"/>
  <c r="I235" i="39" s="1"/>
  <c r="J235" i="39" s="1"/>
  <c r="E235" i="12"/>
  <c r="G235" i="12" s="1"/>
  <c r="E163" i="39"/>
  <c r="G163" i="39" s="1"/>
  <c r="H163" i="39" s="1"/>
  <c r="I163" i="39" s="1"/>
  <c r="J163" i="39" s="1"/>
  <c r="E163" i="12"/>
  <c r="G163" i="12" s="1"/>
  <c r="E99" i="39"/>
  <c r="G99" i="39" s="1"/>
  <c r="H99" i="39" s="1"/>
  <c r="I99" i="39" s="1"/>
  <c r="J99" i="39" s="1"/>
  <c r="E99" i="12"/>
  <c r="G99" i="12" s="1"/>
  <c r="E35" i="12"/>
  <c r="G35" i="12" s="1"/>
  <c r="E35" i="39"/>
  <c r="G35" i="39" s="1"/>
  <c r="H35" i="39" s="1"/>
  <c r="I35" i="39" s="1"/>
  <c r="J35" i="39" s="1"/>
  <c r="E196" i="12"/>
  <c r="G196" i="12" s="1"/>
  <c r="E196" i="39"/>
  <c r="G196" i="39" s="1"/>
  <c r="H196" i="39" s="1"/>
  <c r="I196" i="39" s="1"/>
  <c r="J196" i="39" s="1"/>
  <c r="E174" i="39"/>
  <c r="G174" i="39" s="1"/>
  <c r="H174" i="39" s="1"/>
  <c r="I174" i="39" s="1"/>
  <c r="J174" i="39" s="1"/>
  <c r="E174" i="12"/>
  <c r="G174" i="12" s="1"/>
  <c r="E110" i="39"/>
  <c r="G110" i="39" s="1"/>
  <c r="H110" i="39" s="1"/>
  <c r="I110" i="39" s="1"/>
  <c r="J110" i="39" s="1"/>
  <c r="E110" i="12"/>
  <c r="G110" i="12" s="1"/>
  <c r="E46" i="39"/>
  <c r="G46" i="39" s="1"/>
  <c r="H46" i="39" s="1"/>
  <c r="I46" i="39" s="1"/>
  <c r="J46" i="39" s="1"/>
  <c r="E46" i="12"/>
  <c r="G46" i="12" s="1"/>
  <c r="E183" i="12"/>
  <c r="G183" i="12" s="1"/>
  <c r="E183" i="39"/>
  <c r="G183" i="39" s="1"/>
  <c r="H183" i="39" s="1"/>
  <c r="I183" i="39" s="1"/>
  <c r="J183" i="39" s="1"/>
  <c r="E119" i="39"/>
  <c r="G119" i="39" s="1"/>
  <c r="H119" i="39" s="1"/>
  <c r="I119" i="39" s="1"/>
  <c r="J119" i="39" s="1"/>
  <c r="E119" i="12"/>
  <c r="G119" i="12" s="1"/>
  <c r="E55" i="12"/>
  <c r="G55" i="12" s="1"/>
  <c r="E55" i="39"/>
  <c r="G55" i="39" s="1"/>
  <c r="H55" i="39" s="1"/>
  <c r="I55" i="39" s="1"/>
  <c r="J55" i="39" s="1"/>
  <c r="E224" i="12"/>
  <c r="G224" i="12" s="1"/>
  <c r="E224" i="39"/>
  <c r="G224" i="39" s="1"/>
  <c r="H224" i="39" s="1"/>
  <c r="I224" i="39" s="1"/>
  <c r="J224" i="39" s="1"/>
  <c r="E160" i="39"/>
  <c r="G160" i="39" s="1"/>
  <c r="H160" i="39" s="1"/>
  <c r="I160" i="39" s="1"/>
  <c r="J160" i="39" s="1"/>
  <c r="E160" i="12"/>
  <c r="G160" i="12" s="1"/>
  <c r="E96" i="39"/>
  <c r="G96" i="39" s="1"/>
  <c r="H96" i="39" s="1"/>
  <c r="I96" i="39" s="1"/>
  <c r="J96" i="39" s="1"/>
  <c r="E96" i="12"/>
  <c r="G96" i="12" s="1"/>
  <c r="E32" i="12"/>
  <c r="G32" i="12" s="1"/>
  <c r="E32" i="39"/>
  <c r="G32" i="39" s="1"/>
  <c r="H32" i="39" s="1"/>
  <c r="I32" i="39" s="1"/>
  <c r="J32" i="39" s="1"/>
  <c r="E98" i="39"/>
  <c r="G98" i="39" s="1"/>
  <c r="H98" i="39" s="1"/>
  <c r="I98" i="39" s="1"/>
  <c r="J98" i="39" s="1"/>
  <c r="E98" i="12"/>
  <c r="G98" i="12" s="1"/>
  <c r="E295" i="39"/>
  <c r="G295" i="39" s="1"/>
  <c r="H295" i="39" s="1"/>
  <c r="I295" i="39" s="1"/>
  <c r="J295" i="39" s="1"/>
  <c r="E295" i="12"/>
  <c r="G295" i="12" s="1"/>
  <c r="E197" i="39"/>
  <c r="G197" i="39" s="1"/>
  <c r="H197" i="39" s="1"/>
  <c r="I197" i="39" s="1"/>
  <c r="J197" i="39" s="1"/>
  <c r="E197" i="12"/>
  <c r="G197" i="12" s="1"/>
  <c r="E307" i="39"/>
  <c r="G307" i="39" s="1"/>
  <c r="H307" i="39" s="1"/>
  <c r="I307" i="39" s="1"/>
  <c r="J307" i="39" s="1"/>
  <c r="E307" i="12"/>
  <c r="G307" i="12" s="1"/>
  <c r="E201" i="39"/>
  <c r="G201" i="39" s="1"/>
  <c r="H201" i="39" s="1"/>
  <c r="I201" i="39" s="1"/>
  <c r="J201" i="39" s="1"/>
  <c r="E201" i="12"/>
  <c r="G201" i="12" s="1"/>
  <c r="E142" i="39"/>
  <c r="G142" i="39" s="1"/>
  <c r="H142" i="39" s="1"/>
  <c r="I142" i="39" s="1"/>
  <c r="J142" i="39" s="1"/>
  <c r="E142" i="12"/>
  <c r="G142" i="12" s="1"/>
  <c r="E64" i="39"/>
  <c r="G64" i="39" s="1"/>
  <c r="H64" i="39" s="1"/>
  <c r="I64" i="39" s="1"/>
  <c r="J64" i="39" s="1"/>
  <c r="E64" i="12"/>
  <c r="G64" i="12" s="1"/>
  <c r="E101" i="39"/>
  <c r="G101" i="39" s="1"/>
  <c r="H101" i="39" s="1"/>
  <c r="I101" i="39" s="1"/>
  <c r="J101" i="39" s="1"/>
  <c r="E101" i="12"/>
  <c r="G101" i="12" s="1"/>
  <c r="E105" i="12"/>
  <c r="G105" i="12" s="1"/>
  <c r="E105" i="39"/>
  <c r="G105" i="39" s="1"/>
  <c r="H105" i="39" s="1"/>
  <c r="I105" i="39" s="1"/>
  <c r="J105" i="39" s="1"/>
  <c r="E233" i="39"/>
  <c r="G233" i="39" s="1"/>
  <c r="H233" i="39" s="1"/>
  <c r="I233" i="39" s="1"/>
  <c r="J233" i="39" s="1"/>
  <c r="E233" i="12"/>
  <c r="G233" i="12" s="1"/>
  <c r="E304" i="12"/>
  <c r="G304" i="12" s="1"/>
  <c r="E304" i="39"/>
  <c r="G304" i="39" s="1"/>
  <c r="H304" i="39" s="1"/>
  <c r="I304" i="39" s="1"/>
  <c r="J304" i="39" s="1"/>
  <c r="E247" i="39"/>
  <c r="G247" i="39" s="1"/>
  <c r="H247" i="39" s="1"/>
  <c r="I247" i="39" s="1"/>
  <c r="J247" i="39" s="1"/>
  <c r="E247" i="12"/>
  <c r="G247" i="12" s="1"/>
  <c r="E116" i="39"/>
  <c r="G116" i="39" s="1"/>
  <c r="H116" i="39" s="1"/>
  <c r="I116" i="39" s="1"/>
  <c r="J116" i="39" s="1"/>
  <c r="E116" i="12"/>
  <c r="G116" i="12" s="1"/>
  <c r="E275" i="39"/>
  <c r="G275" i="39" s="1"/>
  <c r="H275" i="39" s="1"/>
  <c r="I275" i="39" s="1"/>
  <c r="J275" i="39" s="1"/>
  <c r="E275" i="12"/>
  <c r="G275" i="12" s="1"/>
  <c r="E291" i="39"/>
  <c r="G291" i="39" s="1"/>
  <c r="H291" i="39" s="1"/>
  <c r="I291" i="39" s="1"/>
  <c r="J291" i="39" s="1"/>
  <c r="E291" i="12"/>
  <c r="G291" i="12" s="1"/>
  <c r="E255" i="39"/>
  <c r="G255" i="39" s="1"/>
  <c r="H255" i="39" s="1"/>
  <c r="I255" i="39" s="1"/>
  <c r="J255" i="39" s="1"/>
  <c r="E255" i="12"/>
  <c r="G255" i="12" s="1"/>
  <c r="E301" i="39"/>
  <c r="G301" i="39" s="1"/>
  <c r="H301" i="39" s="1"/>
  <c r="I301" i="39" s="1"/>
  <c r="J301" i="39" s="1"/>
  <c r="E301" i="12"/>
  <c r="G301" i="12" s="1"/>
  <c r="E246" i="39"/>
  <c r="G246" i="39" s="1"/>
  <c r="H246" i="39" s="1"/>
  <c r="I246" i="39" s="1"/>
  <c r="J246" i="39" s="1"/>
  <c r="E246" i="12"/>
  <c r="G246" i="12" s="1"/>
  <c r="E155" i="39"/>
  <c r="G155" i="39" s="1"/>
  <c r="H155" i="39" s="1"/>
  <c r="I155" i="39" s="1"/>
  <c r="J155" i="39" s="1"/>
  <c r="E155" i="12"/>
  <c r="G155" i="12" s="1"/>
  <c r="E27" i="39"/>
  <c r="G27" i="39" s="1"/>
  <c r="H27" i="39" s="1"/>
  <c r="I27" i="39" s="1"/>
  <c r="J27" i="39" s="1"/>
  <c r="E27" i="12"/>
  <c r="G27" i="12" s="1"/>
  <c r="E237" i="39"/>
  <c r="G237" i="39" s="1"/>
  <c r="H237" i="39" s="1"/>
  <c r="I237" i="39" s="1"/>
  <c r="J237" i="39" s="1"/>
  <c r="E237" i="12"/>
  <c r="G237" i="12" s="1"/>
  <c r="E102" i="39"/>
  <c r="G102" i="39" s="1"/>
  <c r="H102" i="39" s="1"/>
  <c r="I102" i="39" s="1"/>
  <c r="J102" i="39" s="1"/>
  <c r="E102" i="12"/>
  <c r="G102" i="12" s="1"/>
  <c r="E38" i="12"/>
  <c r="G38" i="12" s="1"/>
  <c r="E38" i="39"/>
  <c r="G38" i="39" s="1"/>
  <c r="H38" i="39" s="1"/>
  <c r="I38" i="39" s="1"/>
  <c r="J38" i="39" s="1"/>
  <c r="E175" i="39"/>
  <c r="G175" i="39" s="1"/>
  <c r="H175" i="39" s="1"/>
  <c r="I175" i="39" s="1"/>
  <c r="J175" i="39" s="1"/>
  <c r="E175" i="12"/>
  <c r="G175" i="12" s="1"/>
  <c r="E111" i="12"/>
  <c r="G111" i="12" s="1"/>
  <c r="E111" i="39"/>
  <c r="G111" i="39" s="1"/>
  <c r="H111" i="39" s="1"/>
  <c r="I111" i="39" s="1"/>
  <c r="J111" i="39" s="1"/>
  <c r="E47" i="12"/>
  <c r="G47" i="12" s="1"/>
  <c r="E47" i="39"/>
  <c r="G47" i="39" s="1"/>
  <c r="H47" i="39" s="1"/>
  <c r="I47" i="39" s="1"/>
  <c r="J47" i="39" s="1"/>
  <c r="E152" i="39"/>
  <c r="G152" i="39" s="1"/>
  <c r="H152" i="39" s="1"/>
  <c r="I152" i="39" s="1"/>
  <c r="J152" i="39" s="1"/>
  <c r="E152" i="12"/>
  <c r="G152" i="12" s="1"/>
  <c r="E88" i="39"/>
  <c r="G88" i="39" s="1"/>
  <c r="H88" i="39" s="1"/>
  <c r="I88" i="39" s="1"/>
  <c r="J88" i="39" s="1"/>
  <c r="E88" i="12"/>
  <c r="G88" i="12" s="1"/>
  <c r="E24" i="12"/>
  <c r="G24" i="12" s="1"/>
  <c r="E24" i="39"/>
  <c r="G24" i="39" s="1"/>
  <c r="H24" i="39" s="1"/>
  <c r="I24" i="39" s="1"/>
  <c r="J24" i="39" s="1"/>
  <c r="E90" i="12"/>
  <c r="G90" i="12" s="1"/>
  <c r="E90" i="39"/>
  <c r="G90" i="39" s="1"/>
  <c r="H90" i="39" s="1"/>
  <c r="I90" i="39" s="1"/>
  <c r="J90" i="39" s="1"/>
  <c r="E18" i="12"/>
  <c r="G18" i="12" s="1"/>
  <c r="E18" i="39"/>
  <c r="G18" i="39" s="1"/>
  <c r="H18" i="39" s="1"/>
  <c r="I18" i="39" s="1"/>
  <c r="J18" i="39" s="1"/>
  <c r="E256" i="39"/>
  <c r="G256" i="39" s="1"/>
  <c r="H256" i="39" s="1"/>
  <c r="I256" i="39" s="1"/>
  <c r="J256" i="39" s="1"/>
  <c r="E256" i="12"/>
  <c r="G256" i="12" s="1"/>
  <c r="E74" i="39"/>
  <c r="G74" i="39" s="1"/>
  <c r="H74" i="39" s="1"/>
  <c r="I74" i="39" s="1"/>
  <c r="J74" i="39" s="1"/>
  <c r="E74" i="12"/>
  <c r="G74" i="12" s="1"/>
  <c r="E257" i="39"/>
  <c r="G257" i="39" s="1"/>
  <c r="H257" i="39" s="1"/>
  <c r="I257" i="39" s="1"/>
  <c r="J257" i="39" s="1"/>
  <c r="E257" i="12"/>
  <c r="G257" i="12" s="1"/>
  <c r="E286" i="39"/>
  <c r="G286" i="39" s="1"/>
  <c r="H286" i="39" s="1"/>
  <c r="I286" i="39" s="1"/>
  <c r="J286" i="39" s="1"/>
  <c r="E286" i="12"/>
  <c r="G286" i="12" s="1"/>
  <c r="E131" i="39"/>
  <c r="G131" i="39" s="1"/>
  <c r="H131" i="39" s="1"/>
  <c r="I131" i="39" s="1"/>
  <c r="J131" i="39" s="1"/>
  <c r="E131" i="12"/>
  <c r="G131" i="12" s="1"/>
  <c r="E213" i="39"/>
  <c r="G213" i="39" s="1"/>
  <c r="H213" i="39" s="1"/>
  <c r="I213" i="39" s="1"/>
  <c r="J213" i="39" s="1"/>
  <c r="E213" i="12"/>
  <c r="G213" i="12" s="1"/>
  <c r="E87" i="39"/>
  <c r="G87" i="39" s="1"/>
  <c r="H87" i="39" s="1"/>
  <c r="I87" i="39" s="1"/>
  <c r="J87" i="39" s="1"/>
  <c r="E87" i="12"/>
  <c r="G87" i="12" s="1"/>
  <c r="E128" i="39"/>
  <c r="G128" i="39" s="1"/>
  <c r="H128" i="39" s="1"/>
  <c r="I128" i="39" s="1"/>
  <c r="J128" i="39" s="1"/>
  <c r="E128" i="12"/>
  <c r="G128" i="12" s="1"/>
  <c r="E109" i="12"/>
  <c r="G109" i="12" s="1"/>
  <c r="E109" i="39"/>
  <c r="G109" i="39" s="1"/>
  <c r="H109" i="39" s="1"/>
  <c r="I109" i="39" s="1"/>
  <c r="J109" i="39" s="1"/>
  <c r="E26" i="39"/>
  <c r="G26" i="39" s="1"/>
  <c r="H26" i="39" s="1"/>
  <c r="I26" i="39" s="1"/>
  <c r="J26" i="39" s="1"/>
  <c r="E26" i="12"/>
  <c r="G26" i="12" s="1"/>
  <c r="E149" i="39"/>
  <c r="G149" i="39" s="1"/>
  <c r="H149" i="39" s="1"/>
  <c r="I149" i="39" s="1"/>
  <c r="J149" i="39" s="1"/>
  <c r="E149" i="12"/>
  <c r="G149" i="12" s="1"/>
  <c r="E284" i="39"/>
  <c r="G284" i="39" s="1"/>
  <c r="H284" i="39" s="1"/>
  <c r="I284" i="39" s="1"/>
  <c r="J284" i="39" s="1"/>
  <c r="E284" i="12"/>
  <c r="G284" i="12" s="1"/>
  <c r="E263" i="39"/>
  <c r="G263" i="39" s="1"/>
  <c r="H263" i="39" s="1"/>
  <c r="I263" i="39" s="1"/>
  <c r="J263" i="39" s="1"/>
  <c r="E263" i="12"/>
  <c r="G263" i="12" s="1"/>
  <c r="E57" i="12"/>
  <c r="G57" i="12" s="1"/>
  <c r="E57" i="39"/>
  <c r="G57" i="39" s="1"/>
  <c r="H57" i="39" s="1"/>
  <c r="I57" i="39" s="1"/>
  <c r="J57" i="39" s="1"/>
  <c r="E73" i="12"/>
  <c r="G73" i="12" s="1"/>
  <c r="E73" i="39"/>
  <c r="G73" i="39" s="1"/>
  <c r="H73" i="39" s="1"/>
  <c r="I73" i="39" s="1"/>
  <c r="J73" i="39" s="1"/>
  <c r="E60" i="39"/>
  <c r="G60" i="39" s="1"/>
  <c r="H60" i="39" s="1"/>
  <c r="I60" i="39" s="1"/>
  <c r="J60" i="39" s="1"/>
  <c r="E60" i="12"/>
  <c r="G60" i="12" s="1"/>
  <c r="E29" i="12"/>
  <c r="G29" i="12" s="1"/>
  <c r="E29" i="39"/>
  <c r="G29" i="39" s="1"/>
  <c r="H29" i="39" s="1"/>
  <c r="I29" i="39" s="1"/>
  <c r="J29" i="39" s="1"/>
  <c r="E52" i="39"/>
  <c r="G52" i="39" s="1"/>
  <c r="H52" i="39" s="1"/>
  <c r="I52" i="39" s="1"/>
  <c r="J52" i="39" s="1"/>
  <c r="E52" i="12"/>
  <c r="G52" i="12" s="1"/>
  <c r="E185" i="39"/>
  <c r="G185" i="39" s="1"/>
  <c r="H185" i="39" s="1"/>
  <c r="I185" i="39" s="1"/>
  <c r="J185" i="39" s="1"/>
  <c r="E185" i="12"/>
  <c r="G185" i="12" s="1"/>
  <c r="E122" i="39"/>
  <c r="G122" i="39" s="1"/>
  <c r="H122" i="39" s="1"/>
  <c r="I122" i="39" s="1"/>
  <c r="J122" i="39" s="1"/>
  <c r="E122" i="12"/>
  <c r="G122" i="12" s="1"/>
  <c r="E281" i="39"/>
  <c r="G281" i="39" s="1"/>
  <c r="H281" i="39" s="1"/>
  <c r="I281" i="39" s="1"/>
  <c r="J281" i="39" s="1"/>
  <c r="E281" i="12"/>
  <c r="G281" i="12" s="1"/>
  <c r="E290" i="39"/>
  <c r="G290" i="39" s="1"/>
  <c r="H290" i="39" s="1"/>
  <c r="I290" i="39" s="1"/>
  <c r="J290" i="39" s="1"/>
  <c r="E290" i="12"/>
  <c r="G290" i="12" s="1"/>
  <c r="E310" i="39"/>
  <c r="G310" i="39" s="1"/>
  <c r="H310" i="39" s="1"/>
  <c r="I310" i="39" s="1"/>
  <c r="J310" i="39" s="1"/>
  <c r="E310" i="12"/>
  <c r="G310" i="12" s="1"/>
  <c r="E226" i="39"/>
  <c r="G226" i="39" s="1"/>
  <c r="H226" i="39" s="1"/>
  <c r="I226" i="39" s="1"/>
  <c r="J226" i="39" s="1"/>
  <c r="E226" i="12"/>
  <c r="G226" i="12" s="1"/>
  <c r="E227" i="12"/>
  <c r="G227" i="12" s="1"/>
  <c r="E227" i="39"/>
  <c r="G227" i="39" s="1"/>
  <c r="H227" i="39" s="1"/>
  <c r="I227" i="39" s="1"/>
  <c r="J227" i="39" s="1"/>
  <c r="E91" i="39"/>
  <c r="G91" i="39" s="1"/>
  <c r="H91" i="39" s="1"/>
  <c r="I91" i="39" s="1"/>
  <c r="J91" i="39" s="1"/>
  <c r="E91" i="12"/>
  <c r="G91" i="12" s="1"/>
  <c r="E166" i="39"/>
  <c r="G166" i="39" s="1"/>
  <c r="H166" i="39" s="1"/>
  <c r="I166" i="39" s="1"/>
  <c r="J166" i="39" s="1"/>
  <c r="E166" i="12"/>
  <c r="G166" i="12" s="1"/>
  <c r="E216" i="12"/>
  <c r="G216" i="12" s="1"/>
  <c r="E216" i="39"/>
  <c r="G216" i="39" s="1"/>
  <c r="H216" i="39" s="1"/>
  <c r="I216" i="39" s="1"/>
  <c r="J216" i="39" s="1"/>
  <c r="E141" i="39"/>
  <c r="G141" i="39" s="1"/>
  <c r="H141" i="39" s="1"/>
  <c r="I141" i="39" s="1"/>
  <c r="J141" i="39" s="1"/>
  <c r="E141" i="12"/>
  <c r="G141" i="12" s="1"/>
  <c r="E77" i="12"/>
  <c r="G77" i="12" s="1"/>
  <c r="E77" i="39"/>
  <c r="G77" i="39" s="1"/>
  <c r="H77" i="39" s="1"/>
  <c r="I77" i="39" s="1"/>
  <c r="J77" i="39" s="1"/>
  <c r="E223" i="39"/>
  <c r="G223" i="39" s="1"/>
  <c r="H223" i="39" s="1"/>
  <c r="I223" i="39" s="1"/>
  <c r="J223" i="39" s="1"/>
  <c r="E223" i="12"/>
  <c r="G223" i="12" s="1"/>
  <c r="E172" i="39"/>
  <c r="G172" i="39" s="1"/>
  <c r="H172" i="39" s="1"/>
  <c r="I172" i="39" s="1"/>
  <c r="J172" i="39" s="1"/>
  <c r="E172" i="12"/>
  <c r="G172" i="12" s="1"/>
  <c r="E299" i="39"/>
  <c r="G299" i="39" s="1"/>
  <c r="H299" i="39" s="1"/>
  <c r="I299" i="39" s="1"/>
  <c r="J299" i="39" s="1"/>
  <c r="E299" i="12"/>
  <c r="G299" i="12" s="1"/>
  <c r="E188" i="39"/>
  <c r="G188" i="39" s="1"/>
  <c r="H188" i="39" s="1"/>
  <c r="I188" i="39" s="1"/>
  <c r="J188" i="39" s="1"/>
  <c r="E188" i="12"/>
  <c r="G188" i="12" s="1"/>
  <c r="E280" i="39"/>
  <c r="G280" i="39" s="1"/>
  <c r="H280" i="39" s="1"/>
  <c r="I280" i="39" s="1"/>
  <c r="J280" i="39" s="1"/>
  <c r="E280" i="12"/>
  <c r="G280" i="12" s="1"/>
  <c r="E194" i="39"/>
  <c r="G194" i="39" s="1"/>
  <c r="H194" i="39" s="1"/>
  <c r="I194" i="39" s="1"/>
  <c r="J194" i="39" s="1"/>
  <c r="E194" i="12"/>
  <c r="G194" i="12" s="1"/>
  <c r="E300" i="12"/>
  <c r="G300" i="12" s="1"/>
  <c r="E300" i="39"/>
  <c r="G300" i="39" s="1"/>
  <c r="H300" i="39" s="1"/>
  <c r="I300" i="39" s="1"/>
  <c r="J300" i="39" s="1"/>
  <c r="E164" i="39"/>
  <c r="G164" i="39" s="1"/>
  <c r="H164" i="39" s="1"/>
  <c r="I164" i="39" s="1"/>
  <c r="J164" i="39" s="1"/>
  <c r="E164" i="12"/>
  <c r="G164" i="12" s="1"/>
  <c r="E146" i="39"/>
  <c r="G146" i="39" s="1"/>
  <c r="H146" i="39" s="1"/>
  <c r="I146" i="39" s="1"/>
  <c r="J146" i="39" s="1"/>
  <c r="E146" i="12"/>
  <c r="G146" i="12" s="1"/>
  <c r="E186" i="39"/>
  <c r="G186" i="39" s="1"/>
  <c r="H186" i="39" s="1"/>
  <c r="I186" i="39" s="1"/>
  <c r="J186" i="39" s="1"/>
  <c r="E186" i="12"/>
  <c r="G186" i="12" s="1"/>
  <c r="E137" i="39"/>
  <c r="G137" i="39" s="1"/>
  <c r="H137" i="39" s="1"/>
  <c r="I137" i="39" s="1"/>
  <c r="J137" i="39" s="1"/>
  <c r="E137" i="12"/>
  <c r="G137" i="12" s="1"/>
  <c r="E58" i="39"/>
  <c r="G58" i="39" s="1"/>
  <c r="H58" i="39" s="1"/>
  <c r="I58" i="39" s="1"/>
  <c r="J58" i="39" s="1"/>
  <c r="E58" i="12"/>
  <c r="G58" i="12" s="1"/>
  <c r="E133" i="39"/>
  <c r="G133" i="39" s="1"/>
  <c r="H133" i="39" s="1"/>
  <c r="I133" i="39" s="1"/>
  <c r="J133" i="39" s="1"/>
  <c r="E133" i="12"/>
  <c r="G133" i="12" s="1"/>
  <c r="E252" i="39"/>
  <c r="G252" i="39" s="1"/>
  <c r="H252" i="39" s="1"/>
  <c r="I252" i="39" s="1"/>
  <c r="J252" i="39" s="1"/>
  <c r="E252" i="12"/>
  <c r="G252" i="12" s="1"/>
  <c r="E25" i="12"/>
  <c r="G25" i="12" s="1"/>
  <c r="E25" i="39"/>
  <c r="G25" i="39" s="1"/>
  <c r="H25" i="39" s="1"/>
  <c r="I25" i="39" s="1"/>
  <c r="J25" i="39" s="1"/>
  <c r="E308" i="39"/>
  <c r="G308" i="39" s="1"/>
  <c r="H308" i="39" s="1"/>
  <c r="I308" i="39" s="1"/>
  <c r="J308" i="39" s="1"/>
  <c r="E308" i="12"/>
  <c r="G308" i="12" s="1"/>
  <c r="E273" i="39"/>
  <c r="G273" i="39" s="1"/>
  <c r="H273" i="39" s="1"/>
  <c r="I273" i="39" s="1"/>
  <c r="J273" i="39" s="1"/>
  <c r="E273" i="12"/>
  <c r="G273" i="12" s="1"/>
  <c r="E282" i="39"/>
  <c r="G282" i="39" s="1"/>
  <c r="H282" i="39" s="1"/>
  <c r="I282" i="39" s="1"/>
  <c r="J282" i="39" s="1"/>
  <c r="E282" i="12"/>
  <c r="G282" i="12" s="1"/>
  <c r="E293" i="39"/>
  <c r="G293" i="39" s="1"/>
  <c r="H293" i="39" s="1"/>
  <c r="I293" i="39" s="1"/>
  <c r="J293" i="39" s="1"/>
  <c r="E293" i="12"/>
  <c r="G293" i="12" s="1"/>
  <c r="E302" i="12"/>
  <c r="G302" i="12" s="1"/>
  <c r="E302" i="39"/>
  <c r="G302" i="39" s="1"/>
  <c r="H302" i="39" s="1"/>
  <c r="I302" i="39" s="1"/>
  <c r="J302" i="39" s="1"/>
  <c r="E225" i="39"/>
  <c r="G225" i="39" s="1"/>
  <c r="H225" i="39" s="1"/>
  <c r="I225" i="39" s="1"/>
  <c r="J225" i="39" s="1"/>
  <c r="E225" i="12"/>
  <c r="G225" i="12" s="1"/>
  <c r="E218" i="39"/>
  <c r="G218" i="39" s="1"/>
  <c r="H218" i="39" s="1"/>
  <c r="I218" i="39" s="1"/>
  <c r="J218" i="39" s="1"/>
  <c r="E218" i="12"/>
  <c r="G218" i="12" s="1"/>
  <c r="E219" i="12"/>
  <c r="G219" i="12" s="1"/>
  <c r="E219" i="39"/>
  <c r="G219" i="39" s="1"/>
  <c r="H219" i="39" s="1"/>
  <c r="I219" i="39" s="1"/>
  <c r="J219" i="39" s="1"/>
  <c r="E147" i="39"/>
  <c r="G147" i="39" s="1"/>
  <c r="H147" i="39" s="1"/>
  <c r="I147" i="39" s="1"/>
  <c r="J147" i="39" s="1"/>
  <c r="E147" i="12"/>
  <c r="G147" i="12" s="1"/>
  <c r="E83" i="39"/>
  <c r="G83" i="39" s="1"/>
  <c r="H83" i="39" s="1"/>
  <c r="I83" i="39" s="1"/>
  <c r="J83" i="39" s="1"/>
  <c r="E83" i="12"/>
  <c r="G83" i="12" s="1"/>
  <c r="E19" i="12"/>
  <c r="G19" i="12" s="1"/>
  <c r="E19" i="39"/>
  <c r="G19" i="39" s="1"/>
  <c r="H19" i="39" s="1"/>
  <c r="I19" i="39" s="1"/>
  <c r="J19" i="39" s="1"/>
  <c r="E229" i="39"/>
  <c r="G229" i="39" s="1"/>
  <c r="H229" i="39" s="1"/>
  <c r="I229" i="39" s="1"/>
  <c r="J229" i="39" s="1"/>
  <c r="E229" i="12"/>
  <c r="G229" i="12" s="1"/>
  <c r="E158" i="39"/>
  <c r="G158" i="39" s="1"/>
  <c r="H158" i="39" s="1"/>
  <c r="I158" i="39" s="1"/>
  <c r="J158" i="39" s="1"/>
  <c r="E158" i="12"/>
  <c r="G158" i="12" s="1"/>
  <c r="E94" i="39"/>
  <c r="G94" i="39" s="1"/>
  <c r="H94" i="39" s="1"/>
  <c r="I94" i="39" s="1"/>
  <c r="J94" i="39" s="1"/>
  <c r="E94" i="12"/>
  <c r="G94" i="12" s="1"/>
  <c r="E30" i="12"/>
  <c r="G30" i="12" s="1"/>
  <c r="E30" i="39"/>
  <c r="G30" i="39" s="1"/>
  <c r="H30" i="39" s="1"/>
  <c r="I30" i="39" s="1"/>
  <c r="J30" i="39" s="1"/>
  <c r="E167" i="39"/>
  <c r="G167" i="39" s="1"/>
  <c r="H167" i="39" s="1"/>
  <c r="I167" i="39" s="1"/>
  <c r="J167" i="39" s="1"/>
  <c r="E167" i="12"/>
  <c r="G167" i="12" s="1"/>
  <c r="E103" i="39"/>
  <c r="G103" i="39" s="1"/>
  <c r="H103" i="39" s="1"/>
  <c r="I103" i="39" s="1"/>
  <c r="J103" i="39" s="1"/>
  <c r="E103" i="12"/>
  <c r="G103" i="12" s="1"/>
  <c r="E39" i="12"/>
  <c r="G39" i="12" s="1"/>
  <c r="E39" i="39"/>
  <c r="G39" i="39" s="1"/>
  <c r="H39" i="39" s="1"/>
  <c r="I39" i="39" s="1"/>
  <c r="J39" i="39" s="1"/>
  <c r="E208" i="39"/>
  <c r="G208" i="39" s="1"/>
  <c r="H208" i="39" s="1"/>
  <c r="I208" i="39" s="1"/>
  <c r="J208" i="39" s="1"/>
  <c r="E208" i="12"/>
  <c r="G208" i="12" s="1"/>
  <c r="E144" i="39"/>
  <c r="G144" i="39" s="1"/>
  <c r="H144" i="39" s="1"/>
  <c r="I144" i="39" s="1"/>
  <c r="J144" i="39" s="1"/>
  <c r="E144" i="12"/>
  <c r="G144" i="12" s="1"/>
  <c r="E80" i="39"/>
  <c r="G80" i="39" s="1"/>
  <c r="H80" i="39" s="1"/>
  <c r="I80" i="39" s="1"/>
  <c r="J80" i="39" s="1"/>
  <c r="E80" i="12"/>
  <c r="G80" i="12" s="1"/>
  <c r="E16" i="12"/>
  <c r="G16" i="12" s="1"/>
  <c r="E16" i="39"/>
  <c r="G16" i="39" s="1"/>
  <c r="H16" i="39" s="1"/>
  <c r="I16" i="39" s="1"/>
  <c r="J16" i="39" s="1"/>
  <c r="E230" i="39"/>
  <c r="G230" i="39" s="1"/>
  <c r="H230" i="39" s="1"/>
  <c r="I230" i="39" s="1"/>
  <c r="J230" i="39" s="1"/>
  <c r="E230" i="12"/>
  <c r="G230" i="12" s="1"/>
  <c r="E93" i="39"/>
  <c r="G93" i="39" s="1"/>
  <c r="H93" i="39" s="1"/>
  <c r="I93" i="39" s="1"/>
  <c r="J93" i="39" s="1"/>
  <c r="E93" i="12"/>
  <c r="G93" i="12" s="1"/>
  <c r="E205" i="39"/>
  <c r="G205" i="39" s="1"/>
  <c r="H205" i="39" s="1"/>
  <c r="I205" i="39" s="1"/>
  <c r="J205" i="39" s="1"/>
  <c r="E205" i="12"/>
  <c r="G205" i="12" s="1"/>
  <c r="E140" i="39"/>
  <c r="G140" i="39" s="1"/>
  <c r="H140" i="39" s="1"/>
  <c r="I140" i="39" s="1"/>
  <c r="J140" i="39" s="1"/>
  <c r="E140" i="12"/>
  <c r="G140" i="12" s="1"/>
  <c r="E202" i="39"/>
  <c r="G202" i="39" s="1"/>
  <c r="H202" i="39" s="1"/>
  <c r="I202" i="39" s="1"/>
  <c r="J202" i="39" s="1"/>
  <c r="E202" i="12"/>
  <c r="G202" i="12" s="1"/>
  <c r="E238" i="39"/>
  <c r="G238" i="39" s="1"/>
  <c r="H238" i="39" s="1"/>
  <c r="I238" i="39" s="1"/>
  <c r="J238" i="39" s="1"/>
  <c r="E238" i="12"/>
  <c r="G238" i="12" s="1"/>
  <c r="E215" i="39"/>
  <c r="G215" i="39" s="1"/>
  <c r="H215" i="39" s="1"/>
  <c r="I215" i="39" s="1"/>
  <c r="J215" i="39" s="1"/>
  <c r="E215" i="12"/>
  <c r="G215" i="12" s="1"/>
  <c r="E148" i="39"/>
  <c r="G148" i="39" s="1"/>
  <c r="H148" i="39" s="1"/>
  <c r="I148" i="39" s="1"/>
  <c r="J148" i="39" s="1"/>
  <c r="E148" i="12"/>
  <c r="G148" i="12" s="1"/>
  <c r="E84" i="39"/>
  <c r="G84" i="39" s="1"/>
  <c r="H84" i="39" s="1"/>
  <c r="I84" i="39" s="1"/>
  <c r="J84" i="39" s="1"/>
  <c r="E84" i="12"/>
  <c r="G84" i="12" s="1"/>
  <c r="E204" i="39"/>
  <c r="G204" i="39" s="1"/>
  <c r="H204" i="39" s="1"/>
  <c r="I204" i="39" s="1"/>
  <c r="J204" i="39" s="1"/>
  <c r="E204" i="12"/>
  <c r="G204" i="12" s="1"/>
  <c r="E66" i="39"/>
  <c r="G66" i="39" s="1"/>
  <c r="H66" i="39" s="1"/>
  <c r="I66" i="39" s="1"/>
  <c r="J66" i="39" s="1"/>
  <c r="E66" i="12"/>
  <c r="G66" i="12" s="1"/>
  <c r="E271" i="39"/>
  <c r="G271" i="39" s="1"/>
  <c r="H271" i="39" s="1"/>
  <c r="I271" i="39" s="1"/>
  <c r="J271" i="39" s="1"/>
  <c r="E271" i="12"/>
  <c r="G271" i="12" s="1"/>
  <c r="E82" i="39"/>
  <c r="G82" i="39" s="1"/>
  <c r="H82" i="39" s="1"/>
  <c r="I82" i="39" s="1"/>
  <c r="J82" i="39" s="1"/>
  <c r="E82" i="12"/>
  <c r="G82" i="12" s="1"/>
  <c r="E244" i="39"/>
  <c r="G244" i="39" s="1"/>
  <c r="H244" i="39" s="1"/>
  <c r="I244" i="39" s="1"/>
  <c r="J244" i="39" s="1"/>
  <c r="E244" i="12"/>
  <c r="G244" i="12" s="1"/>
  <c r="E89" i="39"/>
  <c r="G89" i="39" s="1"/>
  <c r="H89" i="39" s="1"/>
  <c r="I89" i="39" s="1"/>
  <c r="J89" i="39" s="1"/>
  <c r="E89" i="12"/>
  <c r="G89" i="12" s="1"/>
  <c r="E264" i="39"/>
  <c r="G264" i="39" s="1"/>
  <c r="H264" i="39" s="1"/>
  <c r="I264" i="39" s="1"/>
  <c r="J264" i="39" s="1"/>
  <c r="E264" i="12"/>
  <c r="G264" i="12" s="1"/>
  <c r="E69" i="12"/>
  <c r="G69" i="12" s="1"/>
  <c r="E69" i="39"/>
  <c r="G69" i="39" s="1"/>
  <c r="H69" i="39" s="1"/>
  <c r="I69" i="39" s="1"/>
  <c r="J69" i="39" s="1"/>
  <c r="E49" i="39"/>
  <c r="G49" i="39" s="1"/>
  <c r="H49" i="39" s="1"/>
  <c r="I49" i="39" s="1"/>
  <c r="J49" i="39" s="1"/>
  <c r="E49" i="12"/>
  <c r="G49" i="12" s="1"/>
  <c r="E125" i="39"/>
  <c r="G125" i="39" s="1"/>
  <c r="H125" i="39" s="1"/>
  <c r="I125" i="39" s="1"/>
  <c r="J125" i="39" s="1"/>
  <c r="E125" i="12"/>
  <c r="G125" i="12" s="1"/>
  <c r="E61" i="12"/>
  <c r="G61" i="12" s="1"/>
  <c r="E61" i="39"/>
  <c r="G61" i="39" s="1"/>
  <c r="H61" i="39" s="1"/>
  <c r="I61" i="39" s="1"/>
  <c r="J61" i="39" s="1"/>
  <c r="E292" i="39"/>
  <c r="G292" i="39" s="1"/>
  <c r="H292" i="39" s="1"/>
  <c r="I292" i="39" s="1"/>
  <c r="J292" i="39" s="1"/>
  <c r="E292" i="12"/>
  <c r="G292" i="12" s="1"/>
  <c r="E209" i="39"/>
  <c r="G209" i="39" s="1"/>
  <c r="H209" i="39" s="1"/>
  <c r="I209" i="39" s="1"/>
  <c r="J209" i="39" s="1"/>
  <c r="E209" i="12"/>
  <c r="G209" i="12" s="1"/>
  <c r="E267" i="39"/>
  <c r="G267" i="39" s="1"/>
  <c r="H267" i="39" s="1"/>
  <c r="I267" i="39" s="1"/>
  <c r="J267" i="39" s="1"/>
  <c r="E267" i="12"/>
  <c r="G267" i="12" s="1"/>
  <c r="E265" i="39"/>
  <c r="G265" i="39" s="1"/>
  <c r="H265" i="39" s="1"/>
  <c r="I265" i="39" s="1"/>
  <c r="J265" i="39" s="1"/>
  <c r="E265" i="12"/>
  <c r="G265" i="12" s="1"/>
  <c r="E274" i="39"/>
  <c r="G274" i="39" s="1"/>
  <c r="H274" i="39" s="1"/>
  <c r="I274" i="39" s="1"/>
  <c r="J274" i="39" s="1"/>
  <c r="E274" i="12"/>
  <c r="G274" i="12" s="1"/>
  <c r="E285" i="39"/>
  <c r="G285" i="39" s="1"/>
  <c r="H285" i="39" s="1"/>
  <c r="I285" i="39" s="1"/>
  <c r="J285" i="39" s="1"/>
  <c r="E285" i="12"/>
  <c r="G285" i="12" s="1"/>
  <c r="E294" i="39"/>
  <c r="G294" i="39" s="1"/>
  <c r="H294" i="39" s="1"/>
  <c r="I294" i="39" s="1"/>
  <c r="J294" i="39" s="1"/>
  <c r="E294" i="12"/>
  <c r="G294" i="12" s="1"/>
  <c r="E217" i="39"/>
  <c r="G217" i="39" s="1"/>
  <c r="H217" i="39" s="1"/>
  <c r="I217" i="39" s="1"/>
  <c r="J217" i="39" s="1"/>
  <c r="E217" i="12"/>
  <c r="G217" i="12" s="1"/>
  <c r="E210" i="39"/>
  <c r="G210" i="39" s="1"/>
  <c r="H210" i="39" s="1"/>
  <c r="I210" i="39" s="1"/>
  <c r="J210" i="39" s="1"/>
  <c r="E210" i="12"/>
  <c r="G210" i="12" s="1"/>
  <c r="E211" i="12"/>
  <c r="G211" i="12" s="1"/>
  <c r="E211" i="39"/>
  <c r="G211" i="39" s="1"/>
  <c r="H211" i="39" s="1"/>
  <c r="I211" i="39" s="1"/>
  <c r="J211" i="39" s="1"/>
  <c r="E139" i="39"/>
  <c r="G139" i="39" s="1"/>
  <c r="H139" i="39" s="1"/>
  <c r="I139" i="39" s="1"/>
  <c r="J139" i="39" s="1"/>
  <c r="E139" i="12"/>
  <c r="G139" i="12" s="1"/>
  <c r="E75" i="39"/>
  <c r="G75" i="39" s="1"/>
  <c r="H75" i="39" s="1"/>
  <c r="I75" i="39" s="1"/>
  <c r="J75" i="39" s="1"/>
  <c r="E75" i="12"/>
  <c r="G75" i="12" s="1"/>
  <c r="E11" i="39"/>
  <c r="G11" i="39" s="1"/>
  <c r="H11" i="39" s="1"/>
  <c r="I11" i="39" s="1"/>
  <c r="J11" i="39" s="1"/>
  <c r="E11" i="12"/>
  <c r="G11" i="12" s="1"/>
  <c r="E221" i="39"/>
  <c r="G221" i="39" s="1"/>
  <c r="H221" i="39" s="1"/>
  <c r="I221" i="39" s="1"/>
  <c r="J221" i="39" s="1"/>
  <c r="E221" i="12"/>
  <c r="G221" i="12" s="1"/>
  <c r="E150" i="39"/>
  <c r="G150" i="39" s="1"/>
  <c r="H150" i="39" s="1"/>
  <c r="I150" i="39" s="1"/>
  <c r="J150" i="39" s="1"/>
  <c r="E150" i="12"/>
  <c r="G150" i="12" s="1"/>
  <c r="E86" i="39"/>
  <c r="G86" i="39" s="1"/>
  <c r="H86" i="39" s="1"/>
  <c r="I86" i="39" s="1"/>
  <c r="J86" i="39" s="1"/>
  <c r="E86" i="12"/>
  <c r="G86" i="12" s="1"/>
  <c r="E22" i="12"/>
  <c r="G22" i="12" s="1"/>
  <c r="E22" i="39"/>
  <c r="G22" i="39" s="1"/>
  <c r="H22" i="39" s="1"/>
  <c r="I22" i="39" s="1"/>
  <c r="J22" i="39" s="1"/>
  <c r="E159" i="39"/>
  <c r="G159" i="39" s="1"/>
  <c r="H159" i="39" s="1"/>
  <c r="I159" i="39" s="1"/>
  <c r="J159" i="39" s="1"/>
  <c r="E159" i="12"/>
  <c r="G159" i="12" s="1"/>
  <c r="E95" i="39"/>
  <c r="G95" i="39" s="1"/>
  <c r="H95" i="39" s="1"/>
  <c r="I95" i="39" s="1"/>
  <c r="J95" i="39" s="1"/>
  <c r="E95" i="12"/>
  <c r="G95" i="12" s="1"/>
  <c r="E31" i="39"/>
  <c r="G31" i="39" s="1"/>
  <c r="H31" i="39" s="1"/>
  <c r="I31" i="39" s="1"/>
  <c r="J31" i="39" s="1"/>
  <c r="E31" i="12"/>
  <c r="G31" i="12" s="1"/>
  <c r="E200" i="12"/>
  <c r="G200" i="12" s="1"/>
  <c r="E200" i="39"/>
  <c r="G200" i="39" s="1"/>
  <c r="H200" i="39" s="1"/>
  <c r="I200" i="39" s="1"/>
  <c r="J200" i="39" s="1"/>
  <c r="E136" i="39"/>
  <c r="G136" i="39" s="1"/>
  <c r="H136" i="39" s="1"/>
  <c r="I136" i="39" s="1"/>
  <c r="J136" i="39" s="1"/>
  <c r="E136" i="12"/>
  <c r="G136" i="12" s="1"/>
  <c r="E72" i="39"/>
  <c r="G72" i="39" s="1"/>
  <c r="H72" i="39" s="1"/>
  <c r="I72" i="39" s="1"/>
  <c r="J72" i="39" s="1"/>
  <c r="E72" i="12"/>
  <c r="G72" i="12" s="1"/>
  <c r="E8" i="39"/>
  <c r="G8" i="39" s="1"/>
  <c r="H8" i="39" s="1"/>
  <c r="I8" i="39" s="1"/>
  <c r="J8" i="39" s="1"/>
  <c r="E8" i="12"/>
  <c r="G8" i="12" s="1"/>
  <c r="G253" i="25"/>
  <c r="G52" i="25"/>
  <c r="G150" i="25"/>
  <c r="G156" i="25"/>
  <c r="G245" i="25"/>
  <c r="G48" i="25"/>
  <c r="G117" i="25"/>
  <c r="G260" i="25"/>
  <c r="G159" i="25"/>
  <c r="G199" i="25"/>
  <c r="G314" i="25"/>
  <c r="G250" i="25"/>
  <c r="G122" i="25"/>
  <c r="G275" i="25"/>
  <c r="G83" i="25"/>
  <c r="G17" i="25"/>
  <c r="G14" i="25"/>
  <c r="G7" i="25"/>
  <c r="G289" i="25"/>
  <c r="G247" i="25"/>
  <c r="G155" i="25"/>
  <c r="G160" i="25"/>
  <c r="G91" i="25"/>
  <c r="G50" i="25"/>
  <c r="G23" i="25"/>
  <c r="G173" i="25"/>
  <c r="G273" i="25"/>
  <c r="G100" i="25"/>
  <c r="G101" i="25"/>
  <c r="G104" i="25"/>
  <c r="G62" i="25"/>
  <c r="G177" i="25"/>
  <c r="G300" i="25"/>
  <c r="G185" i="25"/>
  <c r="G56" i="25"/>
  <c r="G65" i="25"/>
  <c r="G72" i="25"/>
  <c r="G73" i="25"/>
  <c r="G77" i="25"/>
  <c r="G108" i="25"/>
  <c r="G182" i="25"/>
  <c r="G142" i="25"/>
  <c r="G292" i="25"/>
  <c r="G189" i="25"/>
  <c r="G238" i="25"/>
  <c r="G224" i="25"/>
  <c r="G279" i="25"/>
  <c r="G303" i="25"/>
  <c r="G127" i="25"/>
  <c r="G79" i="25"/>
  <c r="G167" i="25"/>
  <c r="G306" i="25"/>
  <c r="G242" i="25"/>
  <c r="G178" i="25"/>
  <c r="G114" i="25"/>
  <c r="G41" i="25"/>
  <c r="G267" i="25"/>
  <c r="G203" i="25"/>
  <c r="G139" i="25"/>
  <c r="G75" i="25"/>
  <c r="G13" i="25"/>
  <c r="G10" i="25"/>
  <c r="G55" i="25"/>
  <c r="G285" i="25"/>
  <c r="G227" i="25"/>
  <c r="G258" i="25"/>
  <c r="G149" i="25"/>
  <c r="G152" i="25"/>
  <c r="G42" i="25"/>
  <c r="G21" i="25"/>
  <c r="G209" i="25"/>
  <c r="G228" i="25"/>
  <c r="G172" i="25"/>
  <c r="G249" i="25"/>
  <c r="G168" i="25"/>
  <c r="G126" i="25"/>
  <c r="G254" i="25"/>
  <c r="G193" i="25"/>
  <c r="G197" i="25"/>
  <c r="G28" i="25"/>
  <c r="G165" i="25"/>
  <c r="G136" i="25"/>
  <c r="G244" i="25"/>
  <c r="G246" i="25"/>
  <c r="G76" i="25"/>
  <c r="G81" i="25"/>
  <c r="G206" i="25"/>
  <c r="G121" i="25"/>
  <c r="G222" i="25"/>
  <c r="G280" i="25"/>
  <c r="G293" i="25"/>
  <c r="G294" i="25"/>
  <c r="G271" i="25"/>
  <c r="G95" i="25"/>
  <c r="G295" i="25"/>
  <c r="G135" i="25"/>
  <c r="G298" i="25"/>
  <c r="G234" i="25"/>
  <c r="G170" i="25"/>
  <c r="G106" i="25"/>
  <c r="G58" i="25"/>
  <c r="G259" i="25"/>
  <c r="G195" i="25"/>
  <c r="G131" i="25"/>
  <c r="G67" i="25"/>
  <c r="G38" i="25"/>
  <c r="G59" i="25"/>
  <c r="G47" i="25"/>
  <c r="G305" i="25"/>
  <c r="G97" i="25"/>
  <c r="G109" i="25"/>
  <c r="G308" i="25"/>
  <c r="G261" i="25"/>
  <c r="G32" i="25"/>
  <c r="G78" i="25"/>
  <c r="G310" i="25"/>
  <c r="G211" i="25"/>
  <c r="G225" i="25"/>
  <c r="G143" i="25"/>
  <c r="G26" i="25"/>
  <c r="G124" i="25"/>
  <c r="G190" i="25"/>
  <c r="G70" i="25"/>
  <c r="G12" i="25"/>
  <c r="G241" i="25"/>
  <c r="G80" i="25"/>
  <c r="G223" i="25"/>
  <c r="G103" i="25"/>
  <c r="G98" i="25"/>
  <c r="G187" i="25"/>
  <c r="G54" i="25"/>
  <c r="G51" i="25"/>
  <c r="G221" i="25"/>
  <c r="G132" i="25"/>
  <c r="G86" i="25"/>
  <c r="G166" i="25"/>
  <c r="G257" i="25"/>
  <c r="G196" i="25"/>
  <c r="G181" i="25"/>
  <c r="G94" i="25"/>
  <c r="G141" i="25"/>
  <c r="G153" i="25"/>
  <c r="G286" i="25"/>
  <c r="G282" i="25"/>
  <c r="G90" i="25"/>
  <c r="G179" i="25"/>
  <c r="G35" i="25"/>
  <c r="G269" i="25"/>
  <c r="G219" i="25"/>
  <c r="G210" i="25"/>
  <c r="G119" i="25"/>
  <c r="G130" i="25"/>
  <c r="G18" i="25"/>
  <c r="G148" i="25"/>
  <c r="G220" i="25"/>
  <c r="G157" i="25"/>
  <c r="G120" i="25"/>
  <c r="G252" i="25"/>
  <c r="G176" i="25"/>
  <c r="G301" i="25"/>
  <c r="G8" i="25"/>
  <c r="G201" i="25"/>
  <c r="G205" i="25"/>
  <c r="G88" i="25"/>
  <c r="G198" i="25"/>
  <c r="G112" i="25"/>
  <c r="G40" i="25"/>
  <c r="G272" i="25"/>
  <c r="G158" i="25"/>
  <c r="G256" i="25"/>
  <c r="G278" i="25"/>
  <c r="G44" i="25"/>
  <c r="G92" i="25"/>
  <c r="G85" i="25"/>
  <c r="G233" i="25"/>
  <c r="G183" i="25"/>
  <c r="G270" i="25"/>
  <c r="G215" i="25"/>
  <c r="G311" i="25"/>
  <c r="G287" i="25"/>
  <c r="G146" i="25"/>
  <c r="G82" i="25"/>
  <c r="G299" i="25"/>
  <c r="G235" i="25"/>
  <c r="G171" i="25"/>
  <c r="G107" i="25"/>
  <c r="G33" i="25"/>
  <c r="G31" i="25"/>
  <c r="G19" i="25"/>
  <c r="G175" i="25"/>
  <c r="G29" i="25"/>
  <c r="G297" i="25"/>
  <c r="G214" i="25"/>
  <c r="G276" i="25"/>
  <c r="G69" i="25"/>
  <c r="G169" i="25"/>
  <c r="G111" i="25"/>
  <c r="G46" i="25"/>
  <c r="G283" i="25"/>
  <c r="G144" i="25"/>
  <c r="G284" i="25"/>
  <c r="G208" i="25"/>
  <c r="G188" i="25"/>
  <c r="G36" i="25"/>
  <c r="G64" i="25"/>
  <c r="G268" i="25"/>
  <c r="G89" i="25"/>
  <c r="G63" i="25"/>
  <c r="G226" i="25"/>
  <c r="G251" i="25"/>
  <c r="G43" i="25"/>
  <c r="G277" i="25"/>
  <c r="G125" i="25"/>
  <c r="G24" i="25"/>
  <c r="G93" i="25"/>
  <c r="G240" i="25"/>
  <c r="G180" i="25"/>
  <c r="G264" i="25"/>
  <c r="G217" i="25"/>
  <c r="G216" i="25"/>
  <c r="G231" i="25"/>
  <c r="G207" i="25"/>
  <c r="G154" i="25"/>
  <c r="G243" i="25"/>
  <c r="G37" i="25"/>
  <c r="G30" i="25"/>
  <c r="G312" i="25"/>
  <c r="G213" i="25"/>
  <c r="G204" i="25"/>
  <c r="G105" i="25"/>
  <c r="G110" i="25"/>
  <c r="G57" i="25"/>
  <c r="G116" i="25"/>
  <c r="G96" i="25"/>
  <c r="G237" i="25"/>
  <c r="G184" i="25"/>
  <c r="G129" i="25"/>
  <c r="G49" i="25"/>
  <c r="G161" i="25"/>
  <c r="G229" i="25"/>
  <c r="G313" i="25"/>
  <c r="G236" i="25"/>
  <c r="G20" i="25"/>
  <c r="G137" i="25"/>
  <c r="G128" i="25"/>
  <c r="G281" i="25"/>
  <c r="G151" i="25"/>
  <c r="G239" i="25"/>
  <c r="G255" i="25"/>
  <c r="G266" i="25"/>
  <c r="G202" i="25"/>
  <c r="G138" i="25"/>
  <c r="G74" i="25"/>
  <c r="G291" i="25"/>
  <c r="G163" i="25"/>
  <c r="G25" i="25"/>
  <c r="G22" i="25"/>
  <c r="G27" i="25"/>
  <c r="G15" i="25"/>
  <c r="G174" i="25"/>
  <c r="G248" i="25"/>
  <c r="G113" i="25"/>
  <c r="G265" i="25"/>
  <c r="G60" i="25"/>
  <c r="G61" i="25"/>
  <c r="G87" i="25"/>
  <c r="G147" i="25"/>
  <c r="G232" i="25"/>
  <c r="G11" i="25"/>
  <c r="G304" i="25"/>
  <c r="G102" i="25"/>
  <c r="G288" i="25"/>
  <c r="G212" i="25"/>
  <c r="G200" i="25"/>
  <c r="G133" i="25"/>
  <c r="G145" i="25"/>
  <c r="G68" i="25"/>
  <c r="G262" i="25"/>
  <c r="G263" i="25"/>
  <c r="G290" i="25"/>
  <c r="G162" i="25"/>
  <c r="G53" i="25"/>
  <c r="G123" i="25"/>
  <c r="G34" i="25"/>
  <c r="G230" i="25"/>
  <c r="G84" i="25"/>
  <c r="G16" i="25"/>
  <c r="G296" i="25"/>
  <c r="G164" i="25"/>
  <c r="G134" i="25"/>
  <c r="G192" i="25"/>
  <c r="G118" i="25"/>
  <c r="G140" i="25"/>
  <c r="G302" i="25"/>
  <c r="G71" i="25"/>
  <c r="G218" i="25"/>
  <c r="G307" i="25"/>
  <c r="G115" i="25"/>
  <c r="G39" i="25"/>
  <c r="G309" i="25"/>
  <c r="G274" i="25"/>
  <c r="G191" i="25"/>
  <c r="G194" i="25"/>
  <c r="G99" i="25"/>
  <c r="G66" i="25"/>
  <c r="G45" i="25"/>
  <c r="G9" i="25"/>
  <c r="F41" i="48"/>
  <c r="E325" i="34"/>
  <c r="I325" i="34" s="1"/>
  <c r="E314" i="39" s="1"/>
  <c r="G314" i="39" s="1"/>
  <c r="H314" i="39" s="1"/>
  <c r="I16" i="34"/>
  <c r="H72" i="12" l="1"/>
  <c r="I72" i="12" s="1"/>
  <c r="H294" i="12"/>
  <c r="I294" i="12" s="1"/>
  <c r="H215" i="12"/>
  <c r="I215" i="12" s="1"/>
  <c r="H158" i="12"/>
  <c r="I158" i="12" s="1"/>
  <c r="H164" i="12"/>
  <c r="I164" i="12" s="1"/>
  <c r="J165" i="25" s="1"/>
  <c r="H182" i="12"/>
  <c r="I182" i="12" s="1"/>
  <c r="H8" i="12"/>
  <c r="I8" i="12" s="1"/>
  <c r="H31" i="12"/>
  <c r="I31" i="12" s="1"/>
  <c r="H86" i="12"/>
  <c r="I86" i="12" s="1"/>
  <c r="J87" i="25" s="1"/>
  <c r="H75" i="12"/>
  <c r="I75" i="12" s="1"/>
  <c r="H217" i="12"/>
  <c r="I217" i="12" s="1"/>
  <c r="H265" i="12"/>
  <c r="I265" i="12" s="1"/>
  <c r="H264" i="12"/>
  <c r="I264" i="12" s="1"/>
  <c r="J265" i="25" s="1"/>
  <c r="H271" i="12"/>
  <c r="I271" i="12" s="1"/>
  <c r="H148" i="12"/>
  <c r="I148" i="12" s="1"/>
  <c r="H140" i="12"/>
  <c r="I140" i="12" s="1"/>
  <c r="H94" i="12"/>
  <c r="I94" i="12" s="1"/>
  <c r="H83" i="12"/>
  <c r="I83" i="12" s="1"/>
  <c r="H225" i="12"/>
  <c r="I225" i="12" s="1"/>
  <c r="H273" i="12"/>
  <c r="I273" i="12" s="1"/>
  <c r="J274" i="25" s="1"/>
  <c r="H133" i="12"/>
  <c r="I133" i="12" s="1"/>
  <c r="H146" i="12"/>
  <c r="I146" i="12" s="1"/>
  <c r="H280" i="12"/>
  <c r="I280" i="12" s="1"/>
  <c r="H223" i="12"/>
  <c r="I223" i="12" s="1"/>
  <c r="H166" i="12"/>
  <c r="I166" i="12" s="1"/>
  <c r="J167" i="25" s="1"/>
  <c r="H310" i="12"/>
  <c r="I310" i="12" s="1"/>
  <c r="H185" i="12"/>
  <c r="I185" i="12" s="1"/>
  <c r="H149" i="12"/>
  <c r="I149" i="12" s="1"/>
  <c r="H87" i="12"/>
  <c r="I87" i="12" s="1"/>
  <c r="J88" i="25" s="1"/>
  <c r="H257" i="12"/>
  <c r="I257" i="12" s="1"/>
  <c r="H102" i="12"/>
  <c r="I102" i="12" s="1"/>
  <c r="H246" i="12"/>
  <c r="I246" i="12" s="1"/>
  <c r="H275" i="12"/>
  <c r="I275" i="12" s="1"/>
  <c r="H233" i="12"/>
  <c r="I233" i="12" s="1"/>
  <c r="H142" i="12"/>
  <c r="I142" i="12" s="1"/>
  <c r="H295" i="12"/>
  <c r="I295" i="12" s="1"/>
  <c r="J296" i="25" s="1"/>
  <c r="H160" i="12"/>
  <c r="I160" i="12" s="1"/>
  <c r="H235" i="12"/>
  <c r="I235" i="12" s="1"/>
  <c r="H124" i="12"/>
  <c r="I124" i="12" s="1"/>
  <c r="H130" i="12"/>
  <c r="I130" i="12" s="1"/>
  <c r="H287" i="12"/>
  <c r="I287" i="12" s="1"/>
  <c r="J288" i="25" s="1"/>
  <c r="H68" i="12"/>
  <c r="I68" i="12" s="1"/>
  <c r="H169" i="12"/>
  <c r="I169" i="12" s="1"/>
  <c r="H100" i="12"/>
  <c r="I100" i="12" s="1"/>
  <c r="H67" i="12"/>
  <c r="I67" i="12" s="1"/>
  <c r="J68" i="25" s="1"/>
  <c r="H63" i="12"/>
  <c r="I63" i="12" s="1"/>
  <c r="H118" i="12"/>
  <c r="I118" i="12" s="1"/>
  <c r="H107" i="12"/>
  <c r="I107" i="12" s="1"/>
  <c r="H262" i="12"/>
  <c r="I262" i="12" s="1"/>
  <c r="J263" i="25" s="1"/>
  <c r="H297" i="12"/>
  <c r="I297" i="12" s="1"/>
  <c r="J298" i="25" s="1"/>
  <c r="H114" i="12"/>
  <c r="I114" i="12" s="1"/>
  <c r="H112" i="12"/>
  <c r="I112" i="12" s="1"/>
  <c r="J113" i="25" s="1"/>
  <c r="H190" i="12"/>
  <c r="I190" i="12" s="1"/>
  <c r="H179" i="12"/>
  <c r="I179" i="12" s="1"/>
  <c r="H261" i="12"/>
  <c r="I261" i="12" s="1"/>
  <c r="H303" i="12"/>
  <c r="I303" i="12" s="1"/>
  <c r="H157" i="12"/>
  <c r="I157" i="12" s="1"/>
  <c r="H138" i="12"/>
  <c r="I138" i="12" s="1"/>
  <c r="J139" i="25" s="1"/>
  <c r="H15" i="12"/>
  <c r="I15" i="12" s="1"/>
  <c r="H134" i="12"/>
  <c r="I134" i="12" s="1"/>
  <c r="H123" i="12"/>
  <c r="I123" i="12" s="1"/>
  <c r="H269" i="12"/>
  <c r="I269" i="12" s="1"/>
  <c r="H76" i="12"/>
  <c r="I76" i="12" s="1"/>
  <c r="J77" i="25" s="1"/>
  <c r="H78" i="12"/>
  <c r="I78" i="12" s="1"/>
  <c r="H178" i="12"/>
  <c r="I178" i="12" s="1"/>
  <c r="H61" i="12"/>
  <c r="I61" i="12" s="1"/>
  <c r="J62" i="25" s="1"/>
  <c r="H16" i="12"/>
  <c r="I16" i="12" s="1"/>
  <c r="H39" i="12"/>
  <c r="I39" i="12" s="1"/>
  <c r="J40" i="25" s="1"/>
  <c r="H73" i="12"/>
  <c r="I73" i="12" s="1"/>
  <c r="H90" i="12"/>
  <c r="I90" i="12" s="1"/>
  <c r="H47" i="12"/>
  <c r="I47" i="12" s="1"/>
  <c r="H183" i="12"/>
  <c r="I183" i="12" s="1"/>
  <c r="H196" i="12"/>
  <c r="I196" i="12" s="1"/>
  <c r="J197" i="25" s="1"/>
  <c r="H309" i="12"/>
  <c r="I309" i="12" s="1"/>
  <c r="J310" i="25" s="1"/>
  <c r="H21" i="12"/>
  <c r="I21" i="12" s="1"/>
  <c r="H40" i="12"/>
  <c r="I40" i="12" s="1"/>
  <c r="J41" i="25" s="1"/>
  <c r="H113" i="12"/>
  <c r="I113" i="12" s="1"/>
  <c r="J114" i="25" s="1"/>
  <c r="H45" i="12"/>
  <c r="I45" i="12" s="1"/>
  <c r="H36" i="12"/>
  <c r="I36" i="12" s="1"/>
  <c r="J37" i="25" s="1"/>
  <c r="H135" i="12"/>
  <c r="I135" i="12" s="1"/>
  <c r="H81" i="12"/>
  <c r="I81" i="12" s="1"/>
  <c r="H33" i="12"/>
  <c r="I33" i="12" s="1"/>
  <c r="J34" i="25" s="1"/>
  <c r="H97" i="12"/>
  <c r="I97" i="12" s="1"/>
  <c r="H139" i="12"/>
  <c r="I139" i="12" s="1"/>
  <c r="J140" i="25" s="1"/>
  <c r="H66" i="12"/>
  <c r="I66" i="12" s="1"/>
  <c r="J67" i="25" s="1"/>
  <c r="H103" i="12"/>
  <c r="I103" i="12" s="1"/>
  <c r="H308" i="12"/>
  <c r="I308" i="12" s="1"/>
  <c r="J309" i="25" s="1"/>
  <c r="H188" i="12"/>
  <c r="I188" i="12" s="1"/>
  <c r="H91" i="12"/>
  <c r="I91" i="12" s="1"/>
  <c r="H26" i="12"/>
  <c r="I26" i="12" s="1"/>
  <c r="J27" i="25" s="1"/>
  <c r="H237" i="12"/>
  <c r="I237" i="12" s="1"/>
  <c r="H272" i="12"/>
  <c r="I272" i="12" s="1"/>
  <c r="J273" i="25" s="1"/>
  <c r="H106" i="12"/>
  <c r="I106" i="12" s="1"/>
  <c r="H104" i="12"/>
  <c r="I104" i="12" s="1"/>
  <c r="H189" i="12"/>
  <c r="I189" i="12" s="1"/>
  <c r="J190" i="25" s="1"/>
  <c r="H44" i="12"/>
  <c r="I44" i="12" s="1"/>
  <c r="J45" i="25" s="1"/>
  <c r="H162" i="12"/>
  <c r="I162" i="12" s="1"/>
  <c r="J163" i="25" s="1"/>
  <c r="H108" i="12"/>
  <c r="I108" i="12" s="1"/>
  <c r="H207" i="12"/>
  <c r="I207" i="12" s="1"/>
  <c r="H302" i="12"/>
  <c r="I302" i="12" s="1"/>
  <c r="J303" i="25" s="1"/>
  <c r="H77" i="12"/>
  <c r="I77" i="12" s="1"/>
  <c r="J78" i="25" s="1"/>
  <c r="H57" i="12"/>
  <c r="I57" i="12" s="1"/>
  <c r="H24" i="12"/>
  <c r="I24" i="12" s="1"/>
  <c r="J25" i="25" s="1"/>
  <c r="H111" i="12"/>
  <c r="I111" i="12" s="1"/>
  <c r="H105" i="12"/>
  <c r="I105" i="12" s="1"/>
  <c r="H224" i="12"/>
  <c r="I224" i="12" s="1"/>
  <c r="H35" i="12"/>
  <c r="I35" i="12" s="1"/>
  <c r="J36" i="25" s="1"/>
  <c r="H42" i="12"/>
  <c r="I42" i="12" s="1"/>
  <c r="H127" i="12"/>
  <c r="I127" i="12" s="1"/>
  <c r="J128" i="25" s="1"/>
  <c r="H199" i="12"/>
  <c r="I199" i="12" s="1"/>
  <c r="H195" i="12"/>
  <c r="I195" i="12" s="1"/>
  <c r="J196" i="25" s="1"/>
  <c r="H267" i="12"/>
  <c r="I267" i="12" s="1"/>
  <c r="H205" i="12"/>
  <c r="I205" i="12" s="1"/>
  <c r="J206" i="25" s="1"/>
  <c r="H147" i="12"/>
  <c r="I147" i="12" s="1"/>
  <c r="J148" i="25" s="1"/>
  <c r="H58" i="12"/>
  <c r="I58" i="12" s="1"/>
  <c r="H290" i="12"/>
  <c r="I290" i="12" s="1"/>
  <c r="J291" i="25" s="1"/>
  <c r="H213" i="12"/>
  <c r="I213" i="12" s="1"/>
  <c r="J214" i="25" s="1"/>
  <c r="H301" i="12"/>
  <c r="I301" i="12" s="1"/>
  <c r="H201" i="12"/>
  <c r="I201" i="12" s="1"/>
  <c r="H46" i="12"/>
  <c r="I46" i="12" s="1"/>
  <c r="H240" i="12"/>
  <c r="I240" i="12" s="1"/>
  <c r="J241" i="25" s="1"/>
  <c r="H50" i="12"/>
  <c r="I50" i="12" s="1"/>
  <c r="H277" i="12"/>
  <c r="I277" i="12" s="1"/>
  <c r="H253" i="12"/>
  <c r="I253" i="12" s="1"/>
  <c r="J254" i="25" s="1"/>
  <c r="H92" i="12"/>
  <c r="I92" i="12" s="1"/>
  <c r="J93" i="25" s="1"/>
  <c r="H176" i="12"/>
  <c r="I176" i="12" s="1"/>
  <c r="H214" i="12"/>
  <c r="I214" i="12" s="1"/>
  <c r="J215" i="25" s="1"/>
  <c r="H56" i="12"/>
  <c r="I56" i="12" s="1"/>
  <c r="H236" i="12"/>
  <c r="I236" i="12" s="1"/>
  <c r="J237" i="25" s="1"/>
  <c r="H136" i="12"/>
  <c r="I136" i="12" s="1"/>
  <c r="H159" i="12"/>
  <c r="I159" i="12" s="1"/>
  <c r="J160" i="25" s="1"/>
  <c r="H221" i="12"/>
  <c r="I221" i="12" s="1"/>
  <c r="J222" i="25" s="1"/>
  <c r="H285" i="12"/>
  <c r="I285" i="12" s="1"/>
  <c r="H209" i="12"/>
  <c r="I209" i="12" s="1"/>
  <c r="H49" i="12"/>
  <c r="I49" i="12" s="1"/>
  <c r="J50" i="25" s="1"/>
  <c r="H244" i="12"/>
  <c r="I244" i="12" s="1"/>
  <c r="H204" i="12"/>
  <c r="I204" i="12" s="1"/>
  <c r="J205" i="25" s="1"/>
  <c r="H238" i="12"/>
  <c r="I238" i="12" s="1"/>
  <c r="H93" i="12"/>
  <c r="I93" i="12" s="1"/>
  <c r="J94" i="25" s="1"/>
  <c r="H144" i="12"/>
  <c r="I144" i="12" s="1"/>
  <c r="J145" i="25" s="1"/>
  <c r="H167" i="12"/>
  <c r="I167" i="12" s="1"/>
  <c r="J168" i="25" s="1"/>
  <c r="H229" i="12"/>
  <c r="I229" i="12" s="1"/>
  <c r="H293" i="12"/>
  <c r="I293" i="12" s="1"/>
  <c r="J294" i="25" s="1"/>
  <c r="H137" i="12"/>
  <c r="I137" i="12" s="1"/>
  <c r="H299" i="12"/>
  <c r="I299" i="12" s="1"/>
  <c r="H141" i="12"/>
  <c r="I141" i="12" s="1"/>
  <c r="J142" i="25" s="1"/>
  <c r="H281" i="12"/>
  <c r="I281" i="12" s="1"/>
  <c r="J282" i="25" s="1"/>
  <c r="H263" i="12"/>
  <c r="I263" i="12" s="1"/>
  <c r="H131" i="12"/>
  <c r="I131" i="12" s="1"/>
  <c r="H256" i="12"/>
  <c r="I256" i="12" s="1"/>
  <c r="H88" i="12"/>
  <c r="I88" i="12" s="1"/>
  <c r="J89" i="25" s="1"/>
  <c r="H175" i="12"/>
  <c r="I175" i="12" s="1"/>
  <c r="H27" i="12"/>
  <c r="I27" i="12" s="1"/>
  <c r="H255" i="12"/>
  <c r="I255" i="12" s="1"/>
  <c r="J256" i="25" s="1"/>
  <c r="H247" i="12"/>
  <c r="I247" i="12" s="1"/>
  <c r="J248" i="25" s="1"/>
  <c r="H101" i="12"/>
  <c r="I101" i="12" s="1"/>
  <c r="J102" i="25" s="1"/>
  <c r="H307" i="12"/>
  <c r="I307" i="12" s="1"/>
  <c r="H110" i="12"/>
  <c r="I110" i="12" s="1"/>
  <c r="H99" i="12"/>
  <c r="I99" i="12" s="1"/>
  <c r="J100" i="25" s="1"/>
  <c r="H254" i="12"/>
  <c r="I254" i="12" s="1"/>
  <c r="J255" i="25" s="1"/>
  <c r="H289" i="12"/>
  <c r="I289" i="12" s="1"/>
  <c r="J290" i="25" s="1"/>
  <c r="H121" i="12"/>
  <c r="I121" i="12" s="1"/>
  <c r="H239" i="12"/>
  <c r="I239" i="12" s="1"/>
  <c r="J240" i="25" s="1"/>
  <c r="H248" i="12"/>
  <c r="I248" i="12" s="1"/>
  <c r="J249" i="25" s="1"/>
  <c r="H313" i="12"/>
  <c r="I313" i="12" s="1"/>
  <c r="J314" i="25" s="1"/>
  <c r="H165" i="12"/>
  <c r="I165" i="12" s="1"/>
  <c r="H168" i="12"/>
  <c r="I168" i="12" s="1"/>
  <c r="H212" i="12"/>
  <c r="I212" i="12" s="1"/>
  <c r="J213" i="25" s="1"/>
  <c r="H154" i="12"/>
  <c r="I154" i="12" s="1"/>
  <c r="J155" i="25" s="1"/>
  <c r="H242" i="12"/>
  <c r="I242" i="12" s="1"/>
  <c r="J243" i="25" s="1"/>
  <c r="H156" i="12"/>
  <c r="I156" i="12" s="1"/>
  <c r="J157" i="25" s="1"/>
  <c r="H20" i="12"/>
  <c r="I20" i="12" s="1"/>
  <c r="J21" i="25" s="1"/>
  <c r="H268" i="12"/>
  <c r="I268" i="12" s="1"/>
  <c r="J269" i="25" s="1"/>
  <c r="H62" i="12"/>
  <c r="I62" i="12" s="1"/>
  <c r="H161" i="12"/>
  <c r="I161" i="12" s="1"/>
  <c r="J162" i="25" s="1"/>
  <c r="H241" i="12"/>
  <c r="I241" i="12" s="1"/>
  <c r="J242" i="25" s="1"/>
  <c r="H180" i="12"/>
  <c r="I180" i="12" s="1"/>
  <c r="J181" i="25" s="1"/>
  <c r="H312" i="12"/>
  <c r="I312" i="12" s="1"/>
  <c r="J313" i="25" s="1"/>
  <c r="H173" i="12"/>
  <c r="I173" i="12" s="1"/>
  <c r="J174" i="25" s="1"/>
  <c r="H120" i="12"/>
  <c r="I120" i="12" s="1"/>
  <c r="H143" i="12"/>
  <c r="I143" i="12" s="1"/>
  <c r="J144" i="25" s="1"/>
  <c r="H228" i="12"/>
  <c r="I228" i="12" s="1"/>
  <c r="H170" i="12"/>
  <c r="I170" i="12" s="1"/>
  <c r="J171" i="25" s="1"/>
  <c r="H259" i="12"/>
  <c r="I259" i="12" s="1"/>
  <c r="H17" i="12"/>
  <c r="I17" i="12" s="1"/>
  <c r="H95" i="12"/>
  <c r="I95" i="12" s="1"/>
  <c r="H125" i="12"/>
  <c r="I125" i="12" s="1"/>
  <c r="J126" i="25" s="1"/>
  <c r="H80" i="12"/>
  <c r="I80" i="12" s="1"/>
  <c r="H52" i="12"/>
  <c r="I52" i="12" s="1"/>
  <c r="J53" i="25" s="1"/>
  <c r="H74" i="12"/>
  <c r="I74" i="12" s="1"/>
  <c r="J75" i="25" s="1"/>
  <c r="H116" i="12"/>
  <c r="I116" i="12" s="1"/>
  <c r="J117" i="25" s="1"/>
  <c r="H98" i="12"/>
  <c r="I98" i="12" s="1"/>
  <c r="H234" i="12"/>
  <c r="I234" i="12" s="1"/>
  <c r="J235" i="25" s="1"/>
  <c r="H258" i="12"/>
  <c r="I258" i="12" s="1"/>
  <c r="J259" i="25" s="1"/>
  <c r="H171" i="12"/>
  <c r="I171" i="12" s="1"/>
  <c r="J172" i="25" s="1"/>
  <c r="H231" i="12"/>
  <c r="I231" i="12" s="1"/>
  <c r="J232" i="25" s="1"/>
  <c r="H79" i="12"/>
  <c r="I79" i="12" s="1"/>
  <c r="J80" i="25" s="1"/>
  <c r="H279" i="12"/>
  <c r="I279" i="12" s="1"/>
  <c r="H25" i="12"/>
  <c r="I25" i="12" s="1"/>
  <c r="H227" i="12"/>
  <c r="I227" i="12" s="1"/>
  <c r="H29" i="12"/>
  <c r="I29" i="12" s="1"/>
  <c r="J30" i="25" s="1"/>
  <c r="H109" i="12"/>
  <c r="I109" i="12" s="1"/>
  <c r="H32" i="12"/>
  <c r="I32" i="12" s="1"/>
  <c r="J33" i="25" s="1"/>
  <c r="H55" i="12"/>
  <c r="I55" i="12" s="1"/>
  <c r="J56" i="25" s="1"/>
  <c r="H9" i="12"/>
  <c r="I9" i="12" s="1"/>
  <c r="J10" i="25" s="1"/>
  <c r="H34" i="12"/>
  <c r="I34" i="12" s="1"/>
  <c r="H10" i="12"/>
  <c r="I10" i="12" s="1"/>
  <c r="H191" i="12"/>
  <c r="I191" i="12" s="1"/>
  <c r="J192" i="25" s="1"/>
  <c r="H85" i="12"/>
  <c r="I85" i="12" s="1"/>
  <c r="J86" i="25" s="1"/>
  <c r="H14" i="12"/>
  <c r="I14" i="12" s="1"/>
  <c r="J15" i="25" s="1"/>
  <c r="H7" i="12"/>
  <c r="I7" i="12" s="1"/>
  <c r="J8" i="25" s="1"/>
  <c r="H51" i="12"/>
  <c r="I51" i="12" s="1"/>
  <c r="J52" i="25" s="1"/>
  <c r="H41" i="12"/>
  <c r="I41" i="12" s="1"/>
  <c r="J42" i="25" s="1"/>
  <c r="H187" i="12"/>
  <c r="I187" i="12" s="1"/>
  <c r="H192" i="12"/>
  <c r="I192" i="12" s="1"/>
  <c r="J193" i="25" s="1"/>
  <c r="H203" i="12"/>
  <c r="I203" i="12" s="1"/>
  <c r="J204" i="25" s="1"/>
  <c r="H150" i="12"/>
  <c r="I150" i="12" s="1"/>
  <c r="J151" i="25" s="1"/>
  <c r="H89" i="12"/>
  <c r="I89" i="12" s="1"/>
  <c r="H298" i="12"/>
  <c r="I298" i="12" s="1"/>
  <c r="J299" i="25" s="1"/>
  <c r="H145" i="12"/>
  <c r="I145" i="12" s="1"/>
  <c r="J146" i="25" s="1"/>
  <c r="H276" i="12"/>
  <c r="I276" i="12" s="1"/>
  <c r="J277" i="25" s="1"/>
  <c r="H28" i="12"/>
  <c r="I28" i="12" s="1"/>
  <c r="J29" i="25" s="1"/>
  <c r="H220" i="12"/>
  <c r="I220" i="12" s="1"/>
  <c r="J221" i="25" s="1"/>
  <c r="H250" i="12"/>
  <c r="I250" i="12" s="1"/>
  <c r="H206" i="12"/>
  <c r="I206" i="12" s="1"/>
  <c r="J207" i="25" s="1"/>
  <c r="H198" i="12"/>
  <c r="I198" i="12" s="1"/>
  <c r="J199" i="25" s="1"/>
  <c r="H249" i="12"/>
  <c r="I249" i="12" s="1"/>
  <c r="J250" i="25" s="1"/>
  <c r="H193" i="12"/>
  <c r="I193" i="12" s="1"/>
  <c r="H211" i="12"/>
  <c r="I211" i="12" s="1"/>
  <c r="J212" i="25" s="1"/>
  <c r="H219" i="12"/>
  <c r="I219" i="12" s="1"/>
  <c r="H300" i="12"/>
  <c r="I300" i="12" s="1"/>
  <c r="J301" i="25" s="1"/>
  <c r="H11" i="12"/>
  <c r="I11" i="12" s="1"/>
  <c r="J12" i="25" s="1"/>
  <c r="H210" i="12"/>
  <c r="I210" i="12" s="1"/>
  <c r="J211" i="25" s="1"/>
  <c r="H274" i="12"/>
  <c r="I274" i="12" s="1"/>
  <c r="J275" i="25" s="1"/>
  <c r="H292" i="12"/>
  <c r="I292" i="12" s="1"/>
  <c r="J293" i="25" s="1"/>
  <c r="H82" i="12"/>
  <c r="I82" i="12" s="1"/>
  <c r="J83" i="25" s="1"/>
  <c r="H84" i="12"/>
  <c r="I84" i="12" s="1"/>
  <c r="J85" i="25" s="1"/>
  <c r="H202" i="12"/>
  <c r="I202" i="12" s="1"/>
  <c r="H230" i="12"/>
  <c r="I230" i="12" s="1"/>
  <c r="J231" i="25" s="1"/>
  <c r="H208" i="12"/>
  <c r="I208" i="12" s="1"/>
  <c r="H218" i="12"/>
  <c r="I218" i="12" s="1"/>
  <c r="J219" i="25" s="1"/>
  <c r="H282" i="12"/>
  <c r="I282" i="12" s="1"/>
  <c r="J283" i="25" s="1"/>
  <c r="H252" i="12"/>
  <c r="I252" i="12" s="1"/>
  <c r="J253" i="25" s="1"/>
  <c r="H186" i="12"/>
  <c r="I186" i="12" s="1"/>
  <c r="J187" i="25" s="1"/>
  <c r="H194" i="12"/>
  <c r="I194" i="12" s="1"/>
  <c r="J195" i="25" s="1"/>
  <c r="H172" i="12"/>
  <c r="I172" i="12" s="1"/>
  <c r="H226" i="12"/>
  <c r="I226" i="12" s="1"/>
  <c r="J227" i="25" s="1"/>
  <c r="H122" i="12"/>
  <c r="I122" i="12" s="1"/>
  <c r="H60" i="12"/>
  <c r="I60" i="12" s="1"/>
  <c r="J61" i="25" s="1"/>
  <c r="H284" i="12"/>
  <c r="I284" i="12" s="1"/>
  <c r="J285" i="25" s="1"/>
  <c r="H128" i="12"/>
  <c r="I128" i="12" s="1"/>
  <c r="J129" i="25" s="1"/>
  <c r="H286" i="12"/>
  <c r="I286" i="12" s="1"/>
  <c r="J287" i="25" s="1"/>
  <c r="H152" i="12"/>
  <c r="I152" i="12" s="1"/>
  <c r="J153" i="25" s="1"/>
  <c r="H155" i="12"/>
  <c r="I155" i="12" s="1"/>
  <c r="H291" i="12"/>
  <c r="I291" i="12" s="1"/>
  <c r="J292" i="25" s="1"/>
  <c r="H64" i="12"/>
  <c r="I64" i="12" s="1"/>
  <c r="H197" i="12"/>
  <c r="I197" i="12" s="1"/>
  <c r="J198" i="25" s="1"/>
  <c r="H96" i="12"/>
  <c r="I96" i="12" s="1"/>
  <c r="H119" i="12"/>
  <c r="I119" i="12" s="1"/>
  <c r="J120" i="25" s="1"/>
  <c r="H174" i="12"/>
  <c r="I174" i="12" s="1"/>
  <c r="J175" i="25" s="1"/>
  <c r="H163" i="12"/>
  <c r="I163" i="12" s="1"/>
  <c r="J164" i="25" s="1"/>
  <c r="H245" i="12"/>
  <c r="I245" i="12" s="1"/>
  <c r="H311" i="12"/>
  <c r="I311" i="12" s="1"/>
  <c r="J312" i="25" s="1"/>
  <c r="H288" i="12"/>
  <c r="I288" i="12" s="1"/>
  <c r="J289" i="25" s="1"/>
  <c r="H177" i="12"/>
  <c r="I177" i="12" s="1"/>
  <c r="J178" i="25" s="1"/>
  <c r="H129" i="12"/>
  <c r="I129" i="12" s="1"/>
  <c r="J130" i="25" s="1"/>
  <c r="H222" i="12"/>
  <c r="I222" i="12" s="1"/>
  <c r="J223" i="25" s="1"/>
  <c r="H6" i="12"/>
  <c r="I6" i="12" s="1"/>
  <c r="J7" i="25" s="1"/>
  <c r="H283" i="12"/>
  <c r="I283" i="12" s="1"/>
  <c r="J284" i="25" s="1"/>
  <c r="H54" i="12"/>
  <c r="I54" i="12" s="1"/>
  <c r="J55" i="25" s="1"/>
  <c r="H153" i="12"/>
  <c r="I153" i="12" s="1"/>
  <c r="J154" i="25" s="1"/>
  <c r="H306" i="12"/>
  <c r="I306" i="12" s="1"/>
  <c r="J307" i="25" s="1"/>
  <c r="H296" i="12"/>
  <c r="I296" i="12" s="1"/>
  <c r="J297" i="25" s="1"/>
  <c r="H260" i="12"/>
  <c r="I260" i="12" s="1"/>
  <c r="J261" i="25" s="1"/>
  <c r="H181" i="12"/>
  <c r="I181" i="12" s="1"/>
  <c r="J182" i="25" s="1"/>
  <c r="H48" i="12"/>
  <c r="I48" i="12" s="1"/>
  <c r="J49" i="25" s="1"/>
  <c r="H71" i="12"/>
  <c r="I71" i="12" s="1"/>
  <c r="J72" i="25" s="1"/>
  <c r="H126" i="12"/>
  <c r="I126" i="12" s="1"/>
  <c r="J127" i="25" s="1"/>
  <c r="H115" i="12"/>
  <c r="I115" i="12" s="1"/>
  <c r="J116" i="25" s="1"/>
  <c r="H270" i="12"/>
  <c r="I270" i="12" s="1"/>
  <c r="J271" i="25" s="1"/>
  <c r="H305" i="12"/>
  <c r="I305" i="12" s="1"/>
  <c r="J306" i="25" s="1"/>
  <c r="H12" i="12"/>
  <c r="I12" i="12" s="1"/>
  <c r="J13" i="25" s="1"/>
  <c r="H13" i="12"/>
  <c r="I13" i="12" s="1"/>
  <c r="J14" i="25" s="1"/>
  <c r="H251" i="12"/>
  <c r="I251" i="12" s="1"/>
  <c r="J252" i="25" s="1"/>
  <c r="H70" i="12"/>
  <c r="I70" i="12" s="1"/>
  <c r="J71" i="25" s="1"/>
  <c r="H278" i="12"/>
  <c r="I278" i="12" s="1"/>
  <c r="J279" i="25" s="1"/>
  <c r="H132" i="12"/>
  <c r="I132" i="12" s="1"/>
  <c r="H243" i="12"/>
  <c r="I243" i="12" s="1"/>
  <c r="J244" i="25" s="1"/>
  <c r="H151" i="12"/>
  <c r="I151" i="12" s="1"/>
  <c r="J152" i="25" s="1"/>
  <c r="H266" i="12"/>
  <c r="I266" i="12" s="1"/>
  <c r="J267" i="25" s="1"/>
  <c r="H200" i="12"/>
  <c r="I200" i="12" s="1"/>
  <c r="J201" i="25" s="1"/>
  <c r="H22" i="12"/>
  <c r="I22" i="12" s="1"/>
  <c r="J23" i="25" s="1"/>
  <c r="H69" i="12"/>
  <c r="I69" i="12" s="1"/>
  <c r="J70" i="25" s="1"/>
  <c r="H30" i="12"/>
  <c r="I30" i="12" s="1"/>
  <c r="J31" i="25" s="1"/>
  <c r="H19" i="12"/>
  <c r="I19" i="12" s="1"/>
  <c r="J20" i="25" s="1"/>
  <c r="H216" i="12"/>
  <c r="I216" i="12" s="1"/>
  <c r="H18" i="12"/>
  <c r="I18" i="12" s="1"/>
  <c r="J19" i="25" s="1"/>
  <c r="H38" i="12"/>
  <c r="I38" i="12" s="1"/>
  <c r="J39" i="25" s="1"/>
  <c r="H304" i="12"/>
  <c r="I304" i="12" s="1"/>
  <c r="J305" i="25" s="1"/>
  <c r="H65" i="12"/>
  <c r="I65" i="12" s="1"/>
  <c r="J66" i="25" s="1"/>
  <c r="H23" i="12"/>
  <c r="I23" i="12" s="1"/>
  <c r="J24" i="25" s="1"/>
  <c r="H232" i="12"/>
  <c r="I232" i="12" s="1"/>
  <c r="J233" i="25" s="1"/>
  <c r="H43" i="12"/>
  <c r="I43" i="12" s="1"/>
  <c r="J44" i="25" s="1"/>
  <c r="H53" i="12"/>
  <c r="I53" i="12" s="1"/>
  <c r="J54" i="25" s="1"/>
  <c r="H117" i="12"/>
  <c r="I117" i="12" s="1"/>
  <c r="J118" i="25" s="1"/>
  <c r="H184" i="12"/>
  <c r="I184" i="12" s="1"/>
  <c r="J185" i="25" s="1"/>
  <c r="H59" i="12"/>
  <c r="I59" i="12" s="1"/>
  <c r="J60" i="25" s="1"/>
  <c r="H37" i="12"/>
  <c r="I37" i="12" s="1"/>
  <c r="J38" i="25" s="1"/>
  <c r="I186" i="25"/>
  <c r="G186" i="25"/>
  <c r="I191" i="25"/>
  <c r="I9" i="25"/>
  <c r="I194" i="25"/>
  <c r="I39" i="25"/>
  <c r="I140" i="25"/>
  <c r="I164" i="25"/>
  <c r="I230" i="25"/>
  <c r="I162" i="25"/>
  <c r="I68" i="25"/>
  <c r="I212" i="25"/>
  <c r="I147" i="25"/>
  <c r="I265" i="25"/>
  <c r="I22" i="25"/>
  <c r="I255" i="25"/>
  <c r="I20" i="25"/>
  <c r="I161" i="25"/>
  <c r="I204" i="25"/>
  <c r="I37" i="25"/>
  <c r="I231" i="25"/>
  <c r="I180" i="25"/>
  <c r="I43" i="25"/>
  <c r="I89" i="25"/>
  <c r="I188" i="25"/>
  <c r="I284" i="25"/>
  <c r="I283" i="25"/>
  <c r="I111" i="25"/>
  <c r="I214" i="25"/>
  <c r="I29" i="25"/>
  <c r="I19" i="25"/>
  <c r="I33" i="25"/>
  <c r="I171" i="25"/>
  <c r="I299" i="25"/>
  <c r="I146" i="25"/>
  <c r="I311" i="25"/>
  <c r="I270" i="25"/>
  <c r="I233" i="25"/>
  <c r="I92" i="25"/>
  <c r="I158" i="25"/>
  <c r="I40" i="25"/>
  <c r="I198" i="25"/>
  <c r="I205" i="25"/>
  <c r="I8" i="25"/>
  <c r="I176" i="25"/>
  <c r="I120" i="25"/>
  <c r="I220" i="25"/>
  <c r="I18" i="25"/>
  <c r="I119" i="25"/>
  <c r="I219" i="25"/>
  <c r="I35" i="25"/>
  <c r="I90" i="25"/>
  <c r="I286" i="25"/>
  <c r="I141" i="25"/>
  <c r="I181" i="25"/>
  <c r="I257" i="25"/>
  <c r="I86" i="25"/>
  <c r="I221" i="25"/>
  <c r="I54" i="25"/>
  <c r="I98" i="25"/>
  <c r="I223" i="25"/>
  <c r="I241" i="25"/>
  <c r="I70" i="25"/>
  <c r="I124" i="25"/>
  <c r="I211" i="25"/>
  <c r="I78" i="25"/>
  <c r="I261" i="25"/>
  <c r="I109" i="25"/>
  <c r="I305" i="25"/>
  <c r="I59" i="25"/>
  <c r="I67" i="25"/>
  <c r="I195" i="25"/>
  <c r="I58" i="25"/>
  <c r="I170" i="25"/>
  <c r="I298" i="25"/>
  <c r="I295" i="25"/>
  <c r="I271" i="25"/>
  <c r="I222" i="25"/>
  <c r="I206" i="25"/>
  <c r="I76" i="25"/>
  <c r="I244" i="25"/>
  <c r="I165" i="25"/>
  <c r="I197" i="25"/>
  <c r="I254" i="25"/>
  <c r="I168" i="25"/>
  <c r="I172" i="25"/>
  <c r="I209" i="25"/>
  <c r="I42" i="25"/>
  <c r="I149" i="25"/>
  <c r="I227" i="25"/>
  <c r="I55" i="25"/>
  <c r="I13" i="25"/>
  <c r="I139" i="25"/>
  <c r="I267" i="25"/>
  <c r="I114" i="25"/>
  <c r="I242" i="25"/>
  <c r="I167" i="25"/>
  <c r="I127" i="25"/>
  <c r="I279" i="25"/>
  <c r="I238" i="25"/>
  <c r="I292" i="25"/>
  <c r="I182" i="25"/>
  <c r="I77" i="25"/>
  <c r="I72" i="25"/>
  <c r="I56" i="25"/>
  <c r="I62" i="25"/>
  <c r="I101" i="25"/>
  <c r="I273" i="25"/>
  <c r="I23" i="25"/>
  <c r="I91" i="25"/>
  <c r="I155" i="25"/>
  <c r="I289" i="25"/>
  <c r="I14" i="25"/>
  <c r="I83" i="25"/>
  <c r="I122" i="25"/>
  <c r="I250" i="25"/>
  <c r="I199" i="25"/>
  <c r="I260" i="25"/>
  <c r="I48" i="25"/>
  <c r="I156" i="25"/>
  <c r="I52" i="25"/>
  <c r="I115" i="25"/>
  <c r="I66" i="25"/>
  <c r="I274" i="25"/>
  <c r="I307" i="25"/>
  <c r="I71" i="25"/>
  <c r="I192" i="25"/>
  <c r="I16" i="25"/>
  <c r="I123" i="25"/>
  <c r="I263" i="25"/>
  <c r="I133" i="25"/>
  <c r="I102" i="25"/>
  <c r="I61" i="25"/>
  <c r="I248" i="25"/>
  <c r="I15" i="25"/>
  <c r="I163" i="25"/>
  <c r="I202" i="25"/>
  <c r="I151" i="25"/>
  <c r="I128" i="25"/>
  <c r="I313" i="25"/>
  <c r="I129" i="25"/>
  <c r="I116" i="25"/>
  <c r="I110" i="25"/>
  <c r="I312" i="25"/>
  <c r="I154" i="25"/>
  <c r="I217" i="25"/>
  <c r="I93" i="25"/>
  <c r="I125" i="25"/>
  <c r="I226" i="25"/>
  <c r="I64" i="25"/>
  <c r="I69" i="25"/>
  <c r="I11" i="25"/>
  <c r="I74" i="25"/>
  <c r="I237" i="25"/>
  <c r="I278" i="25"/>
  <c r="I143" i="25"/>
  <c r="I293" i="25"/>
  <c r="I300" i="25"/>
  <c r="I99" i="25"/>
  <c r="I218" i="25"/>
  <c r="I118" i="25"/>
  <c r="I296" i="25"/>
  <c r="I53" i="25"/>
  <c r="I200" i="25"/>
  <c r="I304" i="25"/>
  <c r="I87" i="25"/>
  <c r="I113" i="25"/>
  <c r="I27" i="25"/>
  <c r="I291" i="25"/>
  <c r="I138" i="25"/>
  <c r="I266" i="25"/>
  <c r="I239" i="25"/>
  <c r="I281" i="25"/>
  <c r="I236" i="25"/>
  <c r="I229" i="25"/>
  <c r="I49" i="25"/>
  <c r="I184" i="25"/>
  <c r="I96" i="25"/>
  <c r="I57" i="25"/>
  <c r="I105" i="25"/>
  <c r="I213" i="25"/>
  <c r="I30" i="25"/>
  <c r="I243" i="25"/>
  <c r="I207" i="25"/>
  <c r="I216" i="25"/>
  <c r="I264" i="25"/>
  <c r="I240" i="25"/>
  <c r="I24" i="25"/>
  <c r="I251" i="25"/>
  <c r="I63" i="25"/>
  <c r="I36" i="25"/>
  <c r="I208" i="25"/>
  <c r="I144" i="25"/>
  <c r="I46" i="25"/>
  <c r="I169" i="25"/>
  <c r="I276" i="25"/>
  <c r="I297" i="25"/>
  <c r="I175" i="25"/>
  <c r="I31" i="25"/>
  <c r="I107" i="25"/>
  <c r="I235" i="25"/>
  <c r="I82" i="25"/>
  <c r="I287" i="25"/>
  <c r="I215" i="25"/>
  <c r="I183" i="25"/>
  <c r="I85" i="25"/>
  <c r="I44" i="25"/>
  <c r="I256" i="25"/>
  <c r="I112" i="25"/>
  <c r="I88" i="25"/>
  <c r="I301" i="25"/>
  <c r="I252" i="25"/>
  <c r="I157" i="25"/>
  <c r="I148" i="25"/>
  <c r="I130" i="25"/>
  <c r="I269" i="25"/>
  <c r="I179" i="25"/>
  <c r="I153" i="25"/>
  <c r="I94" i="25"/>
  <c r="I196" i="25"/>
  <c r="I166" i="25"/>
  <c r="I132" i="25"/>
  <c r="I187" i="25"/>
  <c r="I103" i="25"/>
  <c r="I80" i="25"/>
  <c r="I12" i="25"/>
  <c r="I190" i="25"/>
  <c r="I26" i="25"/>
  <c r="I225" i="25"/>
  <c r="I310" i="25"/>
  <c r="I32" i="25"/>
  <c r="I308" i="25"/>
  <c r="I97" i="25"/>
  <c r="I47" i="25"/>
  <c r="I38" i="25"/>
  <c r="I131" i="25"/>
  <c r="I259" i="25"/>
  <c r="I106" i="25"/>
  <c r="I234" i="25"/>
  <c r="I135" i="25"/>
  <c r="I95" i="25"/>
  <c r="I294" i="25"/>
  <c r="I280" i="25"/>
  <c r="I121" i="25"/>
  <c r="I81" i="25"/>
  <c r="I246" i="25"/>
  <c r="I136" i="25"/>
  <c r="I28" i="25"/>
  <c r="I193" i="25"/>
  <c r="I126" i="25"/>
  <c r="I249" i="25"/>
  <c r="I228" i="25"/>
  <c r="I21" i="25"/>
  <c r="I152" i="25"/>
  <c r="I258" i="25"/>
  <c r="I75" i="25"/>
  <c r="I203" i="25"/>
  <c r="I41" i="25"/>
  <c r="I178" i="25"/>
  <c r="I306" i="25"/>
  <c r="I79" i="25"/>
  <c r="I303" i="25"/>
  <c r="I224" i="25"/>
  <c r="I189" i="25"/>
  <c r="I142" i="25"/>
  <c r="I108" i="25"/>
  <c r="I73" i="25"/>
  <c r="I65" i="25"/>
  <c r="I185" i="25"/>
  <c r="I104" i="25"/>
  <c r="I100" i="25"/>
  <c r="I173" i="25"/>
  <c r="I50" i="25"/>
  <c r="I160" i="25"/>
  <c r="I247" i="25"/>
  <c r="I7" i="25"/>
  <c r="I17" i="25"/>
  <c r="I275" i="25"/>
  <c r="I159" i="25"/>
  <c r="I117" i="25"/>
  <c r="I245" i="25"/>
  <c r="I150" i="25"/>
  <c r="I45" i="25"/>
  <c r="I309" i="25"/>
  <c r="I302" i="25"/>
  <c r="I134" i="25"/>
  <c r="I84" i="25"/>
  <c r="I34" i="25"/>
  <c r="I145" i="25"/>
  <c r="I232" i="25"/>
  <c r="I60" i="25"/>
  <c r="I174" i="25"/>
  <c r="I25" i="25"/>
  <c r="I137" i="25"/>
  <c r="I290" i="25"/>
  <c r="I262" i="25"/>
  <c r="I288" i="25"/>
  <c r="I277" i="25"/>
  <c r="I268" i="25"/>
  <c r="I272" i="25"/>
  <c r="I201" i="25"/>
  <c r="I210" i="25"/>
  <c r="I282" i="25"/>
  <c r="I51" i="25"/>
  <c r="I285" i="25"/>
  <c r="I10" i="25"/>
  <c r="I177" i="25"/>
  <c r="I314" i="25"/>
  <c r="I253" i="25"/>
  <c r="J161" i="25"/>
  <c r="J276" i="25"/>
  <c r="J32" i="25"/>
  <c r="J209" i="25"/>
  <c r="J203" i="25"/>
  <c r="J173" i="25"/>
  <c r="J91" i="25"/>
  <c r="J150" i="25"/>
  <c r="J194" i="25"/>
  <c r="J16" i="25"/>
  <c r="J137" i="25"/>
  <c r="J184" i="25"/>
  <c r="J110" i="25"/>
  <c r="J216" i="25"/>
  <c r="J169" i="25"/>
  <c r="J176" i="25"/>
  <c r="J119" i="25"/>
  <c r="J286" i="25"/>
  <c r="J51" i="25"/>
  <c r="J47" i="25"/>
  <c r="J295" i="25"/>
  <c r="J246" i="25"/>
  <c r="J189" i="25"/>
  <c r="J247" i="25"/>
  <c r="J245" i="25"/>
  <c r="J138" i="25"/>
  <c r="J180" i="25"/>
  <c r="J226" i="25"/>
  <c r="J158" i="25"/>
  <c r="J18" i="25"/>
  <c r="J90" i="25"/>
  <c r="J257" i="25"/>
  <c r="J98" i="25"/>
  <c r="J124" i="25"/>
  <c r="J106" i="25"/>
  <c r="J65" i="25"/>
  <c r="J300" i="25"/>
  <c r="J186" i="25"/>
  <c r="J264" i="25"/>
  <c r="J260" i="25"/>
  <c r="J262" i="25"/>
  <c r="J268" i="25"/>
  <c r="J270" i="25"/>
  <c r="J132" i="25"/>
  <c r="J225" i="25"/>
  <c r="J97" i="25"/>
  <c r="J95" i="25"/>
  <c r="J104" i="25"/>
  <c r="J191" i="25"/>
  <c r="J123" i="25"/>
  <c r="J133" i="25"/>
  <c r="J43" i="25"/>
  <c r="J224" i="25"/>
  <c r="J9" i="25"/>
  <c r="J99" i="25"/>
  <c r="J218" i="25"/>
  <c r="J147" i="25"/>
  <c r="J229" i="25"/>
  <c r="J217" i="25"/>
  <c r="J63" i="25"/>
  <c r="J188" i="25"/>
  <c r="J69" i="25"/>
  <c r="J311" i="25"/>
  <c r="J272" i="25"/>
  <c r="J220" i="25"/>
  <c r="J166" i="25"/>
  <c r="J103" i="25"/>
  <c r="J26" i="25"/>
  <c r="J131" i="25"/>
  <c r="J135" i="25"/>
  <c r="J121" i="25"/>
  <c r="J28" i="25"/>
  <c r="J228" i="25"/>
  <c r="J108" i="25"/>
  <c r="J177" i="25"/>
  <c r="J156" i="25"/>
  <c r="J84" i="25"/>
  <c r="J22" i="25"/>
  <c r="J281" i="25"/>
  <c r="J82" i="25"/>
  <c r="J304" i="25"/>
  <c r="J46" i="25"/>
  <c r="J278" i="25"/>
  <c r="J35" i="25"/>
  <c r="J170" i="25"/>
  <c r="J149" i="25"/>
  <c r="J230" i="25"/>
  <c r="J11" i="25"/>
  <c r="J74" i="25"/>
  <c r="J239" i="25"/>
  <c r="J57" i="25"/>
  <c r="J125" i="25"/>
  <c r="J111" i="25"/>
  <c r="J183" i="25"/>
  <c r="J92" i="25"/>
  <c r="J141" i="25"/>
  <c r="J308" i="25"/>
  <c r="J58" i="25"/>
  <c r="J76" i="25"/>
  <c r="J238" i="25"/>
  <c r="J101" i="25"/>
  <c r="J17" i="25"/>
  <c r="J122" i="25"/>
  <c r="J159" i="25"/>
  <c r="J134" i="25"/>
  <c r="J251" i="25"/>
  <c r="J143" i="25"/>
  <c r="J109" i="25"/>
  <c r="J105" i="25"/>
  <c r="J112" i="25"/>
  <c r="J210" i="25"/>
  <c r="J302" i="25"/>
  <c r="J202" i="25"/>
  <c r="J59" i="25"/>
  <c r="J81" i="25"/>
  <c r="J73" i="25"/>
  <c r="J115" i="25"/>
  <c r="J200" i="25"/>
  <c r="J266" i="25"/>
  <c r="J236" i="25"/>
  <c r="J96" i="25"/>
  <c r="J64" i="25"/>
  <c r="J208" i="25"/>
  <c r="J107" i="25"/>
  <c r="J179" i="25"/>
  <c r="J234" i="25"/>
  <c r="J280" i="25"/>
  <c r="J136" i="25"/>
  <c r="J258" i="25"/>
  <c r="J79" i="25"/>
  <c r="J48" i="25"/>
  <c r="E5" i="12"/>
  <c r="G5" i="12" s="1"/>
  <c r="E5" i="39"/>
  <c r="G5" i="39" s="1"/>
  <c r="E314" i="12"/>
  <c r="G314" i="12" s="1"/>
  <c r="J314" i="12" s="1"/>
  <c r="C4" i="34"/>
  <c r="C10" i="34" s="1"/>
  <c r="C11" i="34" s="1"/>
  <c r="G315" i="25"/>
  <c r="G6" i="25"/>
  <c r="N68" i="13" l="1"/>
  <c r="O68" i="13" s="1"/>
  <c r="P68" i="13" s="1"/>
  <c r="Q68" i="13" s="1"/>
  <c r="K68" i="25" s="1"/>
  <c r="J294" i="12"/>
  <c r="J31" i="12"/>
  <c r="J93" i="12"/>
  <c r="J221" i="12"/>
  <c r="J99" i="12"/>
  <c r="J48" i="12"/>
  <c r="J94" i="12"/>
  <c r="J82" i="12"/>
  <c r="J275" i="12"/>
  <c r="J117" i="12"/>
  <c r="J90" i="12"/>
  <c r="J274" i="12"/>
  <c r="J58" i="12"/>
  <c r="J14" i="12"/>
  <c r="J295" i="12"/>
  <c r="J109" i="12"/>
  <c r="J239" i="12"/>
  <c r="J307" i="12"/>
  <c r="J56" i="12"/>
  <c r="J273" i="12"/>
  <c r="J271" i="12"/>
  <c r="J27" i="12"/>
  <c r="J40" i="12"/>
  <c r="J140" i="12"/>
  <c r="J292" i="12"/>
  <c r="J41" i="12"/>
  <c r="J10" i="12"/>
  <c r="J110" i="12"/>
  <c r="J159" i="12"/>
  <c r="J73" i="12"/>
  <c r="J164" i="12"/>
  <c r="J126" i="12"/>
  <c r="J288" i="12"/>
  <c r="J241" i="12"/>
  <c r="J253" i="12"/>
  <c r="J111" i="12"/>
  <c r="J91" i="12"/>
  <c r="J261" i="12"/>
  <c r="J107" i="12"/>
  <c r="J86" i="12"/>
  <c r="J158" i="12"/>
  <c r="J12" i="12"/>
  <c r="J161" i="12"/>
  <c r="J277" i="12"/>
  <c r="J127" i="12"/>
  <c r="J15" i="12"/>
  <c r="J223" i="12"/>
  <c r="J83" i="12"/>
  <c r="J43" i="12"/>
  <c r="J305" i="12"/>
  <c r="J62" i="12"/>
  <c r="J138" i="12"/>
  <c r="J182" i="12"/>
  <c r="J37" i="12"/>
  <c r="J53" i="12"/>
  <c r="J65" i="12"/>
  <c r="J216" i="12"/>
  <c r="J22" i="12"/>
  <c r="J243" i="12"/>
  <c r="J251" i="12"/>
  <c r="J270" i="12"/>
  <c r="J306" i="12"/>
  <c r="J6" i="12"/>
  <c r="J174" i="12"/>
  <c r="J64" i="12"/>
  <c r="J286" i="12"/>
  <c r="J122" i="12"/>
  <c r="J186" i="12"/>
  <c r="J208" i="12"/>
  <c r="J11" i="12"/>
  <c r="J193" i="12"/>
  <c r="J250" i="12"/>
  <c r="J145" i="12"/>
  <c r="J203" i="12"/>
  <c r="J51" i="12"/>
  <c r="J191" i="12"/>
  <c r="J55" i="12"/>
  <c r="J227" i="12"/>
  <c r="J231" i="12"/>
  <c r="J98" i="12"/>
  <c r="J80" i="12"/>
  <c r="J259" i="12"/>
  <c r="J120" i="12"/>
  <c r="J20" i="12"/>
  <c r="J212" i="12"/>
  <c r="J248" i="12"/>
  <c r="J254" i="12"/>
  <c r="J101" i="12"/>
  <c r="J175" i="12"/>
  <c r="J263" i="12"/>
  <c r="J137" i="12"/>
  <c r="J144" i="12"/>
  <c r="J244" i="12"/>
  <c r="J46" i="12"/>
  <c r="J290" i="12"/>
  <c r="J267" i="12"/>
  <c r="J42" i="12"/>
  <c r="J302" i="12"/>
  <c r="J44" i="12"/>
  <c r="J272" i="12"/>
  <c r="J188" i="12"/>
  <c r="J139" i="12"/>
  <c r="J135" i="12"/>
  <c r="J183" i="12"/>
  <c r="J39" i="12"/>
  <c r="J78" i="12"/>
  <c r="J134" i="12"/>
  <c r="J303" i="12"/>
  <c r="J112" i="12"/>
  <c r="J100" i="12"/>
  <c r="J130" i="12"/>
  <c r="J246" i="12"/>
  <c r="J149" i="12"/>
  <c r="J265" i="12"/>
  <c r="J59" i="12"/>
  <c r="J304" i="12"/>
  <c r="J19" i="12"/>
  <c r="J200" i="12"/>
  <c r="J132" i="12"/>
  <c r="J13" i="12"/>
  <c r="J115" i="12"/>
  <c r="J181" i="12"/>
  <c r="J153" i="12"/>
  <c r="J222" i="12"/>
  <c r="J311" i="12"/>
  <c r="J119" i="12"/>
  <c r="J291" i="12"/>
  <c r="J128" i="12"/>
  <c r="J226" i="12"/>
  <c r="J252" i="12"/>
  <c r="J230" i="12"/>
  <c r="J300" i="12"/>
  <c r="J249" i="12"/>
  <c r="J220" i="12"/>
  <c r="J298" i="12"/>
  <c r="J192" i="12"/>
  <c r="J7" i="12"/>
  <c r="J32" i="12"/>
  <c r="J25" i="12"/>
  <c r="J171" i="12"/>
  <c r="J116" i="12"/>
  <c r="J125" i="12"/>
  <c r="J170" i="12"/>
  <c r="J173" i="12"/>
  <c r="J156" i="12"/>
  <c r="J168" i="12"/>
  <c r="J247" i="12"/>
  <c r="J88" i="12"/>
  <c r="J281" i="12"/>
  <c r="J293" i="12"/>
  <c r="J49" i="12"/>
  <c r="J214" i="12"/>
  <c r="J201" i="12"/>
  <c r="J195" i="12"/>
  <c r="J35" i="12"/>
  <c r="J24" i="12"/>
  <c r="J207" i="12"/>
  <c r="J189" i="12"/>
  <c r="J237" i="12"/>
  <c r="J308" i="12"/>
  <c r="J97" i="12"/>
  <c r="J36" i="12"/>
  <c r="J21" i="12"/>
  <c r="J47" i="12"/>
  <c r="J16" i="12"/>
  <c r="J76" i="12"/>
  <c r="J114" i="12"/>
  <c r="J118" i="12"/>
  <c r="J169" i="12"/>
  <c r="J124" i="12"/>
  <c r="J142" i="12"/>
  <c r="J102" i="12"/>
  <c r="J185" i="12"/>
  <c r="J280" i="12"/>
  <c r="J225" i="12"/>
  <c r="J148" i="12"/>
  <c r="J217" i="12"/>
  <c r="J8" i="12"/>
  <c r="J215" i="12"/>
  <c r="J184" i="12"/>
  <c r="J232" i="12"/>
  <c r="J38" i="12"/>
  <c r="J30" i="12"/>
  <c r="J266" i="12"/>
  <c r="J278" i="12"/>
  <c r="J260" i="12"/>
  <c r="J54" i="12"/>
  <c r="J129" i="12"/>
  <c r="J245" i="12"/>
  <c r="J96" i="12"/>
  <c r="J155" i="12"/>
  <c r="J284" i="12"/>
  <c r="J172" i="12"/>
  <c r="J282" i="12"/>
  <c r="J202" i="12"/>
  <c r="J219" i="12"/>
  <c r="J198" i="12"/>
  <c r="J28" i="12"/>
  <c r="J89" i="12"/>
  <c r="J187" i="12"/>
  <c r="J34" i="12"/>
  <c r="J279" i="12"/>
  <c r="J258" i="12"/>
  <c r="J74" i="12"/>
  <c r="J95" i="12"/>
  <c r="J228" i="12"/>
  <c r="J312" i="12"/>
  <c r="J242" i="12"/>
  <c r="J165" i="12"/>
  <c r="J121" i="12"/>
  <c r="J255" i="12"/>
  <c r="J256" i="12"/>
  <c r="J141" i="12"/>
  <c r="J229" i="12"/>
  <c r="J238" i="12"/>
  <c r="J209" i="12"/>
  <c r="J136" i="12"/>
  <c r="J176" i="12"/>
  <c r="J50" i="12"/>
  <c r="J301" i="12"/>
  <c r="J147" i="12"/>
  <c r="J199" i="12"/>
  <c r="J224" i="12"/>
  <c r="J57" i="12"/>
  <c r="J108" i="12"/>
  <c r="J104" i="12"/>
  <c r="J26" i="12"/>
  <c r="J103" i="12"/>
  <c r="J33" i="12"/>
  <c r="J45" i="12"/>
  <c r="J309" i="12"/>
  <c r="J61" i="12"/>
  <c r="J269" i="12"/>
  <c r="J179" i="12"/>
  <c r="J297" i="12"/>
  <c r="J63" i="12"/>
  <c r="J68" i="12"/>
  <c r="J235" i="12"/>
  <c r="J233" i="12"/>
  <c r="J257" i="12"/>
  <c r="J310" i="12"/>
  <c r="J146" i="12"/>
  <c r="J75" i="12"/>
  <c r="J23" i="12"/>
  <c r="J18" i="12"/>
  <c r="J69" i="12"/>
  <c r="J151" i="12"/>
  <c r="J70" i="12"/>
  <c r="J71" i="12"/>
  <c r="J296" i="12"/>
  <c r="J283" i="12"/>
  <c r="J177" i="12"/>
  <c r="J163" i="12"/>
  <c r="J197" i="12"/>
  <c r="J152" i="12"/>
  <c r="J60" i="12"/>
  <c r="J194" i="12"/>
  <c r="J218" i="12"/>
  <c r="J84" i="12"/>
  <c r="J210" i="12"/>
  <c r="J211" i="12"/>
  <c r="J206" i="12"/>
  <c r="J276" i="12"/>
  <c r="J150" i="12"/>
  <c r="J85" i="12"/>
  <c r="J9" i="12"/>
  <c r="J29" i="12"/>
  <c r="J79" i="12"/>
  <c r="J234" i="12"/>
  <c r="J52" i="12"/>
  <c r="J17" i="12"/>
  <c r="J143" i="12"/>
  <c r="J180" i="12"/>
  <c r="J268" i="12"/>
  <c r="J154" i="12"/>
  <c r="J313" i="12"/>
  <c r="J289" i="12"/>
  <c r="J131" i="12"/>
  <c r="J299" i="12"/>
  <c r="J167" i="12"/>
  <c r="J204" i="12"/>
  <c r="J285" i="12"/>
  <c r="J236" i="12"/>
  <c r="J92" i="12"/>
  <c r="J240" i="12"/>
  <c r="J213" i="12"/>
  <c r="J205" i="12"/>
  <c r="J105" i="12"/>
  <c r="J77" i="12"/>
  <c r="J162" i="12"/>
  <c r="J106" i="12"/>
  <c r="J66" i="12"/>
  <c r="J81" i="12"/>
  <c r="J113" i="12"/>
  <c r="J196" i="12"/>
  <c r="J178" i="12"/>
  <c r="J123" i="12"/>
  <c r="J157" i="12"/>
  <c r="J190" i="12"/>
  <c r="J262" i="12"/>
  <c r="J67" i="12"/>
  <c r="J287" i="12"/>
  <c r="J160" i="12"/>
  <c r="J87" i="12"/>
  <c r="J166" i="12"/>
  <c r="J133" i="12"/>
  <c r="J264" i="12"/>
  <c r="J72" i="12"/>
  <c r="N102" i="13"/>
  <c r="O102" i="13" s="1"/>
  <c r="P102" i="13" s="1"/>
  <c r="Q102" i="13" s="1"/>
  <c r="K102" i="25" s="1"/>
  <c r="N53" i="13"/>
  <c r="O53" i="13" s="1"/>
  <c r="P53" i="13" s="1"/>
  <c r="Q53" i="13" s="1"/>
  <c r="K53" i="25" s="1"/>
  <c r="N232" i="13"/>
  <c r="O232" i="13" s="1"/>
  <c r="P232" i="13" s="1"/>
  <c r="Q232" i="13" s="1"/>
  <c r="K232" i="25" s="1"/>
  <c r="N87" i="13"/>
  <c r="O87" i="13" s="1"/>
  <c r="P87" i="13" s="1"/>
  <c r="Q87" i="13" s="1"/>
  <c r="K87" i="25" s="1"/>
  <c r="N147" i="13"/>
  <c r="O147" i="13" s="1"/>
  <c r="P147" i="13" s="1"/>
  <c r="Q147" i="13" s="1"/>
  <c r="K147" i="25" s="1"/>
  <c r="N268" i="13"/>
  <c r="O268" i="13" s="1"/>
  <c r="P268" i="13" s="1"/>
  <c r="Q268" i="13" s="1"/>
  <c r="K268" i="25" s="1"/>
  <c r="N267" i="13"/>
  <c r="O267" i="13" s="1"/>
  <c r="P267" i="13" s="1"/>
  <c r="Q267" i="13" s="1"/>
  <c r="K267" i="25" s="1"/>
  <c r="N243" i="13"/>
  <c r="O243" i="13" s="1"/>
  <c r="P243" i="13" s="1"/>
  <c r="Q243" i="13" s="1"/>
  <c r="K243" i="25" s="1"/>
  <c r="N144" i="13"/>
  <c r="O144" i="13" s="1"/>
  <c r="P144" i="13" s="1"/>
  <c r="Q144" i="13" s="1"/>
  <c r="K144" i="25" s="1"/>
  <c r="N83" i="13"/>
  <c r="O83" i="13" s="1"/>
  <c r="P83" i="13" s="1"/>
  <c r="Q83" i="13" s="1"/>
  <c r="K83" i="25" s="1"/>
  <c r="N209" i="13"/>
  <c r="O209" i="13" s="1"/>
  <c r="P209" i="13" s="1"/>
  <c r="Q209" i="13" s="1"/>
  <c r="K209" i="25" s="1"/>
  <c r="N127" i="13"/>
  <c r="O127" i="13" s="1"/>
  <c r="P127" i="13" s="1"/>
  <c r="Q127" i="13" s="1"/>
  <c r="K127" i="25" s="1"/>
  <c r="N241" i="13"/>
  <c r="O241" i="13" s="1"/>
  <c r="P241" i="13" s="1"/>
  <c r="Q241" i="13" s="1"/>
  <c r="K241" i="25" s="1"/>
  <c r="N95" i="13"/>
  <c r="O95" i="13" s="1"/>
  <c r="P95" i="13" s="1"/>
  <c r="Q95" i="13" s="1"/>
  <c r="K95" i="25" s="1"/>
  <c r="N284" i="13"/>
  <c r="O284" i="13" s="1"/>
  <c r="P284" i="13" s="1"/>
  <c r="Q284" i="13" s="1"/>
  <c r="K284" i="25" s="1"/>
  <c r="N220" i="13"/>
  <c r="O220" i="13" s="1"/>
  <c r="P220" i="13" s="1"/>
  <c r="Q220" i="13" s="1"/>
  <c r="K220" i="25" s="1"/>
  <c r="H5" i="12"/>
  <c r="N45" i="13"/>
  <c r="O45" i="13" s="1"/>
  <c r="P45" i="13" s="1"/>
  <c r="Q45" i="13" s="1"/>
  <c r="K45" i="25" s="1"/>
  <c r="N306" i="13"/>
  <c r="O306" i="13" s="1"/>
  <c r="P306" i="13" s="1"/>
  <c r="Q306" i="13" s="1"/>
  <c r="K306" i="25" s="1"/>
  <c r="H5" i="39"/>
  <c r="I5" i="39" s="1"/>
  <c r="J5" i="39" s="1"/>
  <c r="J314" i="39" s="1"/>
  <c r="I315" i="25" s="1"/>
  <c r="N314" i="13"/>
  <c r="O314" i="13" s="1"/>
  <c r="P314" i="13" s="1"/>
  <c r="Q314" i="13" s="1"/>
  <c r="K314" i="25" s="1"/>
  <c r="N8" i="13"/>
  <c r="O8" i="13" s="1"/>
  <c r="P8" i="13" s="1"/>
  <c r="Q8" i="13" s="1"/>
  <c r="K8" i="25" s="1"/>
  <c r="N199" i="13"/>
  <c r="O199" i="13" s="1"/>
  <c r="P199" i="13" s="1"/>
  <c r="Q199" i="13" s="1"/>
  <c r="K199" i="25" s="1"/>
  <c r="N260" i="13"/>
  <c r="O260" i="13" s="1"/>
  <c r="P260" i="13" s="1"/>
  <c r="Q260" i="13" s="1"/>
  <c r="K260" i="25" s="1"/>
  <c r="N81" i="13"/>
  <c r="O81" i="13" s="1"/>
  <c r="P81" i="13" s="1"/>
  <c r="Q81" i="13" s="1"/>
  <c r="K81" i="25" s="1"/>
  <c r="N93" i="13"/>
  <c r="O93" i="13" s="1"/>
  <c r="P93" i="13" s="1"/>
  <c r="Q93" i="13" s="1"/>
  <c r="K93" i="25" s="1"/>
  <c r="N140" i="13"/>
  <c r="O140" i="13" s="1"/>
  <c r="P140" i="13" s="1"/>
  <c r="Q140" i="13" s="1"/>
  <c r="K140" i="25" s="1"/>
  <c r="N196" i="13"/>
  <c r="O196" i="13" s="1"/>
  <c r="P196" i="13" s="1"/>
  <c r="Q196" i="13" s="1"/>
  <c r="K196" i="25" s="1"/>
  <c r="N297" i="13"/>
  <c r="O297" i="13" s="1"/>
  <c r="P297" i="13" s="1"/>
  <c r="Q297" i="13" s="1"/>
  <c r="K297" i="25" s="1"/>
  <c r="N181" i="13"/>
  <c r="O181" i="13" s="1"/>
  <c r="P181" i="13" s="1"/>
  <c r="Q181" i="13" s="1"/>
  <c r="K181" i="25" s="1"/>
  <c r="N128" i="13"/>
  <c r="O128" i="13" s="1"/>
  <c r="P128" i="13" s="1"/>
  <c r="Q128" i="13" s="1"/>
  <c r="K128" i="25" s="1"/>
  <c r="N43" i="13"/>
  <c r="O43" i="13" s="1"/>
  <c r="P43" i="13" s="1"/>
  <c r="Q43" i="13" s="1"/>
  <c r="K43" i="25" s="1"/>
  <c r="N167" i="13"/>
  <c r="O167" i="13" s="1"/>
  <c r="P167" i="13" s="1"/>
  <c r="Q167" i="13" s="1"/>
  <c r="K167" i="25" s="1"/>
  <c r="N165" i="13"/>
  <c r="O165" i="13" s="1"/>
  <c r="P165" i="13" s="1"/>
  <c r="Q165" i="13" s="1"/>
  <c r="K165" i="25" s="1"/>
  <c r="N183" i="13"/>
  <c r="O183" i="13" s="1"/>
  <c r="P183" i="13" s="1"/>
  <c r="Q183" i="13" s="1"/>
  <c r="K183" i="25" s="1"/>
  <c r="N157" i="13"/>
  <c r="O157" i="13" s="1"/>
  <c r="P157" i="13" s="1"/>
  <c r="Q157" i="13" s="1"/>
  <c r="K157" i="25" s="1"/>
  <c r="N18" i="13"/>
  <c r="O18" i="13" s="1"/>
  <c r="P18" i="13" s="1"/>
  <c r="Q18" i="13" s="1"/>
  <c r="K18" i="25" s="1"/>
  <c r="N121" i="13"/>
  <c r="O121" i="13" s="1"/>
  <c r="P121" i="13" s="1"/>
  <c r="Q121" i="13" s="1"/>
  <c r="K121" i="25" s="1"/>
  <c r="N60" i="13"/>
  <c r="O60" i="13" s="1"/>
  <c r="P60" i="13" s="1"/>
  <c r="Q60" i="13" s="1"/>
  <c r="K60" i="25" s="1"/>
  <c r="N197" i="13"/>
  <c r="O197" i="13" s="1"/>
  <c r="P197" i="13" s="1"/>
  <c r="Q197" i="13" s="1"/>
  <c r="K197" i="25" s="1"/>
  <c r="N117" i="13"/>
  <c r="O117" i="13" s="1"/>
  <c r="P117" i="13" s="1"/>
  <c r="Q117" i="13" s="1"/>
  <c r="K117" i="25" s="1"/>
  <c r="N75" i="13"/>
  <c r="O75" i="13" s="1"/>
  <c r="P75" i="13" s="1"/>
  <c r="Q75" i="13" s="1"/>
  <c r="K75" i="25" s="1"/>
  <c r="N109" i="13"/>
  <c r="O109" i="13" s="1"/>
  <c r="P109" i="13" s="1"/>
  <c r="Q109" i="13" s="1"/>
  <c r="K109" i="25" s="1"/>
  <c r="N15" i="13"/>
  <c r="O15" i="13" s="1"/>
  <c r="P15" i="13" s="1"/>
  <c r="Q15" i="13" s="1"/>
  <c r="K15" i="25" s="1"/>
  <c r="N278" i="13"/>
  <c r="O278" i="13" s="1"/>
  <c r="P278" i="13" s="1"/>
  <c r="Q278" i="13" s="1"/>
  <c r="K278" i="25" s="1"/>
  <c r="N169" i="13"/>
  <c r="O169" i="13" s="1"/>
  <c r="P169" i="13" s="1"/>
  <c r="Q169" i="13" s="1"/>
  <c r="K169" i="25" s="1"/>
  <c r="N129" i="13"/>
  <c r="O129" i="13" s="1"/>
  <c r="P129" i="13" s="1"/>
  <c r="Q129" i="13" s="1"/>
  <c r="K129" i="25" s="1"/>
  <c r="N160" i="13"/>
  <c r="O160" i="13" s="1"/>
  <c r="P160" i="13" s="1"/>
  <c r="Q160" i="13" s="1"/>
  <c r="K160" i="25" s="1"/>
  <c r="N171" i="13"/>
  <c r="O171" i="13" s="1"/>
  <c r="P171" i="13" s="1"/>
  <c r="Q171" i="13" s="1"/>
  <c r="K171" i="25" s="1"/>
  <c r="N228" i="13"/>
  <c r="O228" i="13" s="1"/>
  <c r="P228" i="13" s="1"/>
  <c r="Q228" i="13" s="1"/>
  <c r="K228" i="25" s="1"/>
  <c r="N233" i="13"/>
  <c r="O233" i="13" s="1"/>
  <c r="P233" i="13" s="1"/>
  <c r="Q233" i="13" s="1"/>
  <c r="K233" i="25" s="1"/>
  <c r="N152" i="13"/>
  <c r="O152" i="13" s="1"/>
  <c r="P152" i="13" s="1"/>
  <c r="Q152" i="13" s="1"/>
  <c r="K152" i="25" s="1"/>
  <c r="N175" i="13"/>
  <c r="O175" i="13" s="1"/>
  <c r="P175" i="13" s="1"/>
  <c r="Q175" i="13" s="1"/>
  <c r="K175" i="25" s="1"/>
  <c r="N184" i="13"/>
  <c r="O184" i="13" s="1"/>
  <c r="P184" i="13" s="1"/>
  <c r="Q184" i="13" s="1"/>
  <c r="K184" i="25" s="1"/>
  <c r="N288" i="13"/>
  <c r="O288" i="13" s="1"/>
  <c r="P288" i="13" s="1"/>
  <c r="Q288" i="13" s="1"/>
  <c r="K288" i="25" s="1"/>
  <c r="N211" i="13"/>
  <c r="O211" i="13" s="1"/>
  <c r="P211" i="13" s="1"/>
  <c r="Q211" i="13" s="1"/>
  <c r="K211" i="25" s="1"/>
  <c r="N51" i="13"/>
  <c r="O51" i="13" s="1"/>
  <c r="P51" i="13" s="1"/>
  <c r="Q51" i="13" s="1"/>
  <c r="K51" i="25" s="1"/>
  <c r="N303" i="13"/>
  <c r="O303" i="13" s="1"/>
  <c r="P303" i="13" s="1"/>
  <c r="Q303" i="13" s="1"/>
  <c r="K303" i="25" s="1"/>
  <c r="N299" i="13"/>
  <c r="O299" i="13" s="1"/>
  <c r="P299" i="13" s="1"/>
  <c r="Q299" i="13" s="1"/>
  <c r="K299" i="25" s="1"/>
  <c r="N134" i="13"/>
  <c r="O134" i="13" s="1"/>
  <c r="P134" i="13" s="1"/>
  <c r="Q134" i="13" s="1"/>
  <c r="K134" i="25" s="1"/>
  <c r="N94" i="13"/>
  <c r="O94" i="13" s="1"/>
  <c r="P94" i="13" s="1"/>
  <c r="Q94" i="13" s="1"/>
  <c r="K94" i="25" s="1"/>
  <c r="N17" i="13"/>
  <c r="O17" i="13" s="1"/>
  <c r="P17" i="13" s="1"/>
  <c r="Q17" i="13" s="1"/>
  <c r="K17" i="25" s="1"/>
  <c r="N229" i="13"/>
  <c r="O229" i="13" s="1"/>
  <c r="P229" i="13" s="1"/>
  <c r="Q229" i="13" s="1"/>
  <c r="K229" i="25" s="1"/>
  <c r="N215" i="13"/>
  <c r="O215" i="13" s="1"/>
  <c r="P215" i="13" s="1"/>
  <c r="Q215" i="13" s="1"/>
  <c r="K215" i="25" s="1"/>
  <c r="N287" i="13"/>
  <c r="O287" i="13" s="1"/>
  <c r="P287" i="13" s="1"/>
  <c r="Q287" i="13" s="1"/>
  <c r="K287" i="25" s="1"/>
  <c r="N264" i="13"/>
  <c r="O264" i="13" s="1"/>
  <c r="P264" i="13" s="1"/>
  <c r="Q264" i="13" s="1"/>
  <c r="K264" i="25" s="1"/>
  <c r="N282" i="13"/>
  <c r="O282" i="13" s="1"/>
  <c r="P282" i="13" s="1"/>
  <c r="Q282" i="13" s="1"/>
  <c r="K282" i="25" s="1"/>
  <c r="N164" i="13"/>
  <c r="O164" i="13" s="1"/>
  <c r="P164" i="13" s="1"/>
  <c r="Q164" i="13" s="1"/>
  <c r="K164" i="25" s="1"/>
  <c r="N31" i="13"/>
  <c r="O31" i="13" s="1"/>
  <c r="P31" i="13" s="1"/>
  <c r="Q31" i="13" s="1"/>
  <c r="K31" i="25" s="1"/>
  <c r="N200" i="13"/>
  <c r="O200" i="13" s="1"/>
  <c r="P200" i="13" s="1"/>
  <c r="Q200" i="13" s="1"/>
  <c r="K200" i="25" s="1"/>
  <c r="N304" i="13"/>
  <c r="O304" i="13" s="1"/>
  <c r="P304" i="13" s="1"/>
  <c r="Q304" i="13" s="1"/>
  <c r="K304" i="25" s="1"/>
  <c r="N188" i="13"/>
  <c r="O188" i="13" s="1"/>
  <c r="P188" i="13" s="1"/>
  <c r="Q188" i="13" s="1"/>
  <c r="K188" i="25" s="1"/>
  <c r="N291" i="13"/>
  <c r="O291" i="13" s="1"/>
  <c r="P291" i="13" s="1"/>
  <c r="Q291" i="13" s="1"/>
  <c r="K291" i="25" s="1"/>
  <c r="N119" i="13"/>
  <c r="O119" i="13" s="1"/>
  <c r="P119" i="13" s="1"/>
  <c r="Q119" i="13" s="1"/>
  <c r="K119" i="25" s="1"/>
  <c r="N245" i="13"/>
  <c r="O245" i="13" s="1"/>
  <c r="P245" i="13" s="1"/>
  <c r="Q245" i="13" s="1"/>
  <c r="K245" i="25" s="1"/>
  <c r="N302" i="13"/>
  <c r="O302" i="13" s="1"/>
  <c r="P302" i="13" s="1"/>
  <c r="Q302" i="13" s="1"/>
  <c r="K302" i="25" s="1"/>
  <c r="N96" i="13"/>
  <c r="O96" i="13" s="1"/>
  <c r="P96" i="13" s="1"/>
  <c r="Q96" i="13" s="1"/>
  <c r="K96" i="25" s="1"/>
  <c r="N98" i="13"/>
  <c r="O98" i="13" s="1"/>
  <c r="P98" i="13" s="1"/>
  <c r="Q98" i="13" s="1"/>
  <c r="K98" i="25" s="1"/>
  <c r="N307" i="13"/>
  <c r="O307" i="13" s="1"/>
  <c r="P307" i="13" s="1"/>
  <c r="Q307" i="13" s="1"/>
  <c r="K307" i="25" s="1"/>
  <c r="N137" i="13"/>
  <c r="O137" i="13" s="1"/>
  <c r="P137" i="13" s="1"/>
  <c r="Q137" i="13" s="1"/>
  <c r="K137" i="25" s="1"/>
  <c r="N138" i="13"/>
  <c r="O138" i="13" s="1"/>
  <c r="P138" i="13" s="1"/>
  <c r="Q138" i="13" s="1"/>
  <c r="K138" i="25" s="1"/>
  <c r="N187" i="13"/>
  <c r="O187" i="13" s="1"/>
  <c r="P187" i="13" s="1"/>
  <c r="Q187" i="13" s="1"/>
  <c r="K187" i="25" s="1"/>
  <c r="N42" i="13"/>
  <c r="O42" i="13" s="1"/>
  <c r="P42" i="13" s="1"/>
  <c r="Q42" i="13" s="1"/>
  <c r="K42" i="25" s="1"/>
  <c r="N86" i="13"/>
  <c r="O86" i="13" s="1"/>
  <c r="P86" i="13" s="1"/>
  <c r="Q86" i="13" s="1"/>
  <c r="K86" i="25" s="1"/>
  <c r="N111" i="13"/>
  <c r="O111" i="13" s="1"/>
  <c r="P111" i="13" s="1"/>
  <c r="Q111" i="13" s="1"/>
  <c r="K111" i="25" s="1"/>
  <c r="N154" i="13"/>
  <c r="O154" i="13" s="1"/>
  <c r="P154" i="13" s="1"/>
  <c r="Q154" i="13" s="1"/>
  <c r="K154" i="25" s="1"/>
  <c r="N112" i="13"/>
  <c r="O112" i="13" s="1"/>
  <c r="P112" i="13" s="1"/>
  <c r="Q112" i="13" s="1"/>
  <c r="K112" i="25" s="1"/>
  <c r="N279" i="13"/>
  <c r="O279" i="13" s="1"/>
  <c r="P279" i="13" s="1"/>
  <c r="Q279" i="13" s="1"/>
  <c r="K279" i="25" s="1"/>
  <c r="N311" i="13"/>
  <c r="O311" i="13" s="1"/>
  <c r="P311" i="13" s="1"/>
  <c r="Q311" i="13" s="1"/>
  <c r="K311" i="25" s="1"/>
  <c r="N280" i="13"/>
  <c r="O280" i="13" s="1"/>
  <c r="P280" i="13" s="1"/>
  <c r="Q280" i="13" s="1"/>
  <c r="K280" i="25" s="1"/>
  <c r="N64" i="13"/>
  <c r="O64" i="13" s="1"/>
  <c r="P64" i="13" s="1"/>
  <c r="Q64" i="13" s="1"/>
  <c r="K64" i="25" s="1"/>
  <c r="N126" i="13"/>
  <c r="O126" i="13" s="1"/>
  <c r="P126" i="13" s="1"/>
  <c r="Q126" i="13" s="1"/>
  <c r="K126" i="25" s="1"/>
  <c r="N294" i="13"/>
  <c r="O294" i="13" s="1"/>
  <c r="P294" i="13" s="1"/>
  <c r="Q294" i="13" s="1"/>
  <c r="K294" i="25" s="1"/>
  <c r="N77" i="13"/>
  <c r="O77" i="13" s="1"/>
  <c r="P77" i="13" s="1"/>
  <c r="Q77" i="13" s="1"/>
  <c r="K77" i="25" s="1"/>
  <c r="N281" i="13"/>
  <c r="O281" i="13" s="1"/>
  <c r="P281" i="13" s="1"/>
  <c r="Q281" i="13" s="1"/>
  <c r="K281" i="25" s="1"/>
  <c r="N222" i="13"/>
  <c r="O222" i="13" s="1"/>
  <c r="P222" i="13" s="1"/>
  <c r="Q222" i="13" s="1"/>
  <c r="K222" i="25" s="1"/>
  <c r="N23" i="13"/>
  <c r="O23" i="13" s="1"/>
  <c r="P23" i="13" s="1"/>
  <c r="Q23" i="13" s="1"/>
  <c r="K23" i="25" s="1"/>
  <c r="N247" i="13"/>
  <c r="O247" i="13" s="1"/>
  <c r="P247" i="13" s="1"/>
  <c r="Q247" i="13" s="1"/>
  <c r="K247" i="25" s="1"/>
  <c r="N13" i="13"/>
  <c r="O13" i="13" s="1"/>
  <c r="P13" i="13" s="1"/>
  <c r="Q13" i="13" s="1"/>
  <c r="K13" i="25" s="1"/>
  <c r="N255" i="13"/>
  <c r="O255" i="13" s="1"/>
  <c r="P255" i="13" s="1"/>
  <c r="Q255" i="13" s="1"/>
  <c r="K255" i="25" s="1"/>
  <c r="N218" i="13"/>
  <c r="O218" i="13" s="1"/>
  <c r="P218" i="13" s="1"/>
  <c r="Q218" i="13" s="1"/>
  <c r="K218" i="25" s="1"/>
  <c r="N261" i="13"/>
  <c r="O261" i="13" s="1"/>
  <c r="P261" i="13" s="1"/>
  <c r="Q261" i="13" s="1"/>
  <c r="K261" i="25" s="1"/>
  <c r="N250" i="13"/>
  <c r="O250" i="13" s="1"/>
  <c r="P250" i="13" s="1"/>
  <c r="Q250" i="13" s="1"/>
  <c r="K250" i="25" s="1"/>
  <c r="N22" i="13"/>
  <c r="O22" i="13" s="1"/>
  <c r="P22" i="13" s="1"/>
  <c r="Q22" i="13" s="1"/>
  <c r="K22" i="25" s="1"/>
  <c r="N40" i="13"/>
  <c r="O40" i="13" s="1"/>
  <c r="P40" i="13" s="1"/>
  <c r="Q40" i="13" s="1"/>
  <c r="K40" i="25" s="1"/>
  <c r="N309" i="13"/>
  <c r="O309" i="13" s="1"/>
  <c r="P309" i="13" s="1"/>
  <c r="Q309" i="13" s="1"/>
  <c r="K309" i="25" s="1"/>
  <c r="N33" i="13"/>
  <c r="O33" i="13" s="1"/>
  <c r="P33" i="13" s="1"/>
  <c r="Q33" i="13" s="1"/>
  <c r="K33" i="25" s="1"/>
  <c r="N71" i="13"/>
  <c r="O71" i="13" s="1"/>
  <c r="P71" i="13" s="1"/>
  <c r="Q71" i="13" s="1"/>
  <c r="K71" i="25" s="1"/>
  <c r="N251" i="13"/>
  <c r="O251" i="13" s="1"/>
  <c r="P251" i="13" s="1"/>
  <c r="Q251" i="13" s="1"/>
  <c r="K251" i="25" s="1"/>
  <c r="N191" i="13"/>
  <c r="N11" i="13"/>
  <c r="O11" i="13" s="1"/>
  <c r="P11" i="13" s="1"/>
  <c r="Q11" i="13" s="1"/>
  <c r="K11" i="25" s="1"/>
  <c r="N47" i="13"/>
  <c r="O47" i="13" s="1"/>
  <c r="P47" i="13" s="1"/>
  <c r="Q47" i="13" s="1"/>
  <c r="K47" i="25" s="1"/>
  <c r="N82" i="13"/>
  <c r="O82" i="13" s="1"/>
  <c r="P82" i="13" s="1"/>
  <c r="Q82" i="13" s="1"/>
  <c r="K82" i="25" s="1"/>
  <c r="N159" i="13"/>
  <c r="O159" i="13" s="1"/>
  <c r="P159" i="13" s="1"/>
  <c r="Q159" i="13" s="1"/>
  <c r="K159" i="25" s="1"/>
  <c r="N92" i="13"/>
  <c r="O92" i="13" s="1"/>
  <c r="P92" i="13" s="1"/>
  <c r="Q92" i="13" s="1"/>
  <c r="K92" i="25" s="1"/>
  <c r="N113" i="13"/>
  <c r="O113" i="13" s="1"/>
  <c r="P113" i="13" s="1"/>
  <c r="Q113" i="13" s="1"/>
  <c r="K113" i="25" s="1"/>
  <c r="N101" i="13"/>
  <c r="O101" i="13" s="1"/>
  <c r="P101" i="13" s="1"/>
  <c r="Q101" i="13" s="1"/>
  <c r="K101" i="25" s="1"/>
  <c r="N156" i="13"/>
  <c r="O156" i="13" s="1"/>
  <c r="P156" i="13" s="1"/>
  <c r="Q156" i="13" s="1"/>
  <c r="K156" i="25" s="1"/>
  <c r="N10" i="13"/>
  <c r="O10" i="13" s="1"/>
  <c r="P10" i="13" s="1"/>
  <c r="Q10" i="13" s="1"/>
  <c r="K10" i="25" s="1"/>
  <c r="N100" i="13"/>
  <c r="O100" i="13" s="1"/>
  <c r="P100" i="13" s="1"/>
  <c r="Q100" i="13" s="1"/>
  <c r="K100" i="25" s="1"/>
  <c r="N103" i="13"/>
  <c r="O103" i="13" s="1"/>
  <c r="P103" i="13" s="1"/>
  <c r="Q103" i="13" s="1"/>
  <c r="K103" i="25" s="1"/>
  <c r="N37" i="13"/>
  <c r="O37" i="13" s="1"/>
  <c r="P37" i="13" s="1"/>
  <c r="Q37" i="13" s="1"/>
  <c r="K37" i="25" s="1"/>
  <c r="N78" i="13"/>
  <c r="O78" i="13" s="1"/>
  <c r="P78" i="13" s="1"/>
  <c r="Q78" i="13" s="1"/>
  <c r="K78" i="25" s="1"/>
  <c r="N36" i="13"/>
  <c r="O36" i="13" s="1"/>
  <c r="P36" i="13" s="1"/>
  <c r="Q36" i="13" s="1"/>
  <c r="K36" i="25" s="1"/>
  <c r="N274" i="13"/>
  <c r="O274" i="13" s="1"/>
  <c r="P274" i="13" s="1"/>
  <c r="Q274" i="13" s="1"/>
  <c r="K274" i="25" s="1"/>
  <c r="N216" i="13"/>
  <c r="O216" i="13" s="1"/>
  <c r="P216" i="13" s="1"/>
  <c r="Q216" i="13" s="1"/>
  <c r="K216" i="25" s="1"/>
  <c r="N283" i="13"/>
  <c r="O283" i="13" s="1"/>
  <c r="P283" i="13" s="1"/>
  <c r="Q283" i="13" s="1"/>
  <c r="K283" i="25" s="1"/>
  <c r="N242" i="13"/>
  <c r="O242" i="13" s="1"/>
  <c r="P242" i="13" s="1"/>
  <c r="Q242" i="13" s="1"/>
  <c r="K242" i="25" s="1"/>
  <c r="N198" i="13"/>
  <c r="O198" i="13" s="1"/>
  <c r="P198" i="13" s="1"/>
  <c r="Q198" i="13" s="1"/>
  <c r="K198" i="25" s="1"/>
  <c r="N58" i="13"/>
  <c r="O58" i="13" s="1"/>
  <c r="P58" i="13" s="1"/>
  <c r="Q58" i="13" s="1"/>
  <c r="K58" i="25" s="1"/>
  <c r="N50" i="13"/>
  <c r="O50" i="13" s="1"/>
  <c r="P50" i="13" s="1"/>
  <c r="Q50" i="13" s="1"/>
  <c r="K50" i="25" s="1"/>
  <c r="N62" i="13"/>
  <c r="O62" i="13" s="1"/>
  <c r="P62" i="13" s="1"/>
  <c r="Q62" i="13" s="1"/>
  <c r="K62" i="25" s="1"/>
  <c r="N74" i="13"/>
  <c r="O74" i="13" s="1"/>
  <c r="P74" i="13" s="1"/>
  <c r="Q74" i="13" s="1"/>
  <c r="K74" i="25" s="1"/>
  <c r="N25" i="13"/>
  <c r="O25" i="13" s="1"/>
  <c r="P25" i="13" s="1"/>
  <c r="Q25" i="13" s="1"/>
  <c r="K25" i="25" s="1"/>
  <c r="N99" i="13"/>
  <c r="O99" i="13" s="1"/>
  <c r="P99" i="13" s="1"/>
  <c r="Q99" i="13" s="1"/>
  <c r="K99" i="25" s="1"/>
  <c r="N182" i="13"/>
  <c r="O182" i="13" s="1"/>
  <c r="P182" i="13" s="1"/>
  <c r="Q182" i="13" s="1"/>
  <c r="K182" i="25" s="1"/>
  <c r="N177" i="13"/>
  <c r="O177" i="13" s="1"/>
  <c r="P177" i="13" s="1"/>
  <c r="Q177" i="13" s="1"/>
  <c r="K177" i="25" s="1"/>
  <c r="N55" i="13"/>
  <c r="O55" i="13" s="1"/>
  <c r="P55" i="13" s="1"/>
  <c r="Q55" i="13" s="1"/>
  <c r="K55" i="25" s="1"/>
  <c r="N208" i="13"/>
  <c r="O208" i="13" s="1"/>
  <c r="P208" i="13" s="1"/>
  <c r="Q208" i="13" s="1"/>
  <c r="K208" i="25" s="1"/>
  <c r="N225" i="13"/>
  <c r="O225" i="13" s="1"/>
  <c r="P225" i="13" s="1"/>
  <c r="Q225" i="13" s="1"/>
  <c r="K225" i="25" s="1"/>
  <c r="N168" i="13"/>
  <c r="O168" i="13" s="1"/>
  <c r="P168" i="13" s="1"/>
  <c r="Q168" i="13" s="1"/>
  <c r="K168" i="25" s="1"/>
  <c r="N301" i="13"/>
  <c r="O301" i="13" s="1"/>
  <c r="P301" i="13" s="1"/>
  <c r="Q301" i="13" s="1"/>
  <c r="K301" i="25" s="1"/>
  <c r="N88" i="13"/>
  <c r="O88" i="13" s="1"/>
  <c r="P88" i="13" s="1"/>
  <c r="Q88" i="13" s="1"/>
  <c r="K88" i="25" s="1"/>
  <c r="N54" i="13"/>
  <c r="O54" i="13" s="1"/>
  <c r="P54" i="13" s="1"/>
  <c r="Q54" i="13" s="1"/>
  <c r="K54" i="25" s="1"/>
  <c r="N46" i="13"/>
  <c r="O46" i="13" s="1"/>
  <c r="P46" i="13" s="1"/>
  <c r="Q46" i="13" s="1"/>
  <c r="K46" i="25" s="1"/>
  <c r="N237" i="13"/>
  <c r="O237" i="13" s="1"/>
  <c r="P237" i="13" s="1"/>
  <c r="Q237" i="13" s="1"/>
  <c r="K237" i="25" s="1"/>
  <c r="N148" i="13"/>
  <c r="O148" i="13" s="1"/>
  <c r="P148" i="13" s="1"/>
  <c r="Q148" i="13" s="1"/>
  <c r="K148" i="25" s="1"/>
  <c r="N179" i="13"/>
  <c r="O179" i="13" s="1"/>
  <c r="P179" i="13" s="1"/>
  <c r="Q179" i="13" s="1"/>
  <c r="K179" i="25" s="1"/>
  <c r="N253" i="13"/>
  <c r="O253" i="13" s="1"/>
  <c r="P253" i="13" s="1"/>
  <c r="Q253" i="13" s="1"/>
  <c r="K253" i="25" s="1"/>
  <c r="N49" i="13"/>
  <c r="O49" i="13" s="1"/>
  <c r="P49" i="13" s="1"/>
  <c r="Q49" i="13" s="1"/>
  <c r="K49" i="25" s="1"/>
  <c r="N158" i="13"/>
  <c r="O158" i="13" s="1"/>
  <c r="P158" i="13" s="1"/>
  <c r="Q158" i="13" s="1"/>
  <c r="K158" i="25" s="1"/>
  <c r="N272" i="13"/>
  <c r="O272" i="13" s="1"/>
  <c r="P272" i="13" s="1"/>
  <c r="Q272" i="13" s="1"/>
  <c r="K272" i="25" s="1"/>
  <c r="N227" i="13"/>
  <c r="O227" i="13" s="1"/>
  <c r="P227" i="13" s="1"/>
  <c r="Q227" i="13" s="1"/>
  <c r="K227" i="25" s="1"/>
  <c r="N295" i="13"/>
  <c r="O295" i="13" s="1"/>
  <c r="P295" i="13" s="1"/>
  <c r="Q295" i="13" s="1"/>
  <c r="K295" i="25" s="1"/>
  <c r="N149" i="13"/>
  <c r="O149" i="13" s="1"/>
  <c r="P149" i="13" s="1"/>
  <c r="Q149" i="13" s="1"/>
  <c r="K149" i="25" s="1"/>
  <c r="N186" i="13"/>
  <c r="O186" i="13" s="1"/>
  <c r="P186" i="13" s="1"/>
  <c r="Q186" i="13" s="1"/>
  <c r="K186" i="25" s="1"/>
  <c r="N146" i="13"/>
  <c r="O146" i="13" s="1"/>
  <c r="P146" i="13" s="1"/>
  <c r="Q146" i="13" s="1"/>
  <c r="K146" i="25" s="1"/>
  <c r="N180" i="13"/>
  <c r="O180" i="13" s="1"/>
  <c r="P180" i="13" s="1"/>
  <c r="Q180" i="13" s="1"/>
  <c r="K180" i="25" s="1"/>
  <c r="N308" i="13"/>
  <c r="O308" i="13" s="1"/>
  <c r="P308" i="13" s="1"/>
  <c r="Q308" i="13" s="1"/>
  <c r="K308" i="25" s="1"/>
  <c r="N213" i="13"/>
  <c r="O213" i="13" s="1"/>
  <c r="P213" i="13" s="1"/>
  <c r="Q213" i="13" s="1"/>
  <c r="K213" i="25" s="1"/>
  <c r="N105" i="13"/>
  <c r="O105" i="13" s="1"/>
  <c r="P105" i="13" s="1"/>
  <c r="Q105" i="13" s="1"/>
  <c r="K105" i="25" s="1"/>
  <c r="N206" i="13"/>
  <c r="O206" i="13" s="1"/>
  <c r="P206" i="13" s="1"/>
  <c r="Q206" i="13" s="1"/>
  <c r="K206" i="25" s="1"/>
  <c r="N118" i="13"/>
  <c r="O118" i="13" s="1"/>
  <c r="P118" i="13" s="1"/>
  <c r="Q118" i="13" s="1"/>
  <c r="K118" i="25" s="1"/>
  <c r="N161" i="13"/>
  <c r="O161" i="13" s="1"/>
  <c r="P161" i="13" s="1"/>
  <c r="Q161" i="13" s="1"/>
  <c r="K161" i="25" s="1"/>
  <c r="N59" i="13"/>
  <c r="O59" i="13" s="1"/>
  <c r="P59" i="13" s="1"/>
  <c r="Q59" i="13" s="1"/>
  <c r="K59" i="25" s="1"/>
  <c r="N276" i="13"/>
  <c r="O276" i="13" s="1"/>
  <c r="P276" i="13" s="1"/>
  <c r="Q276" i="13" s="1"/>
  <c r="K276" i="25" s="1"/>
  <c r="N20" i="13"/>
  <c r="O20" i="13" s="1"/>
  <c r="P20" i="13" s="1"/>
  <c r="Q20" i="13" s="1"/>
  <c r="K20" i="25" s="1"/>
  <c r="N19" i="13"/>
  <c r="O19" i="13" s="1"/>
  <c r="P19" i="13" s="1"/>
  <c r="Q19" i="13" s="1"/>
  <c r="K19" i="25" s="1"/>
  <c r="N185" i="13"/>
  <c r="O185" i="13" s="1"/>
  <c r="P185" i="13" s="1"/>
  <c r="Q185" i="13" s="1"/>
  <c r="K185" i="25" s="1"/>
  <c r="N258" i="13"/>
  <c r="O258" i="13" s="1"/>
  <c r="P258" i="13" s="1"/>
  <c r="Q258" i="13" s="1"/>
  <c r="K258" i="25" s="1"/>
  <c r="N224" i="13"/>
  <c r="O224" i="13" s="1"/>
  <c r="P224" i="13" s="1"/>
  <c r="Q224" i="13" s="1"/>
  <c r="K224" i="25" s="1"/>
  <c r="N91" i="13"/>
  <c r="O91" i="13" s="1"/>
  <c r="P91" i="13" s="1"/>
  <c r="Q91" i="13" s="1"/>
  <c r="K91" i="25" s="1"/>
  <c r="N67" i="13"/>
  <c r="O67" i="13" s="1"/>
  <c r="P67" i="13" s="1"/>
  <c r="Q67" i="13" s="1"/>
  <c r="K67" i="25" s="1"/>
  <c r="N173" i="13"/>
  <c r="O173" i="13" s="1"/>
  <c r="P173" i="13" s="1"/>
  <c r="Q173" i="13" s="1"/>
  <c r="K173" i="25" s="1"/>
  <c r="N142" i="13"/>
  <c r="O142" i="13" s="1"/>
  <c r="P142" i="13" s="1"/>
  <c r="Q142" i="13" s="1"/>
  <c r="K142" i="25" s="1"/>
  <c r="N141" i="13"/>
  <c r="O141" i="13" s="1"/>
  <c r="P141" i="13" s="1"/>
  <c r="Q141" i="13" s="1"/>
  <c r="K141" i="25" s="1"/>
  <c r="N72" i="13"/>
  <c r="O72" i="13" s="1"/>
  <c r="P72" i="13" s="1"/>
  <c r="Q72" i="13" s="1"/>
  <c r="K72" i="25" s="1"/>
  <c r="N139" i="13"/>
  <c r="O139" i="13" s="1"/>
  <c r="P139" i="13" s="1"/>
  <c r="Q139" i="13" s="1"/>
  <c r="K139" i="25" s="1"/>
  <c r="N189" i="13"/>
  <c r="O189" i="13" s="1"/>
  <c r="P189" i="13" s="1"/>
  <c r="Q189" i="13" s="1"/>
  <c r="K189" i="25" s="1"/>
  <c r="N203" i="13"/>
  <c r="O203" i="13" s="1"/>
  <c r="P203" i="13" s="1"/>
  <c r="Q203" i="13" s="1"/>
  <c r="K203" i="25" s="1"/>
  <c r="N21" i="13"/>
  <c r="O21" i="13" s="1"/>
  <c r="P21" i="13" s="1"/>
  <c r="Q21" i="13" s="1"/>
  <c r="K21" i="25" s="1"/>
  <c r="N257" i="13"/>
  <c r="O257" i="13" s="1"/>
  <c r="P257" i="13" s="1"/>
  <c r="Q257" i="13" s="1"/>
  <c r="K257" i="25" s="1"/>
  <c r="N97" i="13"/>
  <c r="O97" i="13" s="1"/>
  <c r="P97" i="13" s="1"/>
  <c r="Q97" i="13" s="1"/>
  <c r="K97" i="25" s="1"/>
  <c r="N34" i="13"/>
  <c r="O34" i="13" s="1"/>
  <c r="P34" i="13" s="1"/>
  <c r="Q34" i="13" s="1"/>
  <c r="K34" i="25" s="1"/>
  <c r="N143" i="13"/>
  <c r="O143" i="13" s="1"/>
  <c r="P143" i="13" s="1"/>
  <c r="Q143" i="13" s="1"/>
  <c r="K143" i="25" s="1"/>
  <c r="N76" i="13"/>
  <c r="O76" i="13" s="1"/>
  <c r="P76" i="13" s="1"/>
  <c r="Q76" i="13" s="1"/>
  <c r="K76" i="25" s="1"/>
  <c r="N108" i="13"/>
  <c r="O108" i="13" s="1"/>
  <c r="P108" i="13" s="1"/>
  <c r="Q108" i="13" s="1"/>
  <c r="K108" i="25" s="1"/>
  <c r="N16" i="13"/>
  <c r="O16" i="13" s="1"/>
  <c r="P16" i="13" s="1"/>
  <c r="Q16" i="13" s="1"/>
  <c r="K16" i="25" s="1"/>
  <c r="N312" i="13"/>
  <c r="O312" i="13" s="1"/>
  <c r="P312" i="13" s="1"/>
  <c r="Q312" i="13" s="1"/>
  <c r="K312" i="25" s="1"/>
  <c r="N131" i="13"/>
  <c r="O131" i="13" s="1"/>
  <c r="P131" i="13" s="1"/>
  <c r="Q131" i="13" s="1"/>
  <c r="K131" i="25" s="1"/>
  <c r="N212" i="13"/>
  <c r="O212" i="13" s="1"/>
  <c r="P212" i="13" s="1"/>
  <c r="Q212" i="13" s="1"/>
  <c r="K212" i="25" s="1"/>
  <c r="N106" i="13"/>
  <c r="O106" i="13" s="1"/>
  <c r="P106" i="13" s="1"/>
  <c r="Q106" i="13" s="1"/>
  <c r="K106" i="25" s="1"/>
  <c r="N28" i="13"/>
  <c r="O28" i="13" s="1"/>
  <c r="P28" i="13" s="1"/>
  <c r="Q28" i="13" s="1"/>
  <c r="K28" i="25" s="1"/>
  <c r="N210" i="13"/>
  <c r="O210" i="13" s="1"/>
  <c r="P210" i="13" s="1"/>
  <c r="Q210" i="13" s="1"/>
  <c r="K210" i="25" s="1"/>
  <c r="N155" i="13"/>
  <c r="O155" i="13" s="1"/>
  <c r="P155" i="13" s="1"/>
  <c r="Q155" i="13" s="1"/>
  <c r="K155" i="25" s="1"/>
  <c r="N207" i="13"/>
  <c r="O207" i="13" s="1"/>
  <c r="P207" i="13" s="1"/>
  <c r="Q207" i="13" s="1"/>
  <c r="K207" i="25" s="1"/>
  <c r="N122" i="13"/>
  <c r="O122" i="13" s="1"/>
  <c r="P122" i="13" s="1"/>
  <c r="Q122" i="13" s="1"/>
  <c r="K122" i="25" s="1"/>
  <c r="N52" i="13"/>
  <c r="O52" i="13" s="1"/>
  <c r="P52" i="13" s="1"/>
  <c r="Q52" i="13" s="1"/>
  <c r="K52" i="25" s="1"/>
  <c r="N12" i="13"/>
  <c r="O12" i="13" s="1"/>
  <c r="P12" i="13" s="1"/>
  <c r="Q12" i="13" s="1"/>
  <c r="K12" i="25" s="1"/>
  <c r="N85" i="13"/>
  <c r="O85" i="13" s="1"/>
  <c r="P85" i="13" s="1"/>
  <c r="Q85" i="13" s="1"/>
  <c r="K85" i="25" s="1"/>
  <c r="N135" i="13"/>
  <c r="O135" i="13" s="1"/>
  <c r="P135" i="13" s="1"/>
  <c r="Q135" i="13" s="1"/>
  <c r="K135" i="25" s="1"/>
  <c r="N246" i="13"/>
  <c r="O246" i="13" s="1"/>
  <c r="P246" i="13" s="1"/>
  <c r="Q246" i="13" s="1"/>
  <c r="K246" i="25" s="1"/>
  <c r="N150" i="13"/>
  <c r="O150" i="13" s="1"/>
  <c r="P150" i="13" s="1"/>
  <c r="Q150" i="13" s="1"/>
  <c r="K150" i="25" s="1"/>
  <c r="N256" i="13"/>
  <c r="O256" i="13" s="1"/>
  <c r="P256" i="13" s="1"/>
  <c r="Q256" i="13" s="1"/>
  <c r="K256" i="25" s="1"/>
  <c r="N123" i="13"/>
  <c r="O123" i="13" s="1"/>
  <c r="P123" i="13" s="1"/>
  <c r="Q123" i="13" s="1"/>
  <c r="K123" i="25" s="1"/>
  <c r="N201" i="13"/>
  <c r="O201" i="13" s="1"/>
  <c r="P201" i="13" s="1"/>
  <c r="Q201" i="13" s="1"/>
  <c r="K201" i="25" s="1"/>
  <c r="N162" i="13"/>
  <c r="O162" i="13" s="1"/>
  <c r="P162" i="13" s="1"/>
  <c r="Q162" i="13" s="1"/>
  <c r="K162" i="25" s="1"/>
  <c r="N292" i="13"/>
  <c r="O292" i="13" s="1"/>
  <c r="P292" i="13" s="1"/>
  <c r="Q292" i="13" s="1"/>
  <c r="K292" i="25" s="1"/>
  <c r="N259" i="13"/>
  <c r="O259" i="13" s="1"/>
  <c r="P259" i="13" s="1"/>
  <c r="Q259" i="13" s="1"/>
  <c r="K259" i="25" s="1"/>
  <c r="N205" i="13"/>
  <c r="O205" i="13" s="1"/>
  <c r="P205" i="13" s="1"/>
  <c r="Q205" i="13" s="1"/>
  <c r="K205" i="25" s="1"/>
  <c r="N73" i="13"/>
  <c r="O73" i="13" s="1"/>
  <c r="P73" i="13" s="1"/>
  <c r="Q73" i="13" s="1"/>
  <c r="K73" i="25" s="1"/>
  <c r="N57" i="13"/>
  <c r="O57" i="13" s="1"/>
  <c r="P57" i="13" s="1"/>
  <c r="Q57" i="13" s="1"/>
  <c r="K57" i="25" s="1"/>
  <c r="N30" i="13"/>
  <c r="O30" i="13" s="1"/>
  <c r="P30" i="13" s="1"/>
  <c r="Q30" i="13" s="1"/>
  <c r="K30" i="25" s="1"/>
  <c r="N176" i="13"/>
  <c r="O176" i="13" s="1"/>
  <c r="P176" i="13" s="1"/>
  <c r="Q176" i="13" s="1"/>
  <c r="K176" i="25" s="1"/>
  <c r="N39" i="13"/>
  <c r="O39" i="13" s="1"/>
  <c r="P39" i="13" s="1"/>
  <c r="Q39" i="13" s="1"/>
  <c r="K39" i="25" s="1"/>
  <c r="N275" i="13"/>
  <c r="O275" i="13" s="1"/>
  <c r="P275" i="13" s="1"/>
  <c r="Q275" i="13" s="1"/>
  <c r="K275" i="25" s="1"/>
  <c r="N277" i="13"/>
  <c r="O277" i="13" s="1"/>
  <c r="P277" i="13" s="1"/>
  <c r="Q277" i="13" s="1"/>
  <c r="K277" i="25" s="1"/>
  <c r="N266" i="13"/>
  <c r="O266" i="13" s="1"/>
  <c r="P266" i="13" s="1"/>
  <c r="Q266" i="13" s="1"/>
  <c r="K266" i="25" s="1"/>
  <c r="N70" i="13"/>
  <c r="O70" i="13" s="1"/>
  <c r="P70" i="13" s="1"/>
  <c r="Q70" i="13" s="1"/>
  <c r="K70" i="25" s="1"/>
  <c r="N194" i="13"/>
  <c r="O194" i="13" s="1"/>
  <c r="P194" i="13" s="1"/>
  <c r="Q194" i="13" s="1"/>
  <c r="K194" i="25" s="1"/>
  <c r="N239" i="13"/>
  <c r="O239" i="13" s="1"/>
  <c r="P239" i="13" s="1"/>
  <c r="Q239" i="13" s="1"/>
  <c r="K239" i="25" s="1"/>
  <c r="N293" i="13"/>
  <c r="O293" i="13" s="1"/>
  <c r="P293" i="13" s="1"/>
  <c r="Q293" i="13" s="1"/>
  <c r="K293" i="25" s="1"/>
  <c r="N9" i="13"/>
  <c r="O9" i="13" s="1"/>
  <c r="P9" i="13" s="1"/>
  <c r="Q9" i="13" s="1"/>
  <c r="K9" i="25" s="1"/>
  <c r="N238" i="13"/>
  <c r="O238" i="13" s="1"/>
  <c r="P238" i="13" s="1"/>
  <c r="Q238" i="13" s="1"/>
  <c r="K238" i="25" s="1"/>
  <c r="N145" i="13"/>
  <c r="O145" i="13" s="1"/>
  <c r="P145" i="13" s="1"/>
  <c r="Q145" i="13" s="1"/>
  <c r="K145" i="25" s="1"/>
  <c r="N262" i="13"/>
  <c r="O262" i="13" s="1"/>
  <c r="P262" i="13" s="1"/>
  <c r="Q262" i="13" s="1"/>
  <c r="K262" i="25" s="1"/>
  <c r="N273" i="13"/>
  <c r="O273" i="13" s="1"/>
  <c r="P273" i="13" s="1"/>
  <c r="Q273" i="13" s="1"/>
  <c r="K273" i="25" s="1"/>
  <c r="N271" i="13"/>
  <c r="O271" i="13" s="1"/>
  <c r="P271" i="13" s="1"/>
  <c r="Q271" i="13" s="1"/>
  <c r="K271" i="25" s="1"/>
  <c r="N114" i="13"/>
  <c r="O114" i="13" s="1"/>
  <c r="P114" i="13" s="1"/>
  <c r="Q114" i="13" s="1"/>
  <c r="K114" i="25" s="1"/>
  <c r="N285" i="13"/>
  <c r="O285" i="13" s="1"/>
  <c r="P285" i="13" s="1"/>
  <c r="Q285" i="13" s="1"/>
  <c r="K285" i="25" s="1"/>
  <c r="N48" i="13"/>
  <c r="O48" i="13" s="1"/>
  <c r="P48" i="13" s="1"/>
  <c r="Q48" i="13" s="1"/>
  <c r="K48" i="25" s="1"/>
  <c r="N89" i="13"/>
  <c r="O89" i="13" s="1"/>
  <c r="P89" i="13" s="1"/>
  <c r="Q89" i="13" s="1"/>
  <c r="K89" i="25" s="1"/>
  <c r="N38" i="13"/>
  <c r="O38" i="13" s="1"/>
  <c r="P38" i="13" s="1"/>
  <c r="Q38" i="13" s="1"/>
  <c r="K38" i="25" s="1"/>
  <c r="N202" i="13"/>
  <c r="O202" i="13" s="1"/>
  <c r="P202" i="13" s="1"/>
  <c r="Q202" i="13" s="1"/>
  <c r="K202" i="25" s="1"/>
  <c r="N269" i="13"/>
  <c r="O269" i="13" s="1"/>
  <c r="P269" i="13" s="1"/>
  <c r="Q269" i="13" s="1"/>
  <c r="K269" i="25" s="1"/>
  <c r="N190" i="13"/>
  <c r="O190" i="13" s="1"/>
  <c r="P190" i="13" s="1"/>
  <c r="Q190" i="13" s="1"/>
  <c r="K190" i="25" s="1"/>
  <c r="N110" i="13"/>
  <c r="O110" i="13" s="1"/>
  <c r="P110" i="13" s="1"/>
  <c r="Q110" i="13" s="1"/>
  <c r="K110" i="25" s="1"/>
  <c r="N7" i="13"/>
  <c r="O7" i="13" s="1"/>
  <c r="P7" i="13" s="1"/>
  <c r="Q7" i="13" s="1"/>
  <c r="K7" i="25" s="1"/>
  <c r="N234" i="13"/>
  <c r="O234" i="13" s="1"/>
  <c r="P234" i="13" s="1"/>
  <c r="Q234" i="13" s="1"/>
  <c r="K234" i="25" s="1"/>
  <c r="N153" i="13"/>
  <c r="O153" i="13" s="1"/>
  <c r="P153" i="13" s="1"/>
  <c r="Q153" i="13" s="1"/>
  <c r="K153" i="25" s="1"/>
  <c r="N236" i="13"/>
  <c r="O236" i="13" s="1"/>
  <c r="P236" i="13" s="1"/>
  <c r="Q236" i="13" s="1"/>
  <c r="K236" i="25" s="1"/>
  <c r="N270" i="13"/>
  <c r="O270" i="13" s="1"/>
  <c r="P270" i="13" s="1"/>
  <c r="Q270" i="13" s="1"/>
  <c r="K270" i="25" s="1"/>
  <c r="N214" i="13"/>
  <c r="O214" i="13" s="1"/>
  <c r="P214" i="13" s="1"/>
  <c r="Q214" i="13" s="1"/>
  <c r="K214" i="25" s="1"/>
  <c r="N231" i="13"/>
  <c r="O231" i="13" s="1"/>
  <c r="P231" i="13" s="1"/>
  <c r="Q231" i="13" s="1"/>
  <c r="K231" i="25" s="1"/>
  <c r="N166" i="13"/>
  <c r="O166" i="13" s="1"/>
  <c r="P166" i="13" s="1"/>
  <c r="Q166" i="13" s="1"/>
  <c r="K166" i="25" s="1"/>
  <c r="N174" i="13"/>
  <c r="O174" i="13" s="1"/>
  <c r="P174" i="13" s="1"/>
  <c r="Q174" i="13" s="1"/>
  <c r="K174" i="25" s="1"/>
  <c r="N290" i="13"/>
  <c r="O290" i="13" s="1"/>
  <c r="P290" i="13" s="1"/>
  <c r="Q290" i="13" s="1"/>
  <c r="N124" i="13"/>
  <c r="O124" i="13" s="1"/>
  <c r="P124" i="13" s="1"/>
  <c r="Q124" i="13" s="1"/>
  <c r="K124" i="25" s="1"/>
  <c r="N178" i="13"/>
  <c r="O178" i="13" s="1"/>
  <c r="P178" i="13" s="1"/>
  <c r="Q178" i="13" s="1"/>
  <c r="K178" i="25" s="1"/>
  <c r="N115" i="13"/>
  <c r="O115" i="13" s="1"/>
  <c r="P115" i="13" s="1"/>
  <c r="Q115" i="13" s="1"/>
  <c r="K115" i="25" s="1"/>
  <c r="N26" i="13"/>
  <c r="O26" i="13" s="1"/>
  <c r="P26" i="13" s="1"/>
  <c r="Q26" i="13" s="1"/>
  <c r="K26" i="25" s="1"/>
  <c r="N249" i="13"/>
  <c r="O249" i="13" s="1"/>
  <c r="P249" i="13" s="1"/>
  <c r="Q249" i="13" s="1"/>
  <c r="K249" i="25" s="1"/>
  <c r="N69" i="13"/>
  <c r="O69" i="13" s="1"/>
  <c r="P69" i="13" s="1"/>
  <c r="Q69" i="13" s="1"/>
  <c r="K69" i="25" s="1"/>
  <c r="N56" i="13"/>
  <c r="O56" i="13" s="1"/>
  <c r="P56" i="13" s="1"/>
  <c r="Q56" i="13" s="1"/>
  <c r="K56" i="25" s="1"/>
  <c r="N90" i="13"/>
  <c r="O90" i="13" s="1"/>
  <c r="P90" i="13" s="1"/>
  <c r="Q90" i="13" s="1"/>
  <c r="K90" i="25" s="1"/>
  <c r="N310" i="13"/>
  <c r="O310" i="13" s="1"/>
  <c r="P310" i="13" s="1"/>
  <c r="Q310" i="13" s="1"/>
  <c r="K310" i="25" s="1"/>
  <c r="N44" i="13"/>
  <c r="O44" i="13" s="1"/>
  <c r="P44" i="13" s="1"/>
  <c r="Q44" i="13" s="1"/>
  <c r="K44" i="25" s="1"/>
  <c r="N172" i="13"/>
  <c r="O172" i="13" s="1"/>
  <c r="P172" i="13" s="1"/>
  <c r="Q172" i="13" s="1"/>
  <c r="K172" i="25" s="1"/>
  <c r="N289" i="13"/>
  <c r="O289" i="13" s="1"/>
  <c r="P289" i="13" s="1"/>
  <c r="Q289" i="13" s="1"/>
  <c r="K289" i="25" s="1"/>
  <c r="N65" i="13"/>
  <c r="O65" i="13" s="1"/>
  <c r="P65" i="13" s="1"/>
  <c r="Q65" i="13" s="1"/>
  <c r="K65" i="25" s="1"/>
  <c r="N192" i="13"/>
  <c r="O192" i="13" s="1"/>
  <c r="P192" i="13" s="1"/>
  <c r="Q192" i="13" s="1"/>
  <c r="K192" i="25" s="1"/>
  <c r="N116" i="13"/>
  <c r="O116" i="13" s="1"/>
  <c r="P116" i="13" s="1"/>
  <c r="Q116" i="13" s="1"/>
  <c r="K116" i="25" s="1"/>
  <c r="N32" i="13"/>
  <c r="O32" i="13" s="1"/>
  <c r="P32" i="13" s="1"/>
  <c r="Q32" i="13" s="1"/>
  <c r="K32" i="25" s="1"/>
  <c r="N84" i="13"/>
  <c r="O84" i="13" s="1"/>
  <c r="P84" i="13" s="1"/>
  <c r="Q84" i="13" s="1"/>
  <c r="K84" i="25" s="1"/>
  <c r="N298" i="13"/>
  <c r="O298" i="13" s="1"/>
  <c r="P298" i="13" s="1"/>
  <c r="Q298" i="13" s="1"/>
  <c r="K298" i="25" s="1"/>
  <c r="N125" i="13"/>
  <c r="O125" i="13" s="1"/>
  <c r="P125" i="13" s="1"/>
  <c r="Q125" i="13" s="1"/>
  <c r="K125" i="25" s="1"/>
  <c r="N104" i="13"/>
  <c r="O104" i="13" s="1"/>
  <c r="P104" i="13" s="1"/>
  <c r="Q104" i="13" s="1"/>
  <c r="K104" i="25" s="1"/>
  <c r="N263" i="13"/>
  <c r="O263" i="13" s="1"/>
  <c r="P263" i="13" s="1"/>
  <c r="Q263" i="13" s="1"/>
  <c r="K263" i="25" s="1"/>
  <c r="N235" i="13"/>
  <c r="O235" i="13" s="1"/>
  <c r="P235" i="13" s="1"/>
  <c r="Q235" i="13" s="1"/>
  <c r="K235" i="25" s="1"/>
  <c r="N226" i="13"/>
  <c r="O226" i="13" s="1"/>
  <c r="P226" i="13" s="1"/>
  <c r="Q226" i="13" s="1"/>
  <c r="K226" i="25" s="1"/>
  <c r="N240" i="13"/>
  <c r="O240" i="13" s="1"/>
  <c r="P240" i="13" s="1"/>
  <c r="Q240" i="13" s="1"/>
  <c r="K240" i="25" s="1"/>
  <c r="N136" i="13"/>
  <c r="O136" i="13" s="1"/>
  <c r="P136" i="13" s="1"/>
  <c r="Q136" i="13" s="1"/>
  <c r="K136" i="25" s="1"/>
  <c r="N221" i="13"/>
  <c r="O221" i="13" s="1"/>
  <c r="P221" i="13" s="1"/>
  <c r="Q221" i="13" s="1"/>
  <c r="K221" i="25" s="1"/>
  <c r="N79" i="13"/>
  <c r="O79" i="13" s="1"/>
  <c r="P79" i="13" s="1"/>
  <c r="Q79" i="13" s="1"/>
  <c r="K79" i="25" s="1"/>
  <c r="N24" i="13"/>
  <c r="O24" i="13" s="1"/>
  <c r="P24" i="13" s="1"/>
  <c r="Q24" i="13" s="1"/>
  <c r="K24" i="25" s="1"/>
  <c r="N63" i="13"/>
  <c r="O63" i="13" s="1"/>
  <c r="P63" i="13" s="1"/>
  <c r="Q63" i="13" s="1"/>
  <c r="K63" i="25" s="1"/>
  <c r="N217" i="13"/>
  <c r="O217" i="13" s="1"/>
  <c r="P217" i="13" s="1"/>
  <c r="Q217" i="13" s="1"/>
  <c r="K217" i="25" s="1"/>
  <c r="N305" i="13"/>
  <c r="O305" i="13" s="1"/>
  <c r="P305" i="13" s="1"/>
  <c r="Q305" i="13" s="1"/>
  <c r="K305" i="25" s="1"/>
  <c r="N107" i="13"/>
  <c r="O107" i="13" s="1"/>
  <c r="P107" i="13" s="1"/>
  <c r="Q107" i="13" s="1"/>
  <c r="K107" i="25" s="1"/>
  <c r="N61" i="13"/>
  <c r="O61" i="13" s="1"/>
  <c r="P61" i="13" s="1"/>
  <c r="Q61" i="13" s="1"/>
  <c r="K61" i="25" s="1"/>
  <c r="N14" i="13"/>
  <c r="O14" i="13" s="1"/>
  <c r="P14" i="13" s="1"/>
  <c r="Q14" i="13" s="1"/>
  <c r="K14" i="25" s="1"/>
  <c r="N223" i="13"/>
  <c r="O223" i="13" s="1"/>
  <c r="P223" i="13" s="1"/>
  <c r="Q223" i="13" s="1"/>
  <c r="K223" i="25" s="1"/>
  <c r="N204" i="13"/>
  <c r="O204" i="13" s="1"/>
  <c r="P204" i="13" s="1"/>
  <c r="Q204" i="13" s="1"/>
  <c r="K204" i="25" s="1"/>
  <c r="N286" i="13"/>
  <c r="O286" i="13" s="1"/>
  <c r="P286" i="13" s="1"/>
  <c r="Q286" i="13" s="1"/>
  <c r="K286" i="25" s="1"/>
  <c r="N296" i="13"/>
  <c r="O296" i="13" s="1"/>
  <c r="P296" i="13" s="1"/>
  <c r="Q296" i="13" s="1"/>
  <c r="K296" i="25" s="1"/>
  <c r="N133" i="13"/>
  <c r="O133" i="13" s="1"/>
  <c r="P133" i="13" s="1"/>
  <c r="Q133" i="13" s="1"/>
  <c r="K133" i="25" s="1"/>
  <c r="N41" i="13"/>
  <c r="O41" i="13" s="1"/>
  <c r="P41" i="13" s="1"/>
  <c r="Q41" i="13" s="1"/>
  <c r="K41" i="25" s="1"/>
  <c r="N130" i="13"/>
  <c r="O130" i="13" s="1"/>
  <c r="P130" i="13" s="1"/>
  <c r="Q130" i="13" s="1"/>
  <c r="K130" i="25" s="1"/>
  <c r="N248" i="13"/>
  <c r="O248" i="13" s="1"/>
  <c r="P248" i="13" s="1"/>
  <c r="Q248" i="13" s="1"/>
  <c r="K248" i="25" s="1"/>
  <c r="N265" i="13"/>
  <c r="O265" i="13" s="1"/>
  <c r="P265" i="13" s="1"/>
  <c r="Q265" i="13" s="1"/>
  <c r="K265" i="25" s="1"/>
  <c r="N151" i="13"/>
  <c r="O151" i="13" s="1"/>
  <c r="P151" i="13" s="1"/>
  <c r="Q151" i="13" s="1"/>
  <c r="K151" i="25" s="1"/>
  <c r="N66" i="13"/>
  <c r="O66" i="13" s="1"/>
  <c r="P66" i="13" s="1"/>
  <c r="Q66" i="13" s="1"/>
  <c r="K66" i="25" s="1"/>
  <c r="N27" i="13"/>
  <c r="O27" i="13" s="1"/>
  <c r="P27" i="13" s="1"/>
  <c r="Q27" i="13" s="1"/>
  <c r="K27" i="25" s="1"/>
  <c r="N163" i="13"/>
  <c r="O163" i="13" s="1"/>
  <c r="P163" i="13" s="1"/>
  <c r="Q163" i="13" s="1"/>
  <c r="K163" i="25" s="1"/>
  <c r="N35" i="13"/>
  <c r="O35" i="13" s="1"/>
  <c r="P35" i="13" s="1"/>
  <c r="Q35" i="13" s="1"/>
  <c r="K35" i="25" s="1"/>
  <c r="N80" i="13"/>
  <c r="O80" i="13" s="1"/>
  <c r="P80" i="13" s="1"/>
  <c r="Q80" i="13" s="1"/>
  <c r="K80" i="25" s="1"/>
  <c r="N230" i="13"/>
  <c r="O230" i="13" s="1"/>
  <c r="P230" i="13" s="1"/>
  <c r="Q230" i="13" s="1"/>
  <c r="K230" i="25" s="1"/>
  <c r="N313" i="13"/>
  <c r="O313" i="13" s="1"/>
  <c r="P313" i="13" s="1"/>
  <c r="Q313" i="13" s="1"/>
  <c r="K313" i="25" s="1"/>
  <c r="N193" i="13"/>
  <c r="O193" i="13" s="1"/>
  <c r="P193" i="13" s="1"/>
  <c r="Q193" i="13" s="1"/>
  <c r="K193" i="25" s="1"/>
  <c r="N132" i="13"/>
  <c r="O132" i="13" s="1"/>
  <c r="P132" i="13" s="1"/>
  <c r="Q132" i="13" s="1"/>
  <c r="K132" i="25" s="1"/>
  <c r="N300" i="13"/>
  <c r="O300" i="13" s="1"/>
  <c r="P300" i="13" s="1"/>
  <c r="Q300" i="13" s="1"/>
  <c r="K300" i="25" s="1"/>
  <c r="N120" i="13"/>
  <c r="O120" i="13" s="1"/>
  <c r="P120" i="13" s="1"/>
  <c r="Q120" i="13" s="1"/>
  <c r="K120" i="25" s="1"/>
  <c r="N252" i="13"/>
  <c r="O252" i="13" s="1"/>
  <c r="P252" i="13" s="1"/>
  <c r="Q252" i="13" s="1"/>
  <c r="K252" i="25" s="1"/>
  <c r="N29" i="13"/>
  <c r="O29" i="13" s="1"/>
  <c r="P29" i="13" s="1"/>
  <c r="Q29" i="13" s="1"/>
  <c r="K29" i="25" s="1"/>
  <c r="N195" i="13"/>
  <c r="O195" i="13" s="1"/>
  <c r="P195" i="13" s="1"/>
  <c r="Q195" i="13" s="1"/>
  <c r="K195" i="25" s="1"/>
  <c r="N254" i="13"/>
  <c r="O254" i="13" s="1"/>
  <c r="P254" i="13" s="1"/>
  <c r="Q254" i="13" s="1"/>
  <c r="K254" i="25" s="1"/>
  <c r="N170" i="13"/>
  <c r="O170" i="13" s="1"/>
  <c r="P170" i="13" s="1"/>
  <c r="Q170" i="13" s="1"/>
  <c r="K170" i="25" s="1"/>
  <c r="N244" i="13"/>
  <c r="O244" i="13" s="1"/>
  <c r="P244" i="13" s="1"/>
  <c r="Q244" i="13" s="1"/>
  <c r="K244" i="25" s="1"/>
  <c r="N219" i="13"/>
  <c r="O219" i="13" s="1"/>
  <c r="D10" i="34"/>
  <c r="D11" i="34" s="1"/>
  <c r="R68" i="13"/>
  <c r="S68" i="13" s="1"/>
  <c r="E38" i="48" l="1"/>
  <c r="K290" i="25"/>
  <c r="R232" i="13"/>
  <c r="S232" i="13" s="1"/>
  <c r="R147" i="13"/>
  <c r="S147" i="13" s="1"/>
  <c r="I6" i="25"/>
  <c r="N6" i="13"/>
  <c r="O6" i="13" s="1"/>
  <c r="P6" i="13" s="1"/>
  <c r="Q6" i="13" s="1"/>
  <c r="K6" i="25" s="1"/>
  <c r="R45" i="13"/>
  <c r="S45" i="13" s="1"/>
  <c r="J5" i="12"/>
  <c r="R144" i="13"/>
  <c r="S144" i="13" s="1"/>
  <c r="R87" i="13"/>
  <c r="S87" i="13" s="1"/>
  <c r="R306" i="13"/>
  <c r="S306" i="13" s="1"/>
  <c r="R209" i="13"/>
  <c r="S209" i="13" s="1"/>
  <c r="R95" i="13"/>
  <c r="S95" i="13" s="1"/>
  <c r="R268" i="13"/>
  <c r="S268" i="13" s="1"/>
  <c r="R267" i="13"/>
  <c r="S267" i="13" s="1"/>
  <c r="R83" i="13"/>
  <c r="S83" i="13" s="1"/>
  <c r="R284" i="13"/>
  <c r="S284" i="13" s="1"/>
  <c r="R127" i="13"/>
  <c r="S127" i="13" s="1"/>
  <c r="R220" i="13"/>
  <c r="S220" i="13" s="1"/>
  <c r="O191" i="13"/>
  <c r="P191" i="13" s="1"/>
  <c r="Q191" i="13" s="1"/>
  <c r="K191" i="25" s="1"/>
  <c r="I5" i="12"/>
  <c r="L95" i="25"/>
  <c r="N95" i="25" s="1"/>
  <c r="L257" i="25"/>
  <c r="N257" i="25" s="1"/>
  <c r="L272" i="25"/>
  <c r="N272" i="25" s="1"/>
  <c r="L74" i="25"/>
  <c r="N74" i="25" s="1"/>
  <c r="L164" i="25"/>
  <c r="N164" i="25" s="1"/>
  <c r="L284" i="25"/>
  <c r="N284" i="25" s="1"/>
  <c r="L158" i="25"/>
  <c r="N158" i="25" s="1"/>
  <c r="L254" i="25"/>
  <c r="N254" i="25" s="1"/>
  <c r="L232" i="25"/>
  <c r="N232" i="25" s="1"/>
  <c r="L91" i="25"/>
  <c r="N91" i="25" s="1"/>
  <c r="L276" i="25"/>
  <c r="N276" i="25" s="1"/>
  <c r="L148" i="25"/>
  <c r="N148" i="25" s="1"/>
  <c r="L50" i="25"/>
  <c r="N50" i="25" s="1"/>
  <c r="L283" i="25"/>
  <c r="N283" i="25" s="1"/>
  <c r="L307" i="25"/>
  <c r="N307" i="25" s="1"/>
  <c r="L175" i="25"/>
  <c r="N175" i="25" s="1"/>
  <c r="L160" i="25"/>
  <c r="N160" i="25" s="1"/>
  <c r="L297" i="25"/>
  <c r="N297" i="25" s="1"/>
  <c r="L83" i="25"/>
  <c r="N83" i="25" s="1"/>
  <c r="L163" i="25"/>
  <c r="N163" i="25" s="1"/>
  <c r="L87" i="25"/>
  <c r="N87" i="25" s="1"/>
  <c r="L189" i="25"/>
  <c r="N189" i="25" s="1"/>
  <c r="L59" i="25"/>
  <c r="N59" i="25" s="1"/>
  <c r="L237" i="25"/>
  <c r="N237" i="25" s="1"/>
  <c r="L58" i="25"/>
  <c r="N58" i="25" s="1"/>
  <c r="L216" i="25"/>
  <c r="N216" i="25" s="1"/>
  <c r="L98" i="25"/>
  <c r="N98" i="25" s="1"/>
  <c r="L260" i="25"/>
  <c r="N260" i="25" s="1"/>
  <c r="L68" i="25"/>
  <c r="N68" i="25" s="1"/>
  <c r="L253" i="25"/>
  <c r="N253" i="25" s="1"/>
  <c r="L311" i="25"/>
  <c r="N311" i="25" s="1"/>
  <c r="L140" i="25"/>
  <c r="N140" i="25" s="1"/>
  <c r="L100" i="25"/>
  <c r="N100" i="25" s="1"/>
  <c r="L18" i="25"/>
  <c r="N18" i="25" s="1"/>
  <c r="L209" i="25"/>
  <c r="N209" i="25" s="1"/>
  <c r="L90" i="25"/>
  <c r="N90" i="25" s="1"/>
  <c r="L139" i="25"/>
  <c r="N139" i="25" s="1"/>
  <c r="L274" i="25"/>
  <c r="N274" i="25" s="1"/>
  <c r="L309" i="25"/>
  <c r="N309" i="25" s="1"/>
  <c r="L233" i="25"/>
  <c r="N233" i="25" s="1"/>
  <c r="L165" i="25"/>
  <c r="N165" i="25" s="1"/>
  <c r="L127" i="25"/>
  <c r="N127" i="25" s="1"/>
  <c r="L268" i="25"/>
  <c r="N268" i="25" s="1"/>
  <c r="L144" i="25"/>
  <c r="N144" i="25" s="1"/>
  <c r="L72" i="25"/>
  <c r="N72" i="25" s="1"/>
  <c r="L118" i="25"/>
  <c r="N118" i="25" s="1"/>
  <c r="L54" i="25"/>
  <c r="N54" i="25" s="1"/>
  <c r="L40" i="25"/>
  <c r="N40" i="25" s="1"/>
  <c r="L302" i="25"/>
  <c r="N302" i="25" s="1"/>
  <c r="L304" i="25"/>
  <c r="N304" i="25" s="1"/>
  <c r="L264" i="25"/>
  <c r="N264" i="25" s="1"/>
  <c r="L303" i="25"/>
  <c r="N303" i="25" s="1"/>
  <c r="L278" i="25"/>
  <c r="N278" i="25" s="1"/>
  <c r="L197" i="25"/>
  <c r="N197" i="25" s="1"/>
  <c r="L167" i="25"/>
  <c r="N167" i="25" s="1"/>
  <c r="L168" i="25"/>
  <c r="N168" i="25" s="1"/>
  <c r="L228" i="25"/>
  <c r="N228" i="25" s="1"/>
  <c r="L21" i="25"/>
  <c r="N21" i="25" s="1"/>
  <c r="L62" i="25"/>
  <c r="N62" i="25" s="1"/>
  <c r="L222" i="25"/>
  <c r="N222" i="25" s="1"/>
  <c r="L17" i="25"/>
  <c r="N17" i="25" s="1"/>
  <c r="L155" i="25"/>
  <c r="N155" i="25" s="1"/>
  <c r="L258" i="25"/>
  <c r="N258" i="25" s="1"/>
  <c r="L46" i="25"/>
  <c r="N46" i="25" s="1"/>
  <c r="L101" i="25"/>
  <c r="N101" i="25" s="1"/>
  <c r="L188" i="25"/>
  <c r="N188" i="25" s="1"/>
  <c r="L147" i="25"/>
  <c r="N147" i="25" s="1"/>
  <c r="L267" i="25"/>
  <c r="N267" i="25" s="1"/>
  <c r="L45" i="25"/>
  <c r="N45" i="25" s="1"/>
  <c r="L28" i="25"/>
  <c r="N28" i="25" s="1"/>
  <c r="L143" i="25"/>
  <c r="N143" i="25" s="1"/>
  <c r="L88" i="25"/>
  <c r="N88" i="25" s="1"/>
  <c r="L113" i="25"/>
  <c r="N113" i="25" s="1"/>
  <c r="L22" i="25"/>
  <c r="N22" i="25" s="1"/>
  <c r="L64" i="25"/>
  <c r="N64" i="25" s="1"/>
  <c r="L42" i="25"/>
  <c r="N42" i="25" s="1"/>
  <c r="L200" i="25"/>
  <c r="N200" i="25" s="1"/>
  <c r="L287" i="25"/>
  <c r="N287" i="25" s="1"/>
  <c r="L51" i="25"/>
  <c r="N51" i="25" s="1"/>
  <c r="L8" i="25"/>
  <c r="N8" i="25" s="1"/>
  <c r="L306" i="25"/>
  <c r="N306" i="25" s="1"/>
  <c r="L19" i="25"/>
  <c r="N19" i="25" s="1"/>
  <c r="L25" i="25"/>
  <c r="N25" i="25" s="1"/>
  <c r="L20" i="25"/>
  <c r="N20" i="25" s="1"/>
  <c r="L179" i="25"/>
  <c r="N179" i="25" s="1"/>
  <c r="L93" i="25"/>
  <c r="N93" i="25" s="1"/>
  <c r="L203" i="25"/>
  <c r="N203" i="25" s="1"/>
  <c r="L220" i="25"/>
  <c r="N220" i="25" s="1"/>
  <c r="L161" i="25"/>
  <c r="N161" i="25" s="1"/>
  <c r="L96" i="25"/>
  <c r="N96" i="25" s="1"/>
  <c r="L106" i="25"/>
  <c r="N106" i="25" s="1"/>
  <c r="L97" i="25"/>
  <c r="N97" i="25" s="1"/>
  <c r="L227" i="25"/>
  <c r="N227" i="25" s="1"/>
  <c r="L92" i="25"/>
  <c r="N92" i="25" s="1"/>
  <c r="L247" i="25"/>
  <c r="N247" i="25" s="1"/>
  <c r="L280" i="25"/>
  <c r="N280" i="25" s="1"/>
  <c r="L187" i="25"/>
  <c r="N187" i="25" s="1"/>
  <c r="L121" i="25"/>
  <c r="N121" i="25" s="1"/>
  <c r="R303" i="13"/>
  <c r="S303" i="13" s="1"/>
  <c r="R8" i="13"/>
  <c r="S8" i="13" s="1"/>
  <c r="R278" i="13"/>
  <c r="S278" i="13" s="1"/>
  <c r="R93" i="13"/>
  <c r="S93" i="13" s="1"/>
  <c r="R304" i="13"/>
  <c r="S304" i="13" s="1"/>
  <c r="R167" i="13"/>
  <c r="S167" i="13" s="1"/>
  <c r="R197" i="13"/>
  <c r="S197" i="13" s="1"/>
  <c r="R309" i="13"/>
  <c r="S309" i="13" s="1"/>
  <c r="R165" i="13"/>
  <c r="S165" i="13" s="1"/>
  <c r="R260" i="13"/>
  <c r="S260" i="13" s="1"/>
  <c r="R58" i="13"/>
  <c r="S58" i="13" s="1"/>
  <c r="R233" i="13"/>
  <c r="S233" i="13" s="1"/>
  <c r="R140" i="13"/>
  <c r="S140" i="13" s="1"/>
  <c r="R164" i="13"/>
  <c r="S164" i="13" s="1"/>
  <c r="R96" i="13"/>
  <c r="S96" i="13" s="1"/>
  <c r="R18" i="13"/>
  <c r="S18" i="13" s="1"/>
  <c r="R188" i="13"/>
  <c r="S188" i="13" s="1"/>
  <c r="R237" i="13"/>
  <c r="S237" i="13" s="1"/>
  <c r="R285" i="13"/>
  <c r="S285" i="13" s="1"/>
  <c r="R124" i="13"/>
  <c r="S124" i="13" s="1"/>
  <c r="R305" i="13"/>
  <c r="S305" i="13" s="1"/>
  <c r="R187" i="13"/>
  <c r="S187" i="13" s="1"/>
  <c r="R228" i="13"/>
  <c r="S228" i="13" s="1"/>
  <c r="R297" i="13"/>
  <c r="S297" i="13" s="1"/>
  <c r="R227" i="13"/>
  <c r="S227" i="13" s="1"/>
  <c r="R175" i="13"/>
  <c r="S175" i="13" s="1"/>
  <c r="R98" i="13"/>
  <c r="S98" i="13" s="1"/>
  <c r="R152" i="13"/>
  <c r="S152" i="13" s="1"/>
  <c r="R91" i="13"/>
  <c r="S91" i="13" s="1"/>
  <c r="R311" i="13"/>
  <c r="S311" i="13" s="1"/>
  <c r="R74" i="13"/>
  <c r="S74" i="13" s="1"/>
  <c r="R121" i="13"/>
  <c r="S121" i="13" s="1"/>
  <c r="R17" i="13"/>
  <c r="S17" i="13" s="1"/>
  <c r="R28" i="13"/>
  <c r="S28" i="13" s="1"/>
  <c r="R160" i="13"/>
  <c r="S160" i="13" s="1"/>
  <c r="R100" i="13"/>
  <c r="S100" i="13" s="1"/>
  <c r="R238" i="13"/>
  <c r="S238" i="13" s="1"/>
  <c r="R222" i="13"/>
  <c r="S222" i="13" s="1"/>
  <c r="R287" i="13"/>
  <c r="S287" i="13" s="1"/>
  <c r="R56" i="13"/>
  <c r="S56" i="13" s="1"/>
  <c r="R247" i="13"/>
  <c r="S247" i="13" s="1"/>
  <c r="R302" i="13"/>
  <c r="S302" i="13" s="1"/>
  <c r="R113" i="13"/>
  <c r="S113" i="13" s="1"/>
  <c r="R51" i="13"/>
  <c r="S51" i="13" s="1"/>
  <c r="R280" i="13"/>
  <c r="S280" i="13" s="1"/>
  <c r="R192" i="13"/>
  <c r="S192" i="13" s="1"/>
  <c r="R107" i="13"/>
  <c r="S107" i="13" s="1"/>
  <c r="R264" i="13"/>
  <c r="S264" i="13" s="1"/>
  <c r="R88" i="13"/>
  <c r="S88" i="13" s="1"/>
  <c r="R70" i="13"/>
  <c r="S70" i="13" s="1"/>
  <c r="R283" i="13"/>
  <c r="S283" i="13" s="1"/>
  <c r="R59" i="13"/>
  <c r="S59" i="13" s="1"/>
  <c r="R31" i="13"/>
  <c r="S31" i="13" s="1"/>
  <c r="R9" i="13"/>
  <c r="S9" i="13" s="1"/>
  <c r="R64" i="13"/>
  <c r="S64" i="13" s="1"/>
  <c r="R216" i="13"/>
  <c r="S216" i="13" s="1"/>
  <c r="R174" i="13"/>
  <c r="S174" i="13" s="1"/>
  <c r="R143" i="13"/>
  <c r="S143" i="13" s="1"/>
  <c r="R189" i="13"/>
  <c r="S189" i="13" s="1"/>
  <c r="R50" i="13"/>
  <c r="S50" i="13" s="1"/>
  <c r="R146" i="13"/>
  <c r="S146" i="13" s="1"/>
  <c r="R42" i="13"/>
  <c r="S42" i="13" s="1"/>
  <c r="R22" i="13"/>
  <c r="S22" i="13" s="1"/>
  <c r="R52" i="13"/>
  <c r="S52" i="13" s="1"/>
  <c r="R307" i="13"/>
  <c r="S307" i="13" s="1"/>
  <c r="R200" i="13"/>
  <c r="S200" i="13" s="1"/>
  <c r="R150" i="13"/>
  <c r="S150" i="13" s="1"/>
  <c r="R274" i="13"/>
  <c r="S274" i="13" s="1"/>
  <c r="R132" i="13"/>
  <c r="S132" i="13" s="1"/>
  <c r="R168" i="13"/>
  <c r="S168" i="13" s="1"/>
  <c r="R92" i="13"/>
  <c r="S92" i="13" s="1"/>
  <c r="R115" i="13"/>
  <c r="S115" i="13" s="1"/>
  <c r="R101" i="13"/>
  <c r="S101" i="13" s="1"/>
  <c r="R130" i="13"/>
  <c r="S130" i="13" s="1"/>
  <c r="R97" i="13"/>
  <c r="S97" i="13" s="1"/>
  <c r="R298" i="13"/>
  <c r="S298" i="13" s="1"/>
  <c r="R217" i="13"/>
  <c r="S217" i="13" s="1"/>
  <c r="R257" i="13"/>
  <c r="S257" i="13" s="1"/>
  <c r="R296" i="13"/>
  <c r="S296" i="13" s="1"/>
  <c r="R106" i="13"/>
  <c r="S106" i="13" s="1"/>
  <c r="R135" i="13"/>
  <c r="S135" i="13" s="1"/>
  <c r="R19" i="13"/>
  <c r="S19" i="13" s="1"/>
  <c r="R190" i="13"/>
  <c r="S190" i="13" s="1"/>
  <c r="R194" i="13"/>
  <c r="S194" i="13" s="1"/>
  <c r="R155" i="13"/>
  <c r="S155" i="13" s="1"/>
  <c r="R252" i="13"/>
  <c r="S252" i="13" s="1"/>
  <c r="R139" i="13"/>
  <c r="S139" i="13" s="1"/>
  <c r="R25" i="13"/>
  <c r="S25" i="13" s="1"/>
  <c r="R250" i="13"/>
  <c r="S250" i="13" s="1"/>
  <c r="R286" i="13"/>
  <c r="S286" i="13" s="1"/>
  <c r="R272" i="13"/>
  <c r="S272" i="13" s="1"/>
  <c r="R277" i="13"/>
  <c r="S277" i="13" s="1"/>
  <c r="R254" i="13"/>
  <c r="S254" i="13" s="1"/>
  <c r="R246" i="13"/>
  <c r="S246" i="13" s="1"/>
  <c r="R62" i="13"/>
  <c r="S62" i="13" s="1"/>
  <c r="R253" i="13"/>
  <c r="S253" i="13" s="1"/>
  <c r="R159" i="13"/>
  <c r="S159" i="13" s="1"/>
  <c r="R40" i="13"/>
  <c r="S40" i="13" s="1"/>
  <c r="R72" i="13"/>
  <c r="S72" i="13" s="1"/>
  <c r="R265" i="13"/>
  <c r="S265" i="13" s="1"/>
  <c r="R39" i="13"/>
  <c r="S39" i="13" s="1"/>
  <c r="R123" i="13"/>
  <c r="S123" i="13" s="1"/>
  <c r="R116" i="13"/>
  <c r="S116" i="13" s="1"/>
  <c r="R20" i="13"/>
  <c r="S20" i="13" s="1"/>
  <c r="R110" i="13"/>
  <c r="S110" i="13" s="1"/>
  <c r="R158" i="13"/>
  <c r="S158" i="13" s="1"/>
  <c r="R273" i="13"/>
  <c r="S273" i="13" s="1"/>
  <c r="R248" i="13"/>
  <c r="S248" i="13" s="1"/>
  <c r="R54" i="13"/>
  <c r="S54" i="13" s="1"/>
  <c r="R153" i="13"/>
  <c r="S153" i="13" s="1"/>
  <c r="R90" i="13"/>
  <c r="S90" i="13" s="1"/>
  <c r="R161" i="13"/>
  <c r="S161" i="13" s="1"/>
  <c r="R21" i="13"/>
  <c r="S21" i="13" s="1"/>
  <c r="R27" i="13"/>
  <c r="S27" i="13" s="1"/>
  <c r="R266" i="13"/>
  <c r="S266" i="13" s="1"/>
  <c r="R46" i="13"/>
  <c r="S46" i="13" s="1"/>
  <c r="R262" i="13"/>
  <c r="S262" i="13" s="1"/>
  <c r="R231" i="13"/>
  <c r="S231" i="13" s="1"/>
  <c r="R203" i="13"/>
  <c r="S203" i="13" s="1"/>
  <c r="R48" i="13"/>
  <c r="S48" i="13" s="1"/>
  <c r="R276" i="13"/>
  <c r="S276" i="13" s="1"/>
  <c r="R239" i="13"/>
  <c r="S239" i="13" s="1"/>
  <c r="R204" i="13"/>
  <c r="S204" i="13" s="1"/>
  <c r="R258" i="13"/>
  <c r="S258" i="13" s="1"/>
  <c r="R269" i="13"/>
  <c r="S269" i="13" s="1"/>
  <c r="R148" i="13"/>
  <c r="S148" i="13" s="1"/>
  <c r="R118" i="13"/>
  <c r="S118" i="13" s="1"/>
  <c r="R271" i="13"/>
  <c r="S271" i="13" s="1"/>
  <c r="R179" i="13"/>
  <c r="S179" i="13" s="1"/>
  <c r="R151" i="13"/>
  <c r="S151" i="13" s="1"/>
  <c r="R275" i="13"/>
  <c r="S275" i="13" s="1"/>
  <c r="R234" i="13"/>
  <c r="S234" i="13" s="1"/>
  <c r="R114" i="13"/>
  <c r="S114" i="13" s="1"/>
  <c r="R236" i="13"/>
  <c r="S236" i="13" s="1"/>
  <c r="R193" i="13"/>
  <c r="S193" i="13" s="1"/>
  <c r="R249" i="13"/>
  <c r="S249" i="13" s="1"/>
  <c r="R29" i="13"/>
  <c r="S29" i="13" s="1"/>
  <c r="R290" i="13"/>
  <c r="S290" i="13" s="1"/>
  <c r="R85" i="13"/>
  <c r="S85" i="13" s="1"/>
  <c r="R195" i="13"/>
  <c r="S195" i="13" s="1"/>
  <c r="R120" i="13"/>
  <c r="S120" i="13" s="1"/>
  <c r="R66" i="13"/>
  <c r="S66" i="13" s="1"/>
  <c r="R133" i="13"/>
  <c r="S133" i="13" s="1"/>
  <c r="R300" i="13"/>
  <c r="S300" i="13" s="1"/>
  <c r="R163" i="13"/>
  <c r="S163" i="13" s="1"/>
  <c r="R26" i="13"/>
  <c r="S26" i="13" s="1"/>
  <c r="R30" i="13"/>
  <c r="S30" i="13" s="1"/>
  <c r="R32" i="13"/>
  <c r="S32" i="13" s="1"/>
  <c r="R41" i="13"/>
  <c r="S41" i="13" s="1"/>
  <c r="R223" i="13"/>
  <c r="S223" i="13" s="1"/>
  <c r="R125" i="13"/>
  <c r="S125" i="13" s="1"/>
  <c r="R178" i="13"/>
  <c r="S178" i="13" s="1"/>
  <c r="R244" i="13"/>
  <c r="S244" i="13" s="1"/>
  <c r="P219" i="13"/>
  <c r="Q219" i="13" s="1"/>
  <c r="K219" i="25" s="1"/>
  <c r="R170" i="13"/>
  <c r="S170" i="13" s="1"/>
  <c r="R142" i="13"/>
  <c r="S142" i="13" s="1"/>
  <c r="R301" i="13"/>
  <c r="S301" i="13" s="1"/>
  <c r="R221" i="13"/>
  <c r="S221" i="13" s="1"/>
  <c r="R63" i="13"/>
  <c r="S63" i="13" s="1"/>
  <c r="R76" i="13"/>
  <c r="S76" i="13" s="1"/>
  <c r="R111" i="13"/>
  <c r="S111" i="13" s="1"/>
  <c r="R36" i="13"/>
  <c r="S36" i="13" s="1"/>
  <c r="R94" i="13"/>
  <c r="S94" i="13" s="1"/>
  <c r="R73" i="13"/>
  <c r="S73" i="13" s="1"/>
  <c r="R181" i="13"/>
  <c r="S181" i="13" s="1"/>
  <c r="R99" i="13"/>
  <c r="S99" i="13" s="1"/>
  <c r="R109" i="13"/>
  <c r="S109" i="13" s="1"/>
  <c r="R43" i="13"/>
  <c r="S43" i="13" s="1"/>
  <c r="R16" i="13"/>
  <c r="S16" i="13" s="1"/>
  <c r="R173" i="13"/>
  <c r="S173" i="13" s="1"/>
  <c r="R294" i="13"/>
  <c r="S294" i="13" s="1"/>
  <c r="R225" i="13"/>
  <c r="S225" i="13" s="1"/>
  <c r="R282" i="13"/>
  <c r="S282" i="13" s="1"/>
  <c r="R79" i="13"/>
  <c r="S79" i="13" s="1"/>
  <c r="R308" i="13"/>
  <c r="S308" i="13" s="1"/>
  <c r="R184" i="13"/>
  <c r="S184" i="13" s="1"/>
  <c r="R23" i="13"/>
  <c r="S23" i="13" s="1"/>
  <c r="R261" i="13"/>
  <c r="S261" i="13" s="1"/>
  <c r="R289" i="13"/>
  <c r="S289" i="13" s="1"/>
  <c r="R215" i="13"/>
  <c r="S215" i="13" s="1"/>
  <c r="R122" i="13"/>
  <c r="S122" i="13" s="1"/>
  <c r="R145" i="13"/>
  <c r="S145" i="13" s="1"/>
  <c r="R53" i="13"/>
  <c r="S53" i="13" s="1"/>
  <c r="R212" i="13"/>
  <c r="S212" i="13" s="1"/>
  <c r="R256" i="13"/>
  <c r="S256" i="13" s="1"/>
  <c r="R230" i="13"/>
  <c r="S230" i="13" s="1"/>
  <c r="R199" i="13"/>
  <c r="S199" i="13" s="1"/>
  <c r="R49" i="13"/>
  <c r="S49" i="13" s="1"/>
  <c r="R180" i="13"/>
  <c r="S180" i="13" s="1"/>
  <c r="R243" i="13"/>
  <c r="S243" i="13" s="1"/>
  <c r="R202" i="13"/>
  <c r="S202" i="13" s="1"/>
  <c r="R7" i="13"/>
  <c r="S7" i="13" s="1"/>
  <c r="R108" i="13"/>
  <c r="S108" i="13" s="1"/>
  <c r="R137" i="13"/>
  <c r="S137" i="13" s="1"/>
  <c r="R279" i="13"/>
  <c r="S279" i="13" s="1"/>
  <c r="R14" i="13"/>
  <c r="S14" i="13" s="1"/>
  <c r="R82" i="13"/>
  <c r="S82" i="13" s="1"/>
  <c r="R218" i="13"/>
  <c r="S218" i="13" s="1"/>
  <c r="R166" i="13"/>
  <c r="S166" i="13" s="1"/>
  <c r="R210" i="13"/>
  <c r="S210" i="13" s="1"/>
  <c r="R10" i="13"/>
  <c r="S10" i="13" s="1"/>
  <c r="R15" i="13"/>
  <c r="S15" i="13" s="1"/>
  <c r="R37" i="13"/>
  <c r="S37" i="13" s="1"/>
  <c r="R171" i="13"/>
  <c r="S171" i="13" s="1"/>
  <c r="R245" i="13"/>
  <c r="S245" i="13" s="1"/>
  <c r="R259" i="13"/>
  <c r="S259" i="13" s="1"/>
  <c r="R136" i="13"/>
  <c r="S136" i="13" s="1"/>
  <c r="R77" i="13"/>
  <c r="S77" i="13" s="1"/>
  <c r="R251" i="13"/>
  <c r="S251" i="13" s="1"/>
  <c r="R71" i="13"/>
  <c r="S71" i="13" s="1"/>
  <c r="R288" i="13"/>
  <c r="S288" i="13" s="1"/>
  <c r="R270" i="13"/>
  <c r="S270" i="13" s="1"/>
  <c r="R205" i="13"/>
  <c r="S205" i="13" s="1"/>
  <c r="R263" i="13"/>
  <c r="S263" i="13" s="1"/>
  <c r="R129" i="13"/>
  <c r="S129" i="13" s="1"/>
  <c r="R176" i="13"/>
  <c r="S176" i="13" s="1"/>
  <c r="R149" i="13"/>
  <c r="S149" i="13" s="1"/>
  <c r="R196" i="13"/>
  <c r="S196" i="13" s="1"/>
  <c r="R229" i="13"/>
  <c r="S229" i="13" s="1"/>
  <c r="R162" i="13"/>
  <c r="S162" i="13" s="1"/>
  <c r="R292" i="13"/>
  <c r="S292" i="13" s="1"/>
  <c r="R126" i="13"/>
  <c r="S126" i="13" s="1"/>
  <c r="R104" i="13"/>
  <c r="S104" i="13" s="1"/>
  <c r="R60" i="13"/>
  <c r="S60" i="13" s="1"/>
  <c r="R157" i="13"/>
  <c r="S157" i="13" s="1"/>
  <c r="R78" i="13"/>
  <c r="S78" i="13" s="1"/>
  <c r="R208" i="13"/>
  <c r="S208" i="13" s="1"/>
  <c r="R169" i="13"/>
  <c r="S169" i="13" s="1"/>
  <c r="R226" i="13"/>
  <c r="S226" i="13" s="1"/>
  <c r="R224" i="13"/>
  <c r="S224" i="13" s="1"/>
  <c r="R293" i="13"/>
  <c r="S293" i="13" s="1"/>
  <c r="R84" i="13"/>
  <c r="S84" i="13" s="1"/>
  <c r="R186" i="13"/>
  <c r="S186" i="13" s="1"/>
  <c r="R255" i="13"/>
  <c r="S255" i="13" s="1"/>
  <c r="R198" i="13"/>
  <c r="S198" i="13" s="1"/>
  <c r="R89" i="13"/>
  <c r="S89" i="13" s="1"/>
  <c r="R211" i="13"/>
  <c r="S211" i="13" s="1"/>
  <c r="R65" i="13"/>
  <c r="S65" i="13" s="1"/>
  <c r="R81" i="13"/>
  <c r="S81" i="13" s="1"/>
  <c r="R214" i="13"/>
  <c r="S214" i="13" s="1"/>
  <c r="R35" i="13"/>
  <c r="S35" i="13" s="1"/>
  <c r="R206" i="13"/>
  <c r="S206" i="13" s="1"/>
  <c r="R67" i="13"/>
  <c r="S67" i="13" s="1"/>
  <c r="R69" i="13"/>
  <c r="S69" i="13" s="1"/>
  <c r="R141" i="13"/>
  <c r="S141" i="13" s="1"/>
  <c r="R24" i="13"/>
  <c r="S24" i="13" s="1"/>
  <c r="R11" i="13"/>
  <c r="S11" i="13" s="1"/>
  <c r="R55" i="13"/>
  <c r="S55" i="13" s="1"/>
  <c r="R213" i="13"/>
  <c r="S213" i="13" s="1"/>
  <c r="R183" i="13"/>
  <c r="S183" i="13" s="1"/>
  <c r="R235" i="13"/>
  <c r="S235" i="13" s="1"/>
  <c r="R201" i="13"/>
  <c r="S201" i="13" s="1"/>
  <c r="R105" i="13"/>
  <c r="S105" i="13" s="1"/>
  <c r="R172" i="13"/>
  <c r="S172" i="13" s="1"/>
  <c r="R13" i="13"/>
  <c r="S13" i="13" s="1"/>
  <c r="R240" i="13"/>
  <c r="S240" i="13" s="1"/>
  <c r="R310" i="13"/>
  <c r="S310" i="13" s="1"/>
  <c r="R80" i="13"/>
  <c r="S80" i="13" s="1"/>
  <c r="R154" i="13"/>
  <c r="S154" i="13" s="1"/>
  <c r="R295" i="13"/>
  <c r="S295" i="13" s="1"/>
  <c r="R312" i="13"/>
  <c r="S312" i="13" s="1"/>
  <c r="R38" i="13"/>
  <c r="S38" i="13" s="1"/>
  <c r="R12" i="13"/>
  <c r="S12" i="13" s="1"/>
  <c r="R61" i="13"/>
  <c r="S61" i="13" s="1"/>
  <c r="R75" i="13"/>
  <c r="S75" i="13" s="1"/>
  <c r="R117" i="13"/>
  <c r="S117" i="13" s="1"/>
  <c r="R138" i="13"/>
  <c r="S138" i="13" s="1"/>
  <c r="R57" i="13"/>
  <c r="S57" i="13" s="1"/>
  <c r="R281" i="13"/>
  <c r="S281" i="13" s="1"/>
  <c r="R291" i="13"/>
  <c r="S291" i="13" s="1"/>
  <c r="R156" i="13"/>
  <c r="S156" i="13" s="1"/>
  <c r="R313" i="13"/>
  <c r="S313" i="13" s="1"/>
  <c r="R47" i="13"/>
  <c r="S47" i="13" s="1"/>
  <c r="R112" i="13"/>
  <c r="S112" i="13" s="1"/>
  <c r="R185" i="13"/>
  <c r="S185" i="13" s="1"/>
  <c r="R119" i="13"/>
  <c r="S119" i="13" s="1"/>
  <c r="R177" i="13"/>
  <c r="S177" i="13" s="1"/>
  <c r="R241" i="13"/>
  <c r="S241" i="13" s="1"/>
  <c r="R131" i="13"/>
  <c r="S131" i="13" s="1"/>
  <c r="R103" i="13"/>
  <c r="S103" i="13" s="1"/>
  <c r="R242" i="13"/>
  <c r="S242" i="13" s="1"/>
  <c r="R44" i="13"/>
  <c r="S44" i="13" s="1"/>
  <c r="R128" i="13"/>
  <c r="S128" i="13" s="1"/>
  <c r="R34" i="13"/>
  <c r="S34" i="13" s="1"/>
  <c r="R86" i="13"/>
  <c r="S86" i="13" s="1"/>
  <c r="R134" i="13"/>
  <c r="S134" i="13" s="1"/>
  <c r="R102" i="13"/>
  <c r="S102" i="13" s="1"/>
  <c r="R299" i="13"/>
  <c r="S299" i="13" s="1"/>
  <c r="R182" i="13"/>
  <c r="S182" i="13" s="1"/>
  <c r="R207" i="13"/>
  <c r="S207" i="13" s="1"/>
  <c r="R33" i="13"/>
  <c r="S33" i="13" s="1"/>
  <c r="R314" i="13"/>
  <c r="S314" i="13" s="1"/>
  <c r="E39" i="48" l="1"/>
  <c r="Q315" i="13"/>
  <c r="R6" i="13"/>
  <c r="S6" i="13" s="1"/>
  <c r="R191" i="13"/>
  <c r="S191" i="13" s="1"/>
  <c r="H121" i="54"/>
  <c r="H280" i="54"/>
  <c r="H92" i="54"/>
  <c r="H97" i="54"/>
  <c r="H96" i="54"/>
  <c r="H220" i="54"/>
  <c r="H93" i="54"/>
  <c r="H20" i="54"/>
  <c r="H19" i="54"/>
  <c r="H8" i="54"/>
  <c r="H287" i="54"/>
  <c r="H42" i="54"/>
  <c r="H22" i="54"/>
  <c r="H88" i="54"/>
  <c r="H28" i="54"/>
  <c r="H267" i="54"/>
  <c r="H188" i="54"/>
  <c r="H46" i="54"/>
  <c r="H155" i="54"/>
  <c r="H222" i="54"/>
  <c r="H21" i="54"/>
  <c r="H168" i="54"/>
  <c r="H197" i="54"/>
  <c r="H303" i="54"/>
  <c r="H304" i="54"/>
  <c r="H40" i="54"/>
  <c r="H118" i="54"/>
  <c r="H144" i="54"/>
  <c r="H127" i="54"/>
  <c r="H233" i="54"/>
  <c r="H274" i="54"/>
  <c r="H90" i="54"/>
  <c r="H18" i="54"/>
  <c r="H140" i="54"/>
  <c r="H253" i="54"/>
  <c r="H260" i="54"/>
  <c r="H216" i="54"/>
  <c r="H237" i="54"/>
  <c r="H189" i="54"/>
  <c r="H163" i="54"/>
  <c r="H297" i="54"/>
  <c r="H175" i="54"/>
  <c r="H283" i="54"/>
  <c r="H148" i="54"/>
  <c r="H91" i="54"/>
  <c r="H254" i="54"/>
  <c r="H284" i="54"/>
  <c r="H74" i="54"/>
  <c r="H257" i="54"/>
  <c r="E37" i="48"/>
  <c r="J6" i="25"/>
  <c r="I314" i="12"/>
  <c r="J315" i="25" s="1"/>
  <c r="H187" i="54"/>
  <c r="H247" i="54"/>
  <c r="H227" i="54"/>
  <c r="H106" i="54"/>
  <c r="H161" i="54"/>
  <c r="H203" i="54"/>
  <c r="H179" i="54"/>
  <c r="H25" i="54"/>
  <c r="H306" i="54"/>
  <c r="H51" i="54"/>
  <c r="H200" i="54"/>
  <c r="H64" i="54"/>
  <c r="H113" i="54"/>
  <c r="H143" i="54"/>
  <c r="H45" i="54"/>
  <c r="H147" i="54"/>
  <c r="H101" i="54"/>
  <c r="H258" i="54"/>
  <c r="H17" i="54"/>
  <c r="H62" i="54"/>
  <c r="H228" i="54"/>
  <c r="H167" i="54"/>
  <c r="H278" i="54"/>
  <c r="H264" i="54"/>
  <c r="H302" i="54"/>
  <c r="H54" i="54"/>
  <c r="H72" i="54"/>
  <c r="H268" i="54"/>
  <c r="H165" i="54"/>
  <c r="H309" i="54"/>
  <c r="H139" i="54"/>
  <c r="H209" i="54"/>
  <c r="H100" i="54"/>
  <c r="H311" i="54"/>
  <c r="H68" i="54"/>
  <c r="H98" i="54"/>
  <c r="H58" i="54"/>
  <c r="H59" i="54"/>
  <c r="H87" i="54"/>
  <c r="H83" i="54"/>
  <c r="H160" i="54"/>
  <c r="H307" i="54"/>
  <c r="H50" i="54"/>
  <c r="H276" i="54"/>
  <c r="H232" i="54"/>
  <c r="H158" i="54"/>
  <c r="H164" i="54"/>
  <c r="H272" i="54"/>
  <c r="H95" i="54"/>
  <c r="L67" i="25"/>
  <c r="N67" i="25" s="1"/>
  <c r="L195" i="25"/>
  <c r="N195" i="25" s="1"/>
  <c r="L223" i="25"/>
  <c r="N223" i="25" s="1"/>
  <c r="L146" i="25"/>
  <c r="N146" i="25" s="1"/>
  <c r="L135" i="25"/>
  <c r="N135" i="25" s="1"/>
  <c r="L301" i="25"/>
  <c r="N301" i="25" s="1"/>
  <c r="L248" i="25"/>
  <c r="N248" i="25" s="1"/>
  <c r="L208" i="25"/>
  <c r="N208" i="25" s="1"/>
  <c r="L181" i="25"/>
  <c r="N181" i="25" s="1"/>
  <c r="L305" i="25"/>
  <c r="N305" i="25" s="1"/>
  <c r="L211" i="25"/>
  <c r="N211" i="25" s="1"/>
  <c r="L141" i="25"/>
  <c r="N141" i="25" s="1"/>
  <c r="L176" i="25"/>
  <c r="N176" i="25" s="1"/>
  <c r="L231" i="25"/>
  <c r="N231" i="25" s="1"/>
  <c r="L182" i="25"/>
  <c r="N182" i="25" s="1"/>
  <c r="L16" i="25"/>
  <c r="N16" i="25" s="1"/>
  <c r="L103" i="25"/>
  <c r="N103" i="25" s="1"/>
  <c r="L84" i="25"/>
  <c r="N84" i="25" s="1"/>
  <c r="L194" i="25"/>
  <c r="N194" i="25" s="1"/>
  <c r="L159" i="25"/>
  <c r="N159" i="25" s="1"/>
  <c r="L288" i="25"/>
  <c r="N288" i="25" s="1"/>
  <c r="L294" i="25"/>
  <c r="N294" i="25" s="1"/>
  <c r="L177" i="25"/>
  <c r="N177" i="25" s="1"/>
  <c r="L151" i="25"/>
  <c r="N151" i="25" s="1"/>
  <c r="L229" i="25"/>
  <c r="N229" i="25" s="1"/>
  <c r="L150" i="25"/>
  <c r="N150" i="25" s="1"/>
  <c r="L252" i="25"/>
  <c r="N252" i="25" s="1"/>
  <c r="L186" i="25"/>
  <c r="N186" i="25" s="1"/>
  <c r="L185" i="25"/>
  <c r="N185" i="25" s="1"/>
  <c r="L178" i="25"/>
  <c r="N178" i="25" s="1"/>
  <c r="L243" i="25"/>
  <c r="N243" i="25" s="1"/>
  <c r="L105" i="25"/>
  <c r="N105" i="25" s="1"/>
  <c r="L44" i="25"/>
  <c r="N44" i="25" s="1"/>
  <c r="L65" i="25"/>
  <c r="N65" i="25" s="1"/>
  <c r="L202" i="25"/>
  <c r="N202" i="25" s="1"/>
  <c r="L49" i="25"/>
  <c r="N49" i="25" s="1"/>
  <c r="L198" i="25"/>
  <c r="N198" i="25" s="1"/>
  <c r="L246" i="25"/>
  <c r="N246" i="25" s="1"/>
  <c r="L117" i="25"/>
  <c r="N117" i="25" s="1"/>
  <c r="L31" i="25"/>
  <c r="N31" i="25" s="1"/>
  <c r="L56" i="25"/>
  <c r="N56" i="25" s="1"/>
  <c r="L157" i="25"/>
  <c r="N157" i="25" s="1"/>
  <c r="L275" i="25"/>
  <c r="N275" i="25" s="1"/>
  <c r="L119" i="25"/>
  <c r="N119" i="25" s="1"/>
  <c r="L293" i="25"/>
  <c r="N293" i="25" s="1"/>
  <c r="L48" i="25"/>
  <c r="N48" i="25" s="1"/>
  <c r="L138" i="25"/>
  <c r="N138" i="25" s="1"/>
  <c r="L256" i="25"/>
  <c r="N256" i="25" s="1"/>
  <c r="L313" i="25"/>
  <c r="N313" i="25" s="1"/>
  <c r="L7" i="25"/>
  <c r="N7" i="25" s="1"/>
  <c r="L249" i="25"/>
  <c r="N249" i="25" s="1"/>
  <c r="L123" i="25"/>
  <c r="N123" i="25" s="1"/>
  <c r="L170" i="25"/>
  <c r="N170" i="25" s="1"/>
  <c r="L295" i="25"/>
  <c r="N295" i="25" s="1"/>
  <c r="L109" i="25"/>
  <c r="N109" i="25" s="1"/>
  <c r="L26" i="25"/>
  <c r="N26" i="25" s="1"/>
  <c r="L23" i="25"/>
  <c r="N23" i="25" s="1"/>
  <c r="L112" i="25"/>
  <c r="N112" i="25" s="1"/>
  <c r="L57" i="25"/>
  <c r="N57" i="25" s="1"/>
  <c r="L122" i="25"/>
  <c r="N122" i="25" s="1"/>
  <c r="L204" i="25"/>
  <c r="N204" i="25" s="1"/>
  <c r="L115" i="25"/>
  <c r="N115" i="25" s="1"/>
  <c r="L70" i="25"/>
  <c r="N70" i="25" s="1"/>
  <c r="L265" i="25"/>
  <c r="N265" i="25" s="1"/>
  <c r="L210" i="25"/>
  <c r="N210" i="25" s="1"/>
  <c r="L71" i="25"/>
  <c r="N71" i="25" s="1"/>
  <c r="L290" i="25"/>
  <c r="N290" i="25" s="1"/>
  <c r="L130" i="25"/>
  <c r="N130" i="25" s="1"/>
  <c r="L236" i="25"/>
  <c r="N236" i="25" s="1"/>
  <c r="L259" i="25"/>
  <c r="N259" i="25" s="1"/>
  <c r="L266" i="25"/>
  <c r="N266" i="25" s="1"/>
  <c r="L11" i="25"/>
  <c r="N11" i="25" s="1"/>
  <c r="L281" i="25"/>
  <c r="N281" i="25" s="1"/>
  <c r="L234" i="25"/>
  <c r="N234" i="25" s="1"/>
  <c r="L269" i="25"/>
  <c r="N269" i="25" s="1"/>
  <c r="L196" i="25"/>
  <c r="N196" i="25" s="1"/>
  <c r="L75" i="25"/>
  <c r="N75" i="25" s="1"/>
  <c r="L162" i="25"/>
  <c r="N162" i="25" s="1"/>
  <c r="L99" i="25"/>
  <c r="N99" i="25" s="1"/>
  <c r="L262" i="25"/>
  <c r="N262" i="25" s="1"/>
  <c r="L242" i="25"/>
  <c r="N242" i="25" s="1"/>
  <c r="L217" i="25"/>
  <c r="N217" i="25" s="1"/>
  <c r="L286" i="25"/>
  <c r="N286" i="25" s="1"/>
  <c r="L107" i="25"/>
  <c r="N107" i="25" s="1"/>
  <c r="L296" i="25"/>
  <c r="N296" i="25" s="1"/>
  <c r="L149" i="25"/>
  <c r="N149" i="25" s="1"/>
  <c r="L169" i="25"/>
  <c r="N169" i="25" s="1"/>
  <c r="L9" i="25"/>
  <c r="N9" i="25" s="1"/>
  <c r="L171" i="25"/>
  <c r="N171" i="25" s="1"/>
  <c r="L145" i="25"/>
  <c r="N145" i="25" s="1"/>
  <c r="L285" i="25"/>
  <c r="N285" i="25" s="1"/>
  <c r="L61" i="25"/>
  <c r="N61" i="25" s="1"/>
  <c r="L35" i="25"/>
  <c r="N35" i="25" s="1"/>
  <c r="L226" i="25"/>
  <c r="N226" i="25" s="1"/>
  <c r="L250" i="25"/>
  <c r="N250" i="25" s="1"/>
  <c r="L114" i="25"/>
  <c r="N114" i="25" s="1"/>
  <c r="L126" i="25"/>
  <c r="N126" i="25" s="1"/>
  <c r="L47" i="25"/>
  <c r="N47" i="25" s="1"/>
  <c r="L120" i="25"/>
  <c r="N120" i="25" s="1"/>
  <c r="L69" i="25"/>
  <c r="N69" i="25" s="1"/>
  <c r="L136" i="25"/>
  <c r="N136" i="25" s="1"/>
  <c r="L27" i="25"/>
  <c r="N27" i="25" s="1"/>
  <c r="L63" i="25"/>
  <c r="N63" i="25" s="1"/>
  <c r="L282" i="25"/>
  <c r="N282" i="25" s="1"/>
  <c r="L82" i="25"/>
  <c r="N82" i="25" s="1"/>
  <c r="L15" i="25"/>
  <c r="N15" i="25" s="1"/>
  <c r="L108" i="25"/>
  <c r="N108" i="25" s="1"/>
  <c r="L154" i="25"/>
  <c r="N154" i="25" s="1"/>
  <c r="L190" i="25"/>
  <c r="N190" i="25" s="1"/>
  <c r="L166" i="25"/>
  <c r="N166" i="25" s="1"/>
  <c r="L34" i="25"/>
  <c r="N34" i="25" s="1"/>
  <c r="L214" i="25"/>
  <c r="N214" i="25" s="1"/>
  <c r="L174" i="25"/>
  <c r="N174" i="25" s="1"/>
  <c r="L134" i="25"/>
  <c r="N134" i="25" s="1"/>
  <c r="L240" i="25"/>
  <c r="N240" i="25" s="1"/>
  <c r="L14" i="25"/>
  <c r="N14" i="25" s="1"/>
  <c r="L111" i="25"/>
  <c r="N111" i="25" s="1"/>
  <c r="L137" i="25"/>
  <c r="N137" i="25" s="1"/>
  <c r="L76" i="25"/>
  <c r="N76" i="25" s="1"/>
  <c r="L52" i="25"/>
  <c r="N52" i="25" s="1"/>
  <c r="L13" i="25"/>
  <c r="N13" i="25" s="1"/>
  <c r="L213" i="25"/>
  <c r="N213" i="25" s="1"/>
  <c r="L77" i="25"/>
  <c r="N77" i="25" s="1"/>
  <c r="L199" i="25"/>
  <c r="N199" i="25" s="1"/>
  <c r="L43" i="25"/>
  <c r="N43" i="25" s="1"/>
  <c r="L41" i="25"/>
  <c r="N41" i="25" s="1"/>
  <c r="L116" i="25"/>
  <c r="N116" i="25" s="1"/>
  <c r="L104" i="25"/>
  <c r="N104" i="25" s="1"/>
  <c r="L207" i="25"/>
  <c r="N207" i="25" s="1"/>
  <c r="L251" i="25"/>
  <c r="N251" i="25" s="1"/>
  <c r="L225" i="25"/>
  <c r="N225" i="25" s="1"/>
  <c r="L277" i="25"/>
  <c r="N277" i="25" s="1"/>
  <c r="L29" i="25"/>
  <c r="N29" i="25" s="1"/>
  <c r="L80" i="25"/>
  <c r="N80" i="25" s="1"/>
  <c r="L206" i="25"/>
  <c r="N206" i="25" s="1"/>
  <c r="L89" i="25"/>
  <c r="N89" i="25" s="1"/>
  <c r="L241" i="25"/>
  <c r="N241" i="25" s="1"/>
  <c r="L172" i="25"/>
  <c r="N172" i="25" s="1"/>
  <c r="L142" i="25"/>
  <c r="N142" i="25" s="1"/>
  <c r="L279" i="25"/>
  <c r="N279" i="25" s="1"/>
  <c r="L102" i="25"/>
  <c r="N102" i="25" s="1"/>
  <c r="L244" i="25"/>
  <c r="N244" i="25" s="1"/>
  <c r="L310" i="25"/>
  <c r="N310" i="25" s="1"/>
  <c r="L215" i="25"/>
  <c r="N215" i="25" s="1"/>
  <c r="L312" i="25"/>
  <c r="N312" i="25" s="1"/>
  <c r="L128" i="25"/>
  <c r="N128" i="25" s="1"/>
  <c r="L73" i="25"/>
  <c r="N73" i="25" s="1"/>
  <c r="L60" i="25"/>
  <c r="N60" i="25" s="1"/>
  <c r="L79" i="25"/>
  <c r="N79" i="25" s="1"/>
  <c r="L173" i="25"/>
  <c r="N173" i="25" s="1"/>
  <c r="L205" i="25"/>
  <c r="N205" i="25" s="1"/>
  <c r="L24" i="25"/>
  <c r="N24" i="25" s="1"/>
  <c r="L218" i="25"/>
  <c r="N218" i="25" s="1"/>
  <c r="L38" i="25"/>
  <c r="N38" i="25" s="1"/>
  <c r="L152" i="25"/>
  <c r="N152" i="25" s="1"/>
  <c r="L180" i="25"/>
  <c r="N180" i="25" s="1"/>
  <c r="L291" i="25"/>
  <c r="N291" i="25" s="1"/>
  <c r="L129" i="25"/>
  <c r="N129" i="25" s="1"/>
  <c r="L300" i="25"/>
  <c r="N300" i="25" s="1"/>
  <c r="L33" i="25"/>
  <c r="N33" i="25" s="1"/>
  <c r="L53" i="25"/>
  <c r="N53" i="25" s="1"/>
  <c r="L12" i="25"/>
  <c r="N12" i="25" s="1"/>
  <c r="L78" i="25"/>
  <c r="N78" i="25" s="1"/>
  <c r="L94" i="25"/>
  <c r="N94" i="25" s="1"/>
  <c r="L191" i="25"/>
  <c r="N191" i="25" s="1"/>
  <c r="L10" i="25"/>
  <c r="N10" i="25" s="1"/>
  <c r="L263" i="25"/>
  <c r="N263" i="25" s="1"/>
  <c r="L110" i="25"/>
  <c r="N110" i="25" s="1"/>
  <c r="L255" i="25"/>
  <c r="N255" i="25" s="1"/>
  <c r="L299" i="25"/>
  <c r="N299" i="25" s="1"/>
  <c r="L224" i="25"/>
  <c r="N224" i="25" s="1"/>
  <c r="L66" i="25"/>
  <c r="N66" i="25" s="1"/>
  <c r="L230" i="25"/>
  <c r="N230" i="25" s="1"/>
  <c r="L201" i="25"/>
  <c r="N201" i="25" s="1"/>
  <c r="L261" i="25"/>
  <c r="N261" i="25" s="1"/>
  <c r="L221" i="25"/>
  <c r="N221" i="25" s="1"/>
  <c r="L292" i="25"/>
  <c r="N292" i="25" s="1"/>
  <c r="L132" i="25"/>
  <c r="N132" i="25" s="1"/>
  <c r="L239" i="25"/>
  <c r="N239" i="25" s="1"/>
  <c r="L314" i="25"/>
  <c r="N314" i="25" s="1"/>
  <c r="L85" i="25"/>
  <c r="N85" i="25" s="1"/>
  <c r="L183" i="25"/>
  <c r="N183" i="25" s="1"/>
  <c r="L153" i="25"/>
  <c r="N153" i="25" s="1"/>
  <c r="L270" i="25"/>
  <c r="N270" i="25" s="1"/>
  <c r="L298" i="25"/>
  <c r="N298" i="25" s="1"/>
  <c r="L55" i="25"/>
  <c r="N55" i="25" s="1"/>
  <c r="L273" i="25"/>
  <c r="N273" i="25" s="1"/>
  <c r="L156" i="25"/>
  <c r="N156" i="25" s="1"/>
  <c r="L36" i="25"/>
  <c r="N36" i="25" s="1"/>
  <c r="L193" i="25"/>
  <c r="N193" i="25" s="1"/>
  <c r="L39" i="25"/>
  <c r="N39" i="25" s="1"/>
  <c r="L125" i="25"/>
  <c r="N125" i="25" s="1"/>
  <c r="L212" i="25"/>
  <c r="N212" i="25" s="1"/>
  <c r="L30" i="25"/>
  <c r="N30" i="25" s="1"/>
  <c r="L81" i="25"/>
  <c r="N81" i="25" s="1"/>
  <c r="L184" i="25"/>
  <c r="N184" i="25" s="1"/>
  <c r="L235" i="25"/>
  <c r="N235" i="25" s="1"/>
  <c r="L133" i="25"/>
  <c r="N133" i="25" s="1"/>
  <c r="L86" i="25"/>
  <c r="N86" i="25" s="1"/>
  <c r="L271" i="25"/>
  <c r="N271" i="25" s="1"/>
  <c r="L37" i="25"/>
  <c r="N37" i="25" s="1"/>
  <c r="L245" i="25"/>
  <c r="N245" i="25" s="1"/>
  <c r="L124" i="25"/>
  <c r="N124" i="25" s="1"/>
  <c r="L192" i="25"/>
  <c r="N192" i="25" s="1"/>
  <c r="L308" i="25"/>
  <c r="N308" i="25" s="1"/>
  <c r="L238" i="25"/>
  <c r="N238" i="25" s="1"/>
  <c r="L131" i="25"/>
  <c r="N131" i="25" s="1"/>
  <c r="L32" i="25"/>
  <c r="N32" i="25" s="1"/>
  <c r="L289" i="25"/>
  <c r="N289" i="25" s="1"/>
  <c r="R219" i="13"/>
  <c r="S219" i="13" s="1"/>
  <c r="F39" i="48" l="1"/>
  <c r="F43" i="48" s="1"/>
  <c r="F54" i="48" s="1"/>
  <c r="L6" i="25"/>
  <c r="N6" i="25" s="1"/>
  <c r="H124" i="54"/>
  <c r="H81" i="54"/>
  <c r="H298" i="54"/>
  <c r="H292" i="54"/>
  <c r="H224" i="54"/>
  <c r="H263" i="54"/>
  <c r="H53" i="54"/>
  <c r="H291" i="54"/>
  <c r="H218" i="54"/>
  <c r="H79" i="54"/>
  <c r="H312" i="54"/>
  <c r="H142" i="54"/>
  <c r="H206" i="54"/>
  <c r="H225" i="54"/>
  <c r="H116" i="54"/>
  <c r="H77" i="54"/>
  <c r="H111" i="54"/>
  <c r="H174" i="54"/>
  <c r="H190" i="54"/>
  <c r="H82" i="54"/>
  <c r="H63" i="54"/>
  <c r="H136" i="54"/>
  <c r="H126" i="54"/>
  <c r="H250" i="54"/>
  <c r="H35" i="54"/>
  <c r="H285" i="54"/>
  <c r="H171" i="54"/>
  <c r="H169" i="54"/>
  <c r="H296" i="54"/>
  <c r="H286" i="54"/>
  <c r="H242" i="54"/>
  <c r="H99" i="54"/>
  <c r="H75" i="54"/>
  <c r="H269" i="54"/>
  <c r="H281" i="54"/>
  <c r="H266" i="54"/>
  <c r="H236" i="54"/>
  <c r="H290" i="54"/>
  <c r="H210" i="54"/>
  <c r="H70" i="54"/>
  <c r="H204" i="54"/>
  <c r="H57" i="54"/>
  <c r="H23" i="54"/>
  <c r="H109" i="54"/>
  <c r="H170" i="54"/>
  <c r="H249" i="54"/>
  <c r="H313" i="54"/>
  <c r="H138" i="54"/>
  <c r="H293" i="54"/>
  <c r="H275" i="54"/>
  <c r="H56" i="54"/>
  <c r="H117" i="54"/>
  <c r="H198" i="54"/>
  <c r="H202" i="54"/>
  <c r="H289" i="54"/>
  <c r="H37" i="54"/>
  <c r="H39" i="54"/>
  <c r="H153" i="54"/>
  <c r="H239" i="54"/>
  <c r="H230" i="54"/>
  <c r="H255" i="54"/>
  <c r="H78" i="54"/>
  <c r="H300" i="54"/>
  <c r="H152" i="54"/>
  <c r="H205" i="54"/>
  <c r="H73" i="54"/>
  <c r="H310" i="54"/>
  <c r="H102" i="54"/>
  <c r="H241" i="54"/>
  <c r="H29" i="54"/>
  <c r="H207" i="54"/>
  <c r="H43" i="54"/>
  <c r="H13" i="54"/>
  <c r="H76" i="54"/>
  <c r="H240" i="54"/>
  <c r="H34" i="54"/>
  <c r="H108" i="54"/>
  <c r="H120" i="54"/>
  <c r="H44" i="54"/>
  <c r="H243" i="54"/>
  <c r="H185" i="54"/>
  <c r="H252" i="54"/>
  <c r="H229" i="54"/>
  <c r="H177" i="54"/>
  <c r="H288" i="54"/>
  <c r="H194" i="54"/>
  <c r="H103" i="54"/>
  <c r="H182" i="54"/>
  <c r="H176" i="54"/>
  <c r="H211" i="54"/>
  <c r="H181" i="54"/>
  <c r="H248" i="54"/>
  <c r="H135" i="54"/>
  <c r="H223" i="54"/>
  <c r="H67" i="54"/>
  <c r="H308" i="54"/>
  <c r="H235" i="54"/>
  <c r="H273" i="54"/>
  <c r="H238" i="54"/>
  <c r="H271" i="54"/>
  <c r="H184" i="54"/>
  <c r="H125" i="54"/>
  <c r="H156" i="54"/>
  <c r="H270" i="54"/>
  <c r="H314" i="54"/>
  <c r="H201" i="54"/>
  <c r="H299" i="54"/>
  <c r="H10" i="54"/>
  <c r="H12" i="54"/>
  <c r="H129" i="54"/>
  <c r="H38" i="54"/>
  <c r="H173" i="54"/>
  <c r="H128" i="54"/>
  <c r="H244" i="54"/>
  <c r="H89" i="54"/>
  <c r="H277" i="54"/>
  <c r="H251" i="54"/>
  <c r="H104" i="54"/>
  <c r="H41" i="54"/>
  <c r="H213" i="54"/>
  <c r="H52" i="54"/>
  <c r="H137" i="54"/>
  <c r="H14" i="54"/>
  <c r="H134" i="54"/>
  <c r="H214" i="54"/>
  <c r="H166" i="54"/>
  <c r="H154" i="54"/>
  <c r="H15" i="54"/>
  <c r="H282" i="54"/>
  <c r="H27" i="54"/>
  <c r="H69" i="54"/>
  <c r="H47" i="54"/>
  <c r="H114" i="54"/>
  <c r="H226" i="54"/>
  <c r="H61" i="54"/>
  <c r="H145" i="54"/>
  <c r="H9" i="54"/>
  <c r="H149" i="54"/>
  <c r="H107" i="54"/>
  <c r="H217" i="54"/>
  <c r="H262" i="54"/>
  <c r="H162" i="54"/>
  <c r="H196" i="54"/>
  <c r="H234" i="54"/>
  <c r="H11" i="54"/>
  <c r="H259" i="54"/>
  <c r="H130" i="54"/>
  <c r="H71" i="54"/>
  <c r="H265" i="54"/>
  <c r="H115" i="54"/>
  <c r="H122" i="54"/>
  <c r="H112" i="54"/>
  <c r="H26" i="54"/>
  <c r="H295" i="54"/>
  <c r="H123" i="54"/>
  <c r="H7" i="54"/>
  <c r="H256" i="54"/>
  <c r="H48" i="54"/>
  <c r="H119" i="54"/>
  <c r="H157" i="54"/>
  <c r="H31" i="54"/>
  <c r="H246" i="54"/>
  <c r="H49" i="54"/>
  <c r="H131" i="54"/>
  <c r="H86" i="54"/>
  <c r="H212" i="54"/>
  <c r="H36" i="54"/>
  <c r="H85" i="54"/>
  <c r="H261" i="54"/>
  <c r="H191" i="54"/>
  <c r="H32" i="54"/>
  <c r="H192" i="54"/>
  <c r="H245" i="54"/>
  <c r="H133" i="54"/>
  <c r="H30" i="54"/>
  <c r="H193" i="54"/>
  <c r="H55" i="54"/>
  <c r="H183" i="54"/>
  <c r="H132" i="54"/>
  <c r="H221" i="54"/>
  <c r="H66" i="54"/>
  <c r="H110" i="54"/>
  <c r="H94" i="54"/>
  <c r="H33" i="54"/>
  <c r="H180" i="54"/>
  <c r="H24" i="54"/>
  <c r="H60" i="54"/>
  <c r="H215" i="54"/>
  <c r="H279" i="54"/>
  <c r="H172" i="54"/>
  <c r="H80" i="54"/>
  <c r="H199" i="54"/>
  <c r="H65" i="54"/>
  <c r="H105" i="54"/>
  <c r="H178" i="54"/>
  <c r="H186" i="54"/>
  <c r="H150" i="54"/>
  <c r="H151" i="54"/>
  <c r="H294" i="54"/>
  <c r="H159" i="54"/>
  <c r="H84" i="54"/>
  <c r="H16" i="54"/>
  <c r="H231" i="54"/>
  <c r="H141" i="54"/>
  <c r="H305" i="54"/>
  <c r="H208" i="54"/>
  <c r="H301" i="54"/>
  <c r="H146" i="54"/>
  <c r="H195" i="54"/>
  <c r="E60" i="48"/>
  <c r="C60" i="48" s="1"/>
  <c r="L219" i="25"/>
  <c r="N219" i="25" s="1"/>
  <c r="D36" i="40"/>
  <c r="K315" i="25"/>
  <c r="L315" i="25" s="1"/>
  <c r="H6" i="54" l="1"/>
  <c r="N315" i="25"/>
  <c r="E61" i="48"/>
  <c r="C61" i="48" s="1"/>
  <c r="C36" i="40"/>
  <c r="L316" i="25"/>
  <c r="H219" i="54" l="1"/>
  <c r="H315" i="54" s="1"/>
</calcChain>
</file>

<file path=xl/sharedStrings.xml><?xml version="1.0" encoding="utf-8"?>
<sst xmlns="http://schemas.openxmlformats.org/spreadsheetml/2006/main" count="1405" uniqueCount="659">
  <si>
    <t>en % de la moyenne après écrêtage</t>
  </si>
  <si>
    <t>pt après écrêtage</t>
  </si>
  <si>
    <t>pts écrêtés</t>
  </si>
  <si>
    <t>Valeur pt après écrêtage</t>
  </si>
  <si>
    <t>Plafonnement de l'aide</t>
  </si>
  <si>
    <t>L'Isle</t>
  </si>
  <si>
    <t>Lussery-Villars</t>
  </si>
  <si>
    <t>Mauraz</t>
  </si>
  <si>
    <t>Mex</t>
  </si>
  <si>
    <t>Moiry</t>
  </si>
  <si>
    <t>Corcelles-près-Payerne</t>
  </si>
  <si>
    <t>Grandcour</t>
  </si>
  <si>
    <t>Henniez</t>
  </si>
  <si>
    <t>Missy</t>
  </si>
  <si>
    <t>Payerne</t>
  </si>
  <si>
    <t>Trey</t>
  </si>
  <si>
    <t>Villarzel</t>
  </si>
  <si>
    <t>Château-d'Oex</t>
  </si>
  <si>
    <t>Rossinière</t>
  </si>
  <si>
    <t>Rougemont</t>
  </si>
  <si>
    <t>Allaman</t>
  </si>
  <si>
    <t>Bursinel</t>
  </si>
  <si>
    <t>Bursins</t>
  </si>
  <si>
    <t>Burtigny</t>
  </si>
  <si>
    <t>Dully</t>
  </si>
  <si>
    <t>Essertines-sur-Rolle</t>
  </si>
  <si>
    <t>Gilly</t>
  </si>
  <si>
    <t>Luins</t>
  </si>
  <si>
    <t>Mont-sur-Rolle</t>
  </si>
  <si>
    <t>Perroy</t>
  </si>
  <si>
    <t>Rolle</t>
  </si>
  <si>
    <t>Tartegnin</t>
  </si>
  <si>
    <t>Vinzel</t>
  </si>
  <si>
    <t>L'Abbaye</t>
  </si>
  <si>
    <t>Saint-Barthélemy</t>
  </si>
  <si>
    <t>Villars-le-Terroir</t>
  </si>
  <si>
    <t>Vuarrens</t>
  </si>
  <si>
    <t>Bonvillars</t>
  </si>
  <si>
    <t>Bullet</t>
  </si>
  <si>
    <t>Champagne</t>
  </si>
  <si>
    <t>Concise</t>
  </si>
  <si>
    <t>Corcelles-près-Concise</t>
  </si>
  <si>
    <t>Fiez</t>
  </si>
  <si>
    <t>Fontaines-sur-Grandson</t>
  </si>
  <si>
    <t>Giez</t>
  </si>
  <si>
    <t>Grandevent</t>
  </si>
  <si>
    <t>Grandson</t>
  </si>
  <si>
    <t>Mauborget</t>
  </si>
  <si>
    <t>Plafond transports</t>
  </si>
  <si>
    <t>Plafond forêts</t>
  </si>
  <si>
    <t>No OFS</t>
  </si>
  <si>
    <t>Fonds de péréquation</t>
  </si>
  <si>
    <t>IFO normalisé à 100</t>
  </si>
  <si>
    <t>Corsier-sur-Vevey</t>
  </si>
  <si>
    <t>Jongny</t>
  </si>
  <si>
    <t>Montreux</t>
  </si>
  <si>
    <t>La Tour-de-Peilz</t>
  </si>
  <si>
    <t>Vevey</t>
  </si>
  <si>
    <t>Veytaux</t>
  </si>
  <si>
    <t>Belmont-sur-Yverdon</t>
  </si>
  <si>
    <t>Bioley-Magnoux</t>
  </si>
  <si>
    <t>Chamblon</t>
  </si>
  <si>
    <t>Champvent</t>
  </si>
  <si>
    <t>Chavannes-le-Chêne</t>
  </si>
  <si>
    <t>Chêne-Pâquier</t>
  </si>
  <si>
    <t>Cheseaux-Noréaz</t>
  </si>
  <si>
    <t>Cronay</t>
  </si>
  <si>
    <t>Cuarny</t>
  </si>
  <si>
    <t>Démoret</t>
  </si>
  <si>
    <t>Donneloye</t>
  </si>
  <si>
    <t>Ependes</t>
  </si>
  <si>
    <t>Habitants</t>
  </si>
  <si>
    <t>Valeur par habitant</t>
  </si>
  <si>
    <t>Valeur du point après écrêtage</t>
  </si>
  <si>
    <t>Nyon</t>
  </si>
  <si>
    <t>Prangins</t>
  </si>
  <si>
    <t>Bougy-Villars</t>
  </si>
  <si>
    <t>Yvorne</t>
  </si>
  <si>
    <t>Apples</t>
  </si>
  <si>
    <t>Aubonne</t>
  </si>
  <si>
    <t>Ballens</t>
  </si>
  <si>
    <t>Berolle</t>
  </si>
  <si>
    <t>Bière</t>
  </si>
  <si>
    <t>Taux communal</t>
  </si>
  <si>
    <t>ISP</t>
  </si>
  <si>
    <t>IPE</t>
  </si>
  <si>
    <t>IBC</t>
  </si>
  <si>
    <t>IET</t>
  </si>
  <si>
    <t>ISO</t>
  </si>
  <si>
    <t>IMM</t>
  </si>
  <si>
    <t>IFO</t>
  </si>
  <si>
    <t>STO</t>
  </si>
  <si>
    <t>IFR</t>
  </si>
  <si>
    <t>ISD</t>
  </si>
  <si>
    <t>DMU</t>
  </si>
  <si>
    <t>IGI</t>
  </si>
  <si>
    <t>TOT</t>
  </si>
  <si>
    <t>Facture sociale à charge des communes</t>
  </si>
  <si>
    <t>Facture sociale</t>
  </si>
  <si>
    <t>Alimentation</t>
  </si>
  <si>
    <t>./. Dép. thématiques</t>
  </si>
  <si>
    <t>Commune</t>
  </si>
  <si>
    <t>Chavannes-sur-Moudon</t>
  </si>
  <si>
    <t>Curtilles</t>
  </si>
  <si>
    <t>Dompierre</t>
  </si>
  <si>
    <t>Hermenches</t>
  </si>
  <si>
    <t>Lovatens</t>
  </si>
  <si>
    <t>Lucens</t>
  </si>
  <si>
    <t>Moudon</t>
  </si>
  <si>
    <t>Ogens</t>
  </si>
  <si>
    <t>Prévonloup</t>
  </si>
  <si>
    <t>Rossenges</t>
  </si>
  <si>
    <t>Syens</t>
  </si>
  <si>
    <t>Villars-le-Comte</t>
  </si>
  <si>
    <t>Vucherens</t>
  </si>
  <si>
    <t>Arnex-sur-Nyon</t>
  </si>
  <si>
    <t>Bassins</t>
  </si>
  <si>
    <t>Chessel</t>
  </si>
  <si>
    <t>Corbeyrier</t>
  </si>
  <si>
    <t>Gryon</t>
  </si>
  <si>
    <t>Lavey-Morcles</t>
  </si>
  <si>
    <t>Leysin</t>
  </si>
  <si>
    <t>Noville</t>
  </si>
  <si>
    <t>Ollon</t>
  </si>
  <si>
    <t>Sainte-Croix</t>
  </si>
  <si>
    <t>Lausanne</t>
  </si>
  <si>
    <t>Le Mont-sur-Lausanne</t>
  </si>
  <si>
    <t>Paudex</t>
  </si>
  <si>
    <t>Prilly</t>
  </si>
  <si>
    <t>Pully</t>
  </si>
  <si>
    <t>Taux projeté</t>
  </si>
  <si>
    <t>Plafonnement du taux</t>
  </si>
  <si>
    <t>Contrôle du taux projeté</t>
  </si>
  <si>
    <t>Rivaz</t>
  </si>
  <si>
    <t>St-Saphorin (Lavaux)</t>
  </si>
  <si>
    <t>Ormont-Dessous</t>
  </si>
  <si>
    <t>Ormont-Dessus</t>
  </si>
  <si>
    <t>Rennaz</t>
  </si>
  <si>
    <t>Roche</t>
  </si>
  <si>
    <t>Villeneuve</t>
  </si>
  <si>
    <t>Romainmôtier-Envy</t>
  </si>
  <si>
    <t>Sergey</t>
  </si>
  <si>
    <t>Valeyres-sous-Rances</t>
  </si>
  <si>
    <t>Total</t>
  </si>
  <si>
    <t>Dépenses thématiques</t>
  </si>
  <si>
    <t>Ferreyres</t>
  </si>
  <si>
    <t>Gollion</t>
  </si>
  <si>
    <t>Grancy</t>
  </si>
  <si>
    <t>Forel (Lavaux)</t>
  </si>
  <si>
    <t>Lutry</t>
  </si>
  <si>
    <t>Péréquation directe nette</t>
  </si>
  <si>
    <t>Plafond en pts</t>
  </si>
  <si>
    <t>Bremblens</t>
  </si>
  <si>
    <t>Buchillon</t>
  </si>
  <si>
    <t>Yvonand</t>
  </si>
  <si>
    <t>Yverdon-les-Bains</t>
  </si>
  <si>
    <t>Clarmont</t>
  </si>
  <si>
    <t>Denens</t>
  </si>
  <si>
    <t>Denges</t>
  </si>
  <si>
    <t>Echandens</t>
  </si>
  <si>
    <t>Echichens</t>
  </si>
  <si>
    <t>Ecublens</t>
  </si>
  <si>
    <t>Etoy</t>
  </si>
  <si>
    <t>Lavigny</t>
  </si>
  <si>
    <t>Lonay</t>
  </si>
  <si>
    <t>Lully</t>
  </si>
  <si>
    <t>Lussy-sur-Morges</t>
  </si>
  <si>
    <t>Morges</t>
  </si>
  <si>
    <t>Préverenges</t>
  </si>
  <si>
    <t>Mont-la-Ville</t>
  </si>
  <si>
    <t>Montricher</t>
  </si>
  <si>
    <t>Orny</t>
  </si>
  <si>
    <t>Pampigny</t>
  </si>
  <si>
    <t>Penthalaz</t>
  </si>
  <si>
    <t>Penthaz</t>
  </si>
  <si>
    <t>Pompaples</t>
  </si>
  <si>
    <t>La Sarraz</t>
  </si>
  <si>
    <t>Senarclens</t>
  </si>
  <si>
    <t>Sévery</t>
  </si>
  <si>
    <t>Sullens</t>
  </si>
  <si>
    <t>Vufflens-la-Ville</t>
  </si>
  <si>
    <t>Assens</t>
  </si>
  <si>
    <t>Bercher</t>
  </si>
  <si>
    <t>Bioley-Orjulaz</t>
  </si>
  <si>
    <t>Bottens</t>
  </si>
  <si>
    <t>Bretigny-sur-Morrens</t>
  </si>
  <si>
    <t>Cugy</t>
  </si>
  <si>
    <t>Echallens</t>
  </si>
  <si>
    <t>Essertines-sur-Yverdon</t>
  </si>
  <si>
    <t>Etagnières</t>
  </si>
  <si>
    <t>Fey</t>
  </si>
  <si>
    <t>Froideville</t>
  </si>
  <si>
    <t>Morrens</t>
  </si>
  <si>
    <t>Oulens-sous-Echallens</t>
  </si>
  <si>
    <t>Pailly</t>
  </si>
  <si>
    <t>Penthéréaz</t>
  </si>
  <si>
    <t>Poliez-Pittet</t>
  </si>
  <si>
    <t>Rueyres</t>
  </si>
  <si>
    <t>Sous-total</t>
  </si>
  <si>
    <t>Frontaliers</t>
  </si>
  <si>
    <t>Successions et donations</t>
  </si>
  <si>
    <t>Droits de mutation</t>
  </si>
  <si>
    <t>Gains immobiliers</t>
  </si>
  <si>
    <t>Villars-sous-Yens</t>
  </si>
  <si>
    <t>Vufflens-le-Château</t>
  </si>
  <si>
    <t>Vullierens</t>
  </si>
  <si>
    <t>Yens</t>
  </si>
  <si>
    <t>Boulens</t>
  </si>
  <si>
    <t>Bussy-sur-Moudon</t>
  </si>
  <si>
    <t>Le Chenit</t>
  </si>
  <si>
    <t>Le Lieu</t>
  </si>
  <si>
    <t>Blonay</t>
  </si>
  <si>
    <t>Chardonne</t>
  </si>
  <si>
    <t>Corseaux</t>
  </si>
  <si>
    <t>Boussens</t>
  </si>
  <si>
    <t>La Chaux (Cossonay)</t>
  </si>
  <si>
    <t>Plafonnement de l'effort</t>
  </si>
  <si>
    <t>Solde net des péréquations</t>
  </si>
  <si>
    <t>Prise en charge dépassement</t>
  </si>
  <si>
    <t>Forêts</t>
  </si>
  <si>
    <t>Dépassement forêts</t>
  </si>
  <si>
    <t>Romanel-sur-Lausanne</t>
  </si>
  <si>
    <t>La Praz</t>
  </si>
  <si>
    <t>Premier</t>
  </si>
  <si>
    <t>Rances</t>
  </si>
  <si>
    <t>Indicateurs financiers</t>
  </si>
  <si>
    <t>Begnins</t>
  </si>
  <si>
    <t>Bogis-Bossey</t>
  </si>
  <si>
    <t>Borex</t>
  </si>
  <si>
    <t>Chavannes-de-Bogis</t>
  </si>
  <si>
    <t>Chavannes-des-Bois</t>
  </si>
  <si>
    <t>Chéserex</t>
  </si>
  <si>
    <t>Coinsins</t>
  </si>
  <si>
    <t>Commugny</t>
  </si>
  <si>
    <t>Coppet</t>
  </si>
  <si>
    <t>Crans-près-Céligny</t>
  </si>
  <si>
    <t>Crassier</t>
  </si>
  <si>
    <t>Duillier</t>
  </si>
  <si>
    <t>Eysins</t>
  </si>
  <si>
    <t>Founex</t>
  </si>
  <si>
    <t>Genolier</t>
  </si>
  <si>
    <t>Gingins</t>
  </si>
  <si>
    <t>Givrins</t>
  </si>
  <si>
    <t>Gland</t>
  </si>
  <si>
    <t>Grens</t>
  </si>
  <si>
    <t>Mies</t>
  </si>
  <si>
    <t>Cottens</t>
  </si>
  <si>
    <t>Cuarnens</t>
  </si>
  <si>
    <t>Daillens</t>
  </si>
  <si>
    <t>Dizy</t>
  </si>
  <si>
    <t>Eclépens</t>
  </si>
  <si>
    <t>Pertes débiteurs</t>
  </si>
  <si>
    <t>Modif. Ant.</t>
  </si>
  <si>
    <t>Imputation forfaitaire</t>
  </si>
  <si>
    <t>Pers. physiques - revenu/fortune corrigé</t>
  </si>
  <si>
    <t>IRF corrrigé</t>
  </si>
  <si>
    <t xml:space="preserve">Pers. physiques - revenu/fortune </t>
  </si>
  <si>
    <t xml:space="preserve">IRF </t>
  </si>
  <si>
    <t>Plafond effort</t>
  </si>
  <si>
    <t>Plafond taux</t>
  </si>
  <si>
    <t>Chavannes-près-Renens</t>
  </si>
  <si>
    <t>Chigny</t>
  </si>
  <si>
    <t>Diff. De taux</t>
  </si>
  <si>
    <t>Impôt spécial affecté</t>
  </si>
  <si>
    <t>Impôt personnel</t>
  </si>
  <si>
    <t>Pers. morales bénéfice / capital</t>
  </si>
  <si>
    <t>Aigle</t>
  </si>
  <si>
    <t>Bex</t>
  </si>
  <si>
    <t>Taux après déduction de l'effort péréquatif</t>
  </si>
  <si>
    <t>Somme des efforts péréquatifs prévus</t>
  </si>
  <si>
    <t>Arnex-sur-Orbe</t>
  </si>
  <si>
    <t>Ballaigues</t>
  </si>
  <si>
    <t>Baulmes</t>
  </si>
  <si>
    <t>Bavois</t>
  </si>
  <si>
    <t>Bofflens</t>
  </si>
  <si>
    <t>Bretonnières</t>
  </si>
  <si>
    <t>Chavornay</t>
  </si>
  <si>
    <t>Les Clées</t>
  </si>
  <si>
    <t>Montagny-près-Yverdon</t>
  </si>
  <si>
    <t>Oppens</t>
  </si>
  <si>
    <t>Orges</t>
  </si>
  <si>
    <t>Ursins</t>
  </si>
  <si>
    <t>Vugelles-La Mothe</t>
  </si>
  <si>
    <t>./. Gestion du fonds</t>
  </si>
  <si>
    <t>Corcelles-le-Jorat</t>
  </si>
  <si>
    <t>Essertes</t>
  </si>
  <si>
    <t>Maracon</t>
  </si>
  <si>
    <t>Montpreveyres</t>
  </si>
  <si>
    <t>Ropraz</t>
  </si>
  <si>
    <t>Servion</t>
  </si>
  <si>
    <t>Mutrux</t>
  </si>
  <si>
    <t>Novalles</t>
  </si>
  <si>
    <t>Onnens</t>
  </si>
  <si>
    <t>Provence</t>
  </si>
  <si>
    <t>Recettes conjoncturelles en pts</t>
  </si>
  <si>
    <t>A répartir selon clé</t>
  </si>
  <si>
    <t>en % de la moyenne</t>
  </si>
  <si>
    <t>Seuil 1</t>
  </si>
  <si>
    <t>Seuil 2</t>
  </si>
  <si>
    <t>Total écrêtage</t>
  </si>
  <si>
    <t>Seuil 0</t>
  </si>
  <si>
    <t>Montant à recevoir</t>
  </si>
  <si>
    <t>Total à recevoir</t>
  </si>
  <si>
    <t>Savigny</t>
  </si>
  <si>
    <t>Chexbres</t>
  </si>
  <si>
    <t>Villars-Epeney</t>
  </si>
  <si>
    <t>Puidoux</t>
  </si>
  <si>
    <t>Bussy-Chardonney</t>
  </si>
  <si>
    <t>Total transports</t>
  </si>
  <si>
    <t>Dépassement transports</t>
  </si>
  <si>
    <t>Population</t>
  </si>
  <si>
    <t>Capacité fiscale totale</t>
  </si>
  <si>
    <t>Montant perçu</t>
  </si>
  <si>
    <t>Bas</t>
  </si>
  <si>
    <t>Seuils de population</t>
  </si>
  <si>
    <t>Haut</t>
  </si>
  <si>
    <t>Montants</t>
  </si>
  <si>
    <t>Compensation brute</t>
  </si>
  <si>
    <t>Reverolle</t>
  </si>
  <si>
    <t>Romanel-sur-Morges</t>
  </si>
  <si>
    <t>Saint-Prex</t>
  </si>
  <si>
    <t>Saint-Sulpice</t>
  </si>
  <si>
    <t>Tolochenaz</t>
  </si>
  <si>
    <t>Vaux-sur-Morges</t>
  </si>
  <si>
    <t>Villars-Sainte-Croix</t>
  </si>
  <si>
    <t>La Rippe</t>
  </si>
  <si>
    <t>Saint-Cergue</t>
  </si>
  <si>
    <t>Signy-Avenex</t>
  </si>
  <si>
    <t>Tannay</t>
  </si>
  <si>
    <t>Trélex</t>
  </si>
  <si>
    <t>Le Vaud</t>
  </si>
  <si>
    <t>Vich</t>
  </si>
  <si>
    <t>L'Abergement</t>
  </si>
  <si>
    <t>Agiez</t>
  </si>
  <si>
    <t>Péréquation directe</t>
  </si>
  <si>
    <t>Routes</t>
  </si>
  <si>
    <t>Transports publics</t>
  </si>
  <si>
    <t>Transports scolaires</t>
  </si>
  <si>
    <t>Croy</t>
  </si>
  <si>
    <t>Juriens</t>
  </si>
  <si>
    <t>Lignerolle</t>
  </si>
  <si>
    <t>Montcherand</t>
  </si>
  <si>
    <t>Orbe</t>
  </si>
  <si>
    <t>Vallorbe</t>
  </si>
  <si>
    <t>Vaulion</t>
  </si>
  <si>
    <t>Vuiteboeuf</t>
  </si>
  <si>
    <t>Effort plafonné</t>
  </si>
  <si>
    <t>Impôts suivant le taux</t>
  </si>
  <si>
    <t>Féchy</t>
  </si>
  <si>
    <t>Gimel</t>
  </si>
  <si>
    <t>Saint-Livres</t>
  </si>
  <si>
    <t>Saint-Oyens</t>
  </si>
  <si>
    <t>Saubraz</t>
  </si>
  <si>
    <t>Avenches</t>
  </si>
  <si>
    <t>Cudrefin</t>
  </si>
  <si>
    <t>Faoug</t>
  </si>
  <si>
    <t>Bettens</t>
  </si>
  <si>
    <t>Bournens</t>
  </si>
  <si>
    <t>% taux communal moyen</t>
  </si>
  <si>
    <t>Compensation nette</t>
  </si>
  <si>
    <t>A recevoir population</t>
  </si>
  <si>
    <t>Total péréquation directe</t>
  </si>
  <si>
    <t>Total éléments divers</t>
  </si>
  <si>
    <t>Effort total net</t>
  </si>
  <si>
    <t xml:space="preserve">Taux actuel </t>
  </si>
  <si>
    <t xml:space="preserve">Solde net actuel
</t>
  </si>
  <si>
    <t xml:space="preserve">Taux </t>
  </si>
  <si>
    <t>Pop.</t>
  </si>
  <si>
    <t>Longirod</t>
  </si>
  <si>
    <t>Marchissy</t>
  </si>
  <si>
    <t>Mollens</t>
  </si>
  <si>
    <t>Montherod</t>
  </si>
  <si>
    <t>Saint-George</t>
  </si>
  <si>
    <t>Total des prises en charges</t>
  </si>
  <si>
    <t>Thématique</t>
  </si>
  <si>
    <t>Effort total</t>
  </si>
  <si>
    <t>Valeur du point</t>
  </si>
  <si>
    <t>Plafonnement en francs</t>
  </si>
  <si>
    <t>Chavannes-le-Veyron</t>
  </si>
  <si>
    <t>Chevilly</t>
  </si>
  <si>
    <t>Cossonay</t>
  </si>
  <si>
    <t>./. Conjoncturelles</t>
  </si>
  <si>
    <t>./. Ecrêtage</t>
  </si>
  <si>
    <t>Paramétrage des critères de péréquation</t>
  </si>
  <si>
    <t>Prise en charge (%)</t>
  </si>
  <si>
    <t>Montants affectés aux plafonnements</t>
  </si>
  <si>
    <t>Seuil max (pts)</t>
  </si>
  <si>
    <t>Impôt sur les étrangers</t>
  </si>
  <si>
    <t>Impôt à la source</t>
  </si>
  <si>
    <t>Pers. morales immeubles</t>
  </si>
  <si>
    <t>Impôt foncier</t>
  </si>
  <si>
    <t>Vulliens</t>
  </si>
  <si>
    <t>Champtauroz</t>
  </si>
  <si>
    <t>Chevroux</t>
  </si>
  <si>
    <t>Belmont-sur-Lausanne</t>
  </si>
  <si>
    <t>Cheseaux-sur-Lausanne</t>
  </si>
  <si>
    <t>Crissier</t>
  </si>
  <si>
    <t>Epalinges</t>
  </si>
  <si>
    <t>Jouxtens-Mézery</t>
  </si>
  <si>
    <t>Mathod</t>
  </si>
  <si>
    <t>Molondin</t>
  </si>
  <si>
    <t>Renens</t>
  </si>
  <si>
    <t>Valeyres-sous-Montagny</t>
  </si>
  <si>
    <t>Valeyres-sous-Ursins</t>
  </si>
  <si>
    <t>Orzens</t>
  </si>
  <si>
    <t>Pomy</t>
  </si>
  <si>
    <t>Rovray</t>
  </si>
  <si>
    <t>Suchy</t>
  </si>
  <si>
    <t>Suscévaz</t>
  </si>
  <si>
    <t>Treycovagnes</t>
  </si>
  <si>
    <t>Aclens</t>
  </si>
  <si>
    <t>Total part communale</t>
  </si>
  <si>
    <t>Répartition selon péréquation</t>
  </si>
  <si>
    <t>Solde péréquation directe</t>
  </si>
  <si>
    <t>Points</t>
  </si>
  <si>
    <t>Seuil 3</t>
  </si>
  <si>
    <t>Effort total sans thématiques</t>
  </si>
  <si>
    <t>Plafonnement aide</t>
  </si>
  <si>
    <t>Pers. physiques - revenu</t>
  </si>
  <si>
    <t xml:space="preserve">Pers. physiques - fortune </t>
  </si>
  <si>
    <t xml:space="preserve">Pers. morales bénéfice </t>
  </si>
  <si>
    <t>Pers. morales  capital</t>
  </si>
  <si>
    <t>Impôt sur la dépense (étrangers)</t>
  </si>
  <si>
    <t>Impôt récupéré après défalcation</t>
  </si>
  <si>
    <t>PPR</t>
  </si>
  <si>
    <t>PPF</t>
  </si>
  <si>
    <t>PMB</t>
  </si>
  <si>
    <t>PMC</t>
  </si>
  <si>
    <t>Montant plafonnement totaux</t>
  </si>
  <si>
    <t xml:space="preserve">Montant prélevé </t>
  </si>
  <si>
    <t xml:space="preserve">./. Plafonnements totaux </t>
  </si>
  <si>
    <t xml:space="preserve">./. Réserve </t>
  </si>
  <si>
    <t>Valeur du point d'impôt écrêté</t>
  </si>
  <si>
    <t>Point d'impôts écrêtés</t>
  </si>
  <si>
    <t>Recettes conjoncturelles (mutations + gains immob + successions)</t>
  </si>
  <si>
    <t>A recevoir solidarité</t>
  </si>
  <si>
    <t>Solde solidarité et population</t>
  </si>
  <si>
    <t>Bourg-en-Lavaux</t>
  </si>
  <si>
    <t>Tévenon</t>
  </si>
  <si>
    <t>Vully-les-Lacs</t>
  </si>
  <si>
    <t>Goumoëns</t>
  </si>
  <si>
    <t>Montilliez</t>
  </si>
  <si>
    <t>Jorat-Menthue</t>
  </si>
  <si>
    <t>Valbroye</t>
  </si>
  <si>
    <t>Oron</t>
  </si>
  <si>
    <t>Prélèvements conjoncturels</t>
  </si>
  <si>
    <t>Facture en points d'impôts écrêtés</t>
  </si>
  <si>
    <t>Plafond de 
taux et de l'effort</t>
  </si>
  <si>
    <t>Variation facture sociale</t>
  </si>
  <si>
    <t>Variation point d'impôt</t>
  </si>
  <si>
    <t>Indexation</t>
  </si>
  <si>
    <t>Plafond aide</t>
  </si>
  <si>
    <t>Bussigny</t>
  </si>
  <si>
    <t>Arzier-Le Muids</t>
  </si>
  <si>
    <t>Montanaire</t>
  </si>
  <si>
    <t>Valeur point impôt écrêtés</t>
  </si>
  <si>
    <t>Dépassement routes</t>
  </si>
  <si>
    <t>Droits mutations, GI, successions et donations</t>
  </si>
  <si>
    <t>Indice IPC au 1er janvier 2010</t>
  </si>
  <si>
    <t>Indice IPC au 30 juin de l'année du décompte</t>
  </si>
  <si>
    <t>Montant à affecter ajusté à l'IPC</t>
  </si>
  <si>
    <t>Population selon FAO</t>
  </si>
  <si>
    <t xml:space="preserve">Rendement des impôts et taxes communaux  (en CHF)   </t>
  </si>
  <si>
    <t>Année de référence</t>
  </si>
  <si>
    <t>Valeur du point communal</t>
  </si>
  <si>
    <t>Péréquation directe - Couche Population</t>
  </si>
  <si>
    <t>Péréquation directe - Couche Solidarité</t>
  </si>
  <si>
    <t>CHF</t>
  </si>
  <si>
    <t>Pts</t>
  </si>
  <si>
    <t>A rendre en CHF</t>
  </si>
  <si>
    <t>Effort péréquatif en points</t>
  </si>
  <si>
    <t>A) Période de calcul</t>
  </si>
  <si>
    <t>B) Prélèvement sur recettes conjoncturelles</t>
  </si>
  <si>
    <t>C) Ecrêtage</t>
  </si>
  <si>
    <t>pour une capacité dépassant</t>
  </si>
  <si>
    <t>D) Couche population</t>
  </si>
  <si>
    <t>Montant à affecter par habitant</t>
  </si>
  <si>
    <t>E) Couche solidarité</t>
  </si>
  <si>
    <t>F) Ecart péréquation horizontale</t>
  </si>
  <si>
    <t>G) Dépenses thématiques</t>
  </si>
  <si>
    <t>Transports, nombre de points</t>
  </si>
  <si>
    <t>Prise en charge maximale</t>
  </si>
  <si>
    <t xml:space="preserve">I) Indexation </t>
  </si>
  <si>
    <t>H) Paramètres de plafonnement en points</t>
  </si>
  <si>
    <t>Impôts théoriques</t>
  </si>
  <si>
    <t>Synthèse en CHF</t>
  </si>
  <si>
    <t>Ecrêtage</t>
  </si>
  <si>
    <t xml:space="preserve">J) Liste des communes A--&gt;Z </t>
  </si>
  <si>
    <t>Recettes conjoncturelles (DM + GI + Succ.)</t>
  </si>
  <si>
    <t>Répartition solde après prélèvements</t>
  </si>
  <si>
    <t>Nombre de points écrêtés</t>
  </si>
  <si>
    <t>Total de la facture sociale</t>
  </si>
  <si>
    <t>Solidarité</t>
  </si>
  <si>
    <t>Transports</t>
  </si>
  <si>
    <t>Plafonnements</t>
  </si>
  <si>
    <t>Aide</t>
  </si>
  <si>
    <t>Taux</t>
  </si>
  <si>
    <t>Total de la péréquation directe</t>
  </si>
  <si>
    <t>Montant à charge de la commune</t>
  </si>
  <si>
    <t>Résumé par commune</t>
  </si>
  <si>
    <t>Communes sans police communale/intercommunale = 0</t>
  </si>
  <si>
    <t>Imp théoriques</t>
  </si>
  <si>
    <t>Facturation de l'Etat au coût réel (Fr/hab) aux communes délégatrices, mais max 2 pts</t>
  </si>
  <si>
    <t>Manco pour l'Etat - à couvrir par la péréquation (en points d'impôts écrêtés)</t>
  </si>
  <si>
    <t>Montant total avec le renchérissement à payer par les communes en pts d'impôts écrêtés</t>
  </si>
  <si>
    <t>Total à charge des communes</t>
  </si>
  <si>
    <t>Réforme policière</t>
  </si>
  <si>
    <t>Financement reçu pour les nouvelles tâches</t>
  </si>
  <si>
    <t>J) Réforme policière</t>
  </si>
  <si>
    <t>Nombre de point</t>
  </si>
  <si>
    <t>Point d'impôt écrêté</t>
  </si>
  <si>
    <t>Charges pour commune sans police</t>
  </si>
  <si>
    <t>Répartition du solde</t>
  </si>
  <si>
    <t>Facture</t>
  </si>
  <si>
    <t>Date population</t>
  </si>
  <si>
    <t>Date taux d'impôt</t>
  </si>
  <si>
    <t>Taux IFO</t>
  </si>
  <si>
    <t>Total de la réforme policière</t>
  </si>
  <si>
    <t>Date plafonnement du taux (N-1)</t>
  </si>
  <si>
    <t>Seuil de population (habitants). Art. 2 DLPIC</t>
  </si>
  <si>
    <t>Selon Art. 3 DLPIC</t>
  </si>
  <si>
    <t>Gestion du fond (montant négatif). Art. 8 DLPIC</t>
  </si>
  <si>
    <t>% prélevé. Art. 4 LPIC</t>
  </si>
  <si>
    <t>Frontaliers. Art. 3 LPIC</t>
  </si>
  <si>
    <t>Forêts, nombre de points. Art. 4 DLPIC</t>
  </si>
  <si>
    <t>x</t>
  </si>
  <si>
    <t>P é r é q u a t i o n   i n d i r e c t e   (facture sociale)</t>
  </si>
  <si>
    <t>P é r é q u a t i o n   d i r e c t e</t>
  </si>
  <si>
    <t>R é f o r m e   p o l i c i è r e</t>
  </si>
  <si>
    <t>T o t a l   p é r é q u a t i o n   d i r e c t e,   i n d i r e c t e   e t   p o l i c e</t>
  </si>
  <si>
    <t>Treytorrens (Payerne)</t>
  </si>
  <si>
    <t>Saint-Légier-La Chiésaz</t>
  </si>
  <si>
    <t>Commune
LDecTer, Etat 01.05.2014</t>
  </si>
  <si>
    <t>Effort péréquatif. Art. 5 DLPIC</t>
  </si>
  <si>
    <t>Dépassement du taux. Art. 6 DLPIC</t>
  </si>
  <si>
    <t>Valeur du point par habitant après écrêtage</t>
  </si>
  <si>
    <t>Année 2018</t>
  </si>
  <si>
    <t>Montant écrêtage pour calculer le point impôt écrêté</t>
  </si>
  <si>
    <t>*Année 2019</t>
  </si>
  <si>
    <t>* Cela équivaut à la suppression du point d'impôt écrêté</t>
  </si>
  <si>
    <t>- Changement des taux</t>
  </si>
  <si>
    <t>- Rajout palier entre 100 et 120 %</t>
  </si>
  <si>
    <t>Pour mémoire, dès 2019</t>
  </si>
  <si>
    <t>La rémunération passe de 
100 à 125 pour la 1ère tranche</t>
  </si>
  <si>
    <t>*Max. selon art. 4 DLPIC</t>
  </si>
  <si>
    <t>* Dès 2019, le plafond passera de 4 à 4.5</t>
  </si>
  <si>
    <t>Jorat-Mézières</t>
  </si>
  <si>
    <t>Total des prises en charges pour plfd aide</t>
  </si>
  <si>
    <t>Situation N-1 (plafond de l'effort)</t>
  </si>
  <si>
    <t>Situation N-1 (plafond du taux)</t>
  </si>
  <si>
    <t>selon article 13 DLPIC ramené à 45 pour les années 2018 et 2019</t>
  </si>
  <si>
    <t>Patentes tabacs</t>
  </si>
  <si>
    <t>Patentes diverses</t>
  </si>
  <si>
    <t>Chiens</t>
  </si>
  <si>
    <t>Divertissements</t>
  </si>
  <si>
    <t>Divers</t>
  </si>
  <si>
    <t>IPA</t>
  </si>
  <si>
    <t>ICH</t>
  </si>
  <si>
    <t>IDI</t>
  </si>
  <si>
    <t>IDV</t>
  </si>
  <si>
    <t>Taxe épuration</t>
  </si>
  <si>
    <t>Taxe compl. Epuration</t>
  </si>
  <si>
    <t>Taxe annuelle Epuration</t>
  </si>
  <si>
    <t>Taxe annuelle encaissée par une association</t>
  </si>
  <si>
    <t>Ordures</t>
  </si>
  <si>
    <t>Taxe eau</t>
  </si>
  <si>
    <t>Taxe compl. Eau</t>
  </si>
  <si>
    <t>Pompiers</t>
  </si>
  <si>
    <t>Taxe communale de séjour</t>
  </si>
  <si>
    <t>Taxe pour l'usage du sol</t>
  </si>
  <si>
    <t>taxe pour l'éclairage public</t>
  </si>
  <si>
    <t>Taxe pour l'amélioration énergétique</t>
  </si>
  <si>
    <t>Taxe pour le développement durable</t>
  </si>
  <si>
    <t>Total taxes</t>
  </si>
  <si>
    <t>Taxegout</t>
  </si>
  <si>
    <t>Taxcegou</t>
  </si>
  <si>
    <t>Taxaneg</t>
  </si>
  <si>
    <t>Taxenc</t>
  </si>
  <si>
    <t>Ordure</t>
  </si>
  <si>
    <t>Taxeau</t>
  </si>
  <si>
    <t>Taxceau</t>
  </si>
  <si>
    <t>Pompier</t>
  </si>
  <si>
    <t>Taxcomse</t>
  </si>
  <si>
    <t>Tot. taxes</t>
  </si>
  <si>
    <t>Patentes</t>
  </si>
  <si>
    <t>Taxe egoûts</t>
  </si>
  <si>
    <t>Taxe compl. Égoûts</t>
  </si>
  <si>
    <t>Taxe annuelle égoûts</t>
  </si>
  <si>
    <t>Taxe annuelle compl égoûts (association)</t>
  </si>
  <si>
    <t>Taxe compl. eau</t>
  </si>
  <si>
    <t>Facture sociale selon comptes 2017</t>
  </si>
  <si>
    <t>Valeur du point d'impôt communal selon comptes 2017</t>
  </si>
  <si>
    <t>I m p ô t s   c o m m u n a u x</t>
  </si>
  <si>
    <t>Remarques/corrections</t>
  </si>
  <si>
    <t>Impôt sur le revenu PP</t>
  </si>
  <si>
    <t>Impôt sur la fortune PP</t>
  </si>
  <si>
    <t>Impôt personnel fixe</t>
  </si>
  <si>
    <t>Impôt sur le bénéfice PM</t>
  </si>
  <si>
    <t>Impôt sur le capital PM</t>
  </si>
  <si>
    <t>Impôt sur la dépense (anc. Spécial étranger)</t>
  </si>
  <si>
    <t>Impôt complémentaire sur immeubles PM</t>
  </si>
  <si>
    <t>Impôt foncier (non normalisé)</t>
  </si>
  <si>
    <t>Sous-total impôts</t>
  </si>
  <si>
    <r>
      <t>4411</t>
    </r>
    <r>
      <rPr>
        <sz val="10"/>
        <color indexed="9"/>
        <rFont val="Calibri"/>
        <family val="2"/>
        <scheme val="minor"/>
      </rPr>
      <t xml:space="preserve"> (a)</t>
    </r>
  </si>
  <si>
    <t>Impôt sur les frontaliers</t>
  </si>
  <si>
    <t>Impôt sur les successions et donations</t>
  </si>
  <si>
    <t>Impôt sur les gains immobiliers</t>
  </si>
  <si>
    <t>Impôt sur les chiens</t>
  </si>
  <si>
    <t>Impôt sur les divertissements</t>
  </si>
  <si>
    <t>Impôts divers</t>
  </si>
  <si>
    <t>Total des impôts</t>
  </si>
  <si>
    <t>T a x e s   c o m m u n a l e s</t>
  </si>
  <si>
    <t>Taxe de raccordement épuration</t>
  </si>
  <si>
    <t>Taxe raccordement complé. Épuration</t>
  </si>
  <si>
    <t>Taxe annuelle épuration</t>
  </si>
  <si>
    <t>Taxes annuelles déchets</t>
  </si>
  <si>
    <t>Taxe raccordement eau</t>
  </si>
  <si>
    <t>Taxe raccordement compl. Eau</t>
  </si>
  <si>
    <t>Taxe non-pompier</t>
  </si>
  <si>
    <t>Taxe pour l'éclairage public</t>
  </si>
  <si>
    <t>Total des taxes</t>
  </si>
  <si>
    <t>3301/319</t>
  </si>
  <si>
    <t>Pertes sur débiteurs (défalcations/remises)</t>
  </si>
  <si>
    <t>Modifications de taxations antérieures</t>
  </si>
  <si>
    <t>A u t r e s   i n f o r m a t i o n s</t>
  </si>
  <si>
    <t>Nous confirmons l'exactitude et la validité de ces montants. Ils correspondent aux chiffres que nous (commune) vous avons communiqué précédemment. Nous confirmons également l'exactitude des informations supplémentaires relatives aux taux d'imposition ainsi qu'à la population. Ces données seront utilisées pour le calcul du décompte final de la péréquation 2016.</t>
  </si>
  <si>
    <t>La Syndique/Le Syndic</t>
  </si>
  <si>
    <t>La Secrétaire Municipale/Le Secrétaire Municipal</t>
  </si>
  <si>
    <t>Signatures</t>
  </si>
  <si>
    <t>Prénoms/noms</t>
  </si>
  <si>
    <t>Totaux</t>
  </si>
  <si>
    <t>Acomptes*</t>
  </si>
  <si>
    <t>Décomptes</t>
  </si>
  <si>
    <t>Soldes</t>
  </si>
  <si>
    <t>(+ à payer / - à recevoir)</t>
  </si>
  <si>
    <t>*montants selon le fichier des acomptes initiaux adoptés par la COPAR. Ne tient pas compte des arrangements survenus en cours d'année. Les factures, respectivement les remboursements, seront gérés par les services directement concernés à savoir :
- pour la facture sociale, par le département de la santé et de l'action sociale ;
- pour la péréquation directe, par le service des communes et du logement ;
- pour la réforme policière, par la police cantonale.</t>
  </si>
  <si>
    <t>Communes</t>
  </si>
  <si>
    <t>Péréquation horizontale</t>
  </si>
  <si>
    <t>Acomptes</t>
  </si>
  <si>
    <t>Décompte</t>
  </si>
  <si>
    <t>Différences</t>
  </si>
  <si>
    <t>Différence</t>
  </si>
  <si>
    <t>Effort</t>
  </si>
  <si>
    <t>Total net</t>
  </si>
  <si>
    <t>S y n t h è s e   e n   C H F</t>
  </si>
  <si>
    <t>Coût réel en CHF</t>
  </si>
  <si>
    <t>Taux maximum plafonné. Art. 6 DLPIC</t>
  </si>
  <si>
    <t>Facture sociale selon comptes 2018</t>
  </si>
  <si>
    <t>Valeur du point d'impôt communal selon comptes 2018</t>
  </si>
  <si>
    <t/>
  </si>
  <si>
    <t>Rendement impôts communaux et taxes - 2018</t>
  </si>
  <si>
    <t>Taux d'imposition 2018</t>
  </si>
  <si>
    <t>Taux impôt foncier 2018 en 0/00</t>
  </si>
  <si>
    <t>Population au 31.12.2018 selon FAO en nb d'habitants</t>
  </si>
  <si>
    <t>Décompte 2018 vs. Acomptes 2018</t>
  </si>
  <si>
    <t>Différence 
à
 compenser</t>
  </si>
  <si>
    <t xml:space="preserve">Année 2019 : </t>
  </si>
  <si>
    <t>Effort maximum plafonné. Art. 13 DLPIC</t>
  </si>
  <si>
    <t>Aide maximale plafonnée. Art. 12 DLPIC</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</si>
</sst>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43" formatCode="_-* #,##0.00\ _C_H_F_-;\-* #,##0.00\ _C_H_F_-;_-* &quot;-&quot;??\ _C_H_F_-;_-@_-"/>
    <numFmt numFmtId="164" formatCode="_ * #,##0.00_ ;_ * \-#,##0.00_ ;_ * &quot;-&quot;??_ ;_ @_ "/>
    <numFmt numFmtId="165" formatCode="_-* #,##0.00_-;\-* #,##0.00_-;_-* &quot;-&quot;??_-;_-@_-"/>
    <numFmt numFmtId="166" formatCode="#\ ###\ ###\ ##0"/>
    <numFmt numFmtId="167" formatCode="#,##0.0"/>
    <numFmt numFmtId="168" formatCode="0.0%"/>
    <numFmt numFmtId="169" formatCode="#\ ###\ ##0"/>
    <numFmt numFmtId="170" formatCode="0.000"/>
    <numFmt numFmtId="171" formatCode="#,##0.000"/>
    <numFmt numFmtId="172" formatCode="#,##0;\-#,##0;"/>
    <numFmt numFmtId="173" formatCode="#,##0.000000"/>
    <numFmt numFmtId="174" formatCode="0.0000"/>
    <numFmt numFmtId="175" formatCode="_-* #,##0_-;\-* #,##0_-;_-* &quot;-&quot;??_-;_-@_-"/>
    <numFmt numFmtId="176" formatCode="_ * #,##0_ ;_ * \-#,##0_ ;_ * &quot;-&quot;??_ ;_ @_ "/>
    <numFmt numFmtId="177" formatCode="_-* #,##0.0_-;\-* #,##0.0_-;_-* &quot;-&quot;??_-;_-@_-"/>
    <numFmt numFmtId="178" formatCode="_ * #,##0.000_ ;_ * \-#,##0.000_ ;_ * &quot;-&quot;??_ ;_ @_ "/>
    <numFmt numFmtId="179" formatCode="_-* #,##0.000_-;\-* #,##0.000_-;_-* &quot;-&quot;??_-;_-@_-"/>
    <numFmt numFmtId="180" formatCode="0_ ;\-0\ "/>
    <numFmt numFmtId="181" formatCode="[$-F800]dddd\,\ mmmm\ dd\,\ yyyy"/>
    <numFmt numFmtId="182" formatCode="[$-100C]d\ mmm\ yy;@"/>
  </numFmts>
  <fonts count="43" x14ac:knownFonts="1">
    <font>
      <sz val="10"/>
      <name val="Verdana"/>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Verdana"/>
      <family val="2"/>
    </font>
    <font>
      <sz val="10"/>
      <name val="Arial Narrow"/>
      <family val="2"/>
    </font>
    <font>
      <sz val="10"/>
      <name val="Arial"/>
      <family val="2"/>
    </font>
    <font>
      <sz val="8"/>
      <name val="Verdana"/>
      <family val="2"/>
    </font>
    <font>
      <sz val="10"/>
      <color indexed="8"/>
      <name val="Arial"/>
      <family val="2"/>
    </font>
    <font>
      <sz val="10"/>
      <name val="Times New Roman"/>
      <family val="1"/>
    </font>
    <font>
      <sz val="14"/>
      <name val="Times New Roman"/>
      <family val="1"/>
    </font>
    <font>
      <sz val="10"/>
      <name val="MS Sans Serif"/>
      <family val="2"/>
    </font>
    <font>
      <sz val="11"/>
      <color theme="1"/>
      <name val="Calibri"/>
      <family val="2"/>
      <scheme val="minor"/>
    </font>
    <font>
      <sz val="11"/>
      <color theme="0"/>
      <name val="Calibri"/>
      <family val="2"/>
      <scheme val="minor"/>
    </font>
    <font>
      <sz val="11"/>
      <name val="Calibri"/>
      <family val="2"/>
      <scheme val="minor"/>
    </font>
    <font>
      <i/>
      <sz val="11"/>
      <name val="Calibri"/>
      <family val="2"/>
      <scheme val="minor"/>
    </font>
    <font>
      <sz val="16"/>
      <name val="Calibri"/>
      <family val="2"/>
      <scheme val="minor"/>
    </font>
    <font>
      <b/>
      <sz val="11"/>
      <name val="Calibri"/>
      <family val="2"/>
      <scheme val="minor"/>
    </font>
    <font>
      <sz val="11"/>
      <color indexed="10"/>
      <name val="Calibri"/>
      <family val="2"/>
      <scheme val="minor"/>
    </font>
    <font>
      <sz val="11"/>
      <color indexed="8"/>
      <name val="Calibri"/>
      <family val="2"/>
      <scheme val="minor"/>
    </font>
    <font>
      <sz val="24"/>
      <name val="Calibri"/>
      <family val="2"/>
      <scheme val="minor"/>
    </font>
    <font>
      <sz val="20"/>
      <name val="Calibri"/>
      <family val="2"/>
      <scheme val="minor"/>
    </font>
    <font>
      <sz val="20"/>
      <color theme="0"/>
      <name val="Calibri"/>
      <family val="2"/>
      <scheme val="minor"/>
    </font>
    <font>
      <sz val="10"/>
      <name val="Arial"/>
      <family val="2"/>
    </font>
    <font>
      <sz val="10"/>
      <name val="Calibri"/>
      <family val="2"/>
      <scheme val="minor"/>
    </font>
    <font>
      <sz val="12"/>
      <color theme="0"/>
      <name val="Trebuchet MS"/>
      <family val="2"/>
    </font>
    <font>
      <b/>
      <sz val="10"/>
      <name val="Calibri"/>
      <family val="2"/>
      <scheme val="minor"/>
    </font>
    <font>
      <sz val="14"/>
      <name val="Trebuchet MS"/>
      <family val="2"/>
    </font>
    <font>
      <sz val="11"/>
      <color theme="0"/>
      <name val="Calibri"/>
      <family val="2"/>
    </font>
    <font>
      <sz val="11"/>
      <name val="Calibri"/>
      <family val="2"/>
    </font>
    <font>
      <i/>
      <sz val="11"/>
      <name val="Calibri"/>
      <family val="2"/>
    </font>
    <font>
      <b/>
      <sz val="11"/>
      <color theme="0"/>
      <name val="Calibri"/>
      <family val="2"/>
      <scheme val="minor"/>
    </font>
    <font>
      <sz val="18"/>
      <name val="Calibri"/>
      <family val="2"/>
      <scheme val="minor"/>
    </font>
    <font>
      <sz val="10"/>
      <color indexed="8"/>
      <name val="Calibri"/>
      <family val="2"/>
      <scheme val="minor"/>
    </font>
    <font>
      <b/>
      <sz val="10"/>
      <color indexed="8"/>
      <name val="Calibri"/>
      <family val="2"/>
      <scheme val="minor"/>
    </font>
    <font>
      <sz val="10"/>
      <color theme="0"/>
      <name val="Calibri"/>
      <family val="2"/>
      <scheme val="minor"/>
    </font>
    <font>
      <sz val="10"/>
      <color indexed="9"/>
      <name val="Calibri"/>
      <family val="2"/>
      <scheme val="minor"/>
    </font>
    <font>
      <i/>
      <sz val="8"/>
      <name val="Calibri"/>
      <family val="2"/>
      <scheme val="minor"/>
    </font>
    <font>
      <sz val="8"/>
      <name val="Calibri"/>
      <family val="2"/>
      <scheme val="minor"/>
    </font>
    <font>
      <sz val="9"/>
      <name val="Calibri"/>
      <family val="2"/>
      <scheme val="minor"/>
    </font>
  </fonts>
  <fills count="14">
    <fill>
      <patternFill patternType="none"/>
    </fill>
    <fill>
      <patternFill patternType="gray125"/>
    </fill>
    <fill>
      <patternFill patternType="solid">
        <fgColor indexed="22"/>
        <bgColor indexed="64"/>
      </patternFill>
    </fill>
    <fill>
      <patternFill patternType="solid">
        <fgColor theme="0" tint="-0.249977111117893"/>
        <bgColor indexed="64"/>
      </patternFill>
    </fill>
    <fill>
      <patternFill patternType="solid">
        <fgColor theme="0"/>
        <bgColor indexed="64"/>
      </patternFill>
    </fill>
    <fill>
      <patternFill patternType="solid">
        <fgColor rgb="FF92D050"/>
        <bgColor indexed="64"/>
      </patternFill>
    </fill>
    <fill>
      <patternFill patternType="solid">
        <fgColor rgb="FF00B050"/>
        <bgColor indexed="64"/>
      </patternFill>
    </fill>
    <fill>
      <patternFill patternType="solid">
        <fgColor rgb="FFFFC000"/>
        <bgColor indexed="64"/>
      </patternFill>
    </fill>
    <fill>
      <patternFill patternType="solid">
        <fgColor theme="3" tint="0.59999389629810485"/>
        <bgColor indexed="64"/>
      </patternFill>
    </fill>
    <fill>
      <patternFill patternType="solid">
        <fgColor rgb="FF002060"/>
        <bgColor indexed="64"/>
      </patternFill>
    </fill>
    <fill>
      <patternFill patternType="solid">
        <fgColor rgb="FFFFFF00"/>
        <bgColor indexed="64"/>
      </patternFill>
    </fill>
    <fill>
      <patternFill patternType="solid">
        <fgColor theme="6" tint="0.39997558519241921"/>
        <bgColor indexed="64"/>
      </patternFill>
    </fill>
    <fill>
      <patternFill patternType="solid">
        <fgColor theme="6" tint="0.59999389629810485"/>
        <bgColor indexed="64"/>
      </patternFill>
    </fill>
    <fill>
      <patternFill patternType="solid">
        <fgColor theme="0" tint="-0.14999847407452621"/>
        <bgColor indexed="64"/>
      </patternFill>
    </fill>
  </fills>
  <borders count="24">
    <border>
      <left/>
      <right/>
      <top/>
      <bottom/>
      <diagonal/>
    </border>
    <border>
      <left/>
      <right/>
      <top style="medium">
        <color indexed="64"/>
      </top>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
      <left/>
      <right/>
      <top/>
      <bottom style="hair">
        <color indexed="64"/>
      </bottom>
      <diagonal/>
    </border>
    <border>
      <left/>
      <right style="thin">
        <color theme="0"/>
      </right>
      <top/>
      <bottom style="thin">
        <color theme="0"/>
      </bottom>
      <diagonal/>
    </border>
    <border>
      <left/>
      <right/>
      <top/>
      <bottom style="thin">
        <color theme="0"/>
      </bottom>
      <diagonal/>
    </border>
    <border>
      <left/>
      <right style="thin">
        <color theme="0"/>
      </right>
      <top/>
      <bottom/>
      <diagonal/>
    </border>
    <border>
      <left style="thin">
        <color theme="0"/>
      </left>
      <right style="thin">
        <color theme="0"/>
      </right>
      <top/>
      <bottom style="thin">
        <color indexed="64"/>
      </bottom>
      <diagonal/>
    </border>
    <border>
      <left/>
      <right style="thin">
        <color theme="0"/>
      </right>
      <top/>
      <bottom style="thin">
        <color indexed="64"/>
      </bottom>
      <diagonal/>
    </border>
  </borders>
  <cellStyleXfs count="37">
    <xf numFmtId="0" fontId="0" fillId="0" borderId="0"/>
    <xf numFmtId="0" fontId="12" fillId="0" borderId="1"/>
    <xf numFmtId="0" fontId="13" fillId="0" borderId="0"/>
    <xf numFmtId="0" fontId="12" fillId="0" borderId="2">
      <alignment vertical="top"/>
    </xf>
    <xf numFmtId="165" fontId="7" fillId="0" borderId="0" applyFont="0" applyFill="0" applyBorder="0" applyAlignment="0" applyProtection="0"/>
    <xf numFmtId="164" fontId="9" fillId="0" borderId="0" applyFont="0" applyFill="0" applyBorder="0" applyAlignment="0" applyProtection="0"/>
    <xf numFmtId="164" fontId="15" fillId="0" borderId="0" applyFont="0" applyFill="0" applyBorder="0" applyAlignment="0" applyProtection="0"/>
    <xf numFmtId="0" fontId="14" fillId="0" borderId="0"/>
    <xf numFmtId="0" fontId="11" fillId="0" borderId="0"/>
    <xf numFmtId="0" fontId="9" fillId="0" borderId="0"/>
    <xf numFmtId="0" fontId="15" fillId="0" borderId="0"/>
    <xf numFmtId="0" fontId="8" fillId="0" borderId="0"/>
    <xf numFmtId="9" fontId="7" fillId="0" borderId="0" applyFont="0" applyFill="0" applyBorder="0" applyAlignment="0" applyProtection="0"/>
    <xf numFmtId="9" fontId="9" fillId="0" borderId="0" applyFont="0" applyFill="0" applyBorder="0" applyAlignment="0" applyProtection="0"/>
    <xf numFmtId="164" fontId="26" fillId="0" borderId="0" applyFont="0" applyFill="0" applyBorder="0" applyAlignment="0" applyProtection="0"/>
    <xf numFmtId="0" fontId="26" fillId="0" borderId="0"/>
    <xf numFmtId="164" fontId="4" fillId="0" borderId="0" applyFont="0" applyFill="0" applyBorder="0" applyAlignment="0" applyProtection="0"/>
    <xf numFmtId="0" fontId="4" fillId="0" borderId="0"/>
    <xf numFmtId="0" fontId="7" fillId="0" borderId="0"/>
    <xf numFmtId="0" fontId="11" fillId="0" borderId="0">
      <alignment vertical="top"/>
    </xf>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9" fillId="0" borderId="0" applyFont="0" applyFill="0" applyBorder="0" applyAlignment="0" applyProtection="0"/>
    <xf numFmtId="0" fontId="3" fillId="0" borderId="0"/>
    <xf numFmtId="0" fontId="3" fillId="0" borderId="0"/>
    <xf numFmtId="0" fontId="3" fillId="0" borderId="0"/>
    <xf numFmtId="0" fontId="3" fillId="0" borderId="0"/>
    <xf numFmtId="0" fontId="9" fillId="0" borderId="0"/>
    <xf numFmtId="43" fontId="2" fillId="0" borderId="0" applyFont="0" applyFill="0" applyBorder="0" applyAlignment="0" applyProtection="0"/>
    <xf numFmtId="0" fontId="9" fillId="0" borderId="0"/>
    <xf numFmtId="0" fontId="9"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cellStyleXfs>
  <cellXfs count="592">
    <xf numFmtId="0" fontId="0" fillId="0" borderId="0" xfId="0"/>
    <xf numFmtId="175" fontId="17" fillId="0" borderId="0" xfId="4" applyNumberFormat="1" applyFont="1" applyFill="1" applyBorder="1"/>
    <xf numFmtId="175" fontId="17" fillId="3" borderId="5" xfId="4" applyNumberFormat="1" applyFont="1" applyFill="1" applyBorder="1"/>
    <xf numFmtId="0" fontId="17" fillId="4" borderId="0" xfId="0" applyNumberFormat="1" applyFont="1" applyFill="1" applyAlignment="1">
      <alignment horizontal="left"/>
    </xf>
    <xf numFmtId="0" fontId="17" fillId="4" borderId="0" xfId="0" applyNumberFormat="1" applyFont="1" applyFill="1" applyAlignment="1">
      <alignment horizontal="center"/>
    </xf>
    <xf numFmtId="175" fontId="17" fillId="4" borderId="0" xfId="4" applyNumberFormat="1" applyFont="1" applyFill="1" applyAlignment="1">
      <alignment horizontal="center"/>
    </xf>
    <xf numFmtId="175" fontId="17" fillId="4" borderId="0" xfId="4" applyNumberFormat="1" applyFont="1" applyFill="1"/>
    <xf numFmtId="0" fontId="17" fillId="4" borderId="14" xfId="0" applyNumberFormat="1" applyFont="1" applyFill="1" applyBorder="1" applyAlignment="1">
      <alignment horizontal="center"/>
    </xf>
    <xf numFmtId="0" fontId="17" fillId="4" borderId="5" xfId="0" applyNumberFormat="1" applyFont="1" applyFill="1" applyBorder="1" applyAlignment="1">
      <alignment horizontal="center"/>
    </xf>
    <xf numFmtId="3" fontId="17" fillId="4" borderId="9" xfId="0" applyNumberFormat="1" applyFont="1" applyFill="1" applyBorder="1"/>
    <xf numFmtId="175" fontId="17" fillId="4" borderId="5" xfId="4" applyNumberFormat="1" applyFont="1" applyFill="1" applyBorder="1"/>
    <xf numFmtId="175" fontId="17" fillId="4" borderId="14" xfId="4" applyNumberFormat="1" applyFont="1" applyFill="1" applyBorder="1"/>
    <xf numFmtId="3" fontId="17" fillId="4" borderId="0" xfId="0" applyNumberFormat="1" applyFont="1" applyFill="1"/>
    <xf numFmtId="0" fontId="17" fillId="4" borderId="0" xfId="0" applyFont="1" applyFill="1"/>
    <xf numFmtId="175" fontId="17" fillId="4" borderId="0" xfId="4" applyNumberFormat="1" applyFont="1" applyFill="1" applyBorder="1"/>
    <xf numFmtId="165" fontId="17" fillId="4" borderId="0" xfId="4" applyFont="1" applyFill="1"/>
    <xf numFmtId="0" fontId="17" fillId="4" borderId="0" xfId="0" applyFont="1" applyFill="1" applyAlignment="1">
      <alignment vertical="top" wrapText="1"/>
    </xf>
    <xf numFmtId="165" fontId="17" fillId="4" borderId="5" xfId="4" applyFont="1" applyFill="1" applyBorder="1" applyAlignment="1">
      <alignment horizontal="center"/>
    </xf>
    <xf numFmtId="165" fontId="17" fillId="4" borderId="0" xfId="0" applyNumberFormat="1" applyFont="1" applyFill="1"/>
    <xf numFmtId="175" fontId="17" fillId="4" borderId="3" xfId="4" applyNumberFormat="1" applyFont="1" applyFill="1" applyBorder="1"/>
    <xf numFmtId="165" fontId="17" fillId="4" borderId="14" xfId="4" applyFont="1" applyFill="1" applyBorder="1"/>
    <xf numFmtId="175" fontId="16" fillId="6" borderId="14" xfId="4" applyNumberFormat="1" applyFont="1" applyFill="1" applyBorder="1" applyAlignment="1">
      <alignment horizontal="center"/>
    </xf>
    <xf numFmtId="166" fontId="16" fillId="6" borderId="14" xfId="0" applyNumberFormat="1" applyFont="1" applyFill="1" applyBorder="1" applyAlignment="1">
      <alignment horizontal="center"/>
    </xf>
    <xf numFmtId="0" fontId="17" fillId="4" borderId="0" xfId="0" applyFont="1" applyFill="1" applyAlignment="1">
      <alignment horizontal="center"/>
    </xf>
    <xf numFmtId="14" fontId="16" fillId="6" borderId="14" xfId="0" applyNumberFormat="1" applyFont="1" applyFill="1" applyBorder="1" applyAlignment="1">
      <alignment horizontal="center"/>
    </xf>
    <xf numFmtId="166" fontId="17" fillId="4" borderId="17" xfId="0" applyNumberFormat="1" applyFont="1" applyFill="1" applyBorder="1" applyAlignment="1">
      <alignment horizontal="center"/>
    </xf>
    <xf numFmtId="0" fontId="19" fillId="4" borderId="0" xfId="0" applyNumberFormat="1" applyFont="1" applyFill="1" applyAlignment="1">
      <alignment horizontal="left"/>
    </xf>
    <xf numFmtId="0" fontId="19" fillId="4" borderId="0" xfId="0" applyNumberFormat="1" applyFont="1" applyFill="1" applyAlignment="1">
      <alignment horizontal="center"/>
    </xf>
    <xf numFmtId="0" fontId="18" fillId="4" borderId="0" xfId="0" applyFont="1" applyFill="1"/>
    <xf numFmtId="4" fontId="17" fillId="4" borderId="0" xfId="0" applyNumberFormat="1" applyFont="1" applyFill="1"/>
    <xf numFmtId="166" fontId="17" fillId="4" borderId="0" xfId="0" applyNumberFormat="1" applyFont="1" applyFill="1" applyAlignment="1">
      <alignment horizontal="left"/>
    </xf>
    <xf numFmtId="0" fontId="17" fillId="4" borderId="14" xfId="0" applyFont="1" applyFill="1" applyBorder="1"/>
    <xf numFmtId="175" fontId="17" fillId="4" borderId="11" xfId="4" applyNumberFormat="1" applyFont="1" applyFill="1" applyBorder="1"/>
    <xf numFmtId="3" fontId="17" fillId="4" borderId="5" xfId="0" applyNumberFormat="1" applyFont="1" applyFill="1" applyBorder="1"/>
    <xf numFmtId="165" fontId="17" fillId="4" borderId="5" xfId="4" applyFont="1" applyFill="1" applyBorder="1"/>
    <xf numFmtId="2" fontId="17" fillId="4" borderId="5" xfId="0" applyNumberFormat="1" applyFont="1" applyFill="1" applyBorder="1"/>
    <xf numFmtId="2" fontId="17" fillId="4" borderId="14" xfId="0" applyNumberFormat="1" applyFont="1" applyFill="1" applyBorder="1"/>
    <xf numFmtId="175" fontId="17" fillId="4" borderId="0" xfId="0" applyNumberFormat="1" applyFont="1" applyFill="1"/>
    <xf numFmtId="175" fontId="17" fillId="5" borderId="14" xfId="4" applyNumberFormat="1" applyFont="1" applyFill="1" applyBorder="1"/>
    <xf numFmtId="175" fontId="17" fillId="3" borderId="14" xfId="4" applyNumberFormat="1" applyFont="1" applyFill="1" applyBorder="1"/>
    <xf numFmtId="3" fontId="16" fillId="6" borderId="14" xfId="0" applyNumberFormat="1" applyFont="1" applyFill="1" applyBorder="1" applyAlignment="1">
      <alignment horizontal="center"/>
    </xf>
    <xf numFmtId="0" fontId="16" fillId="6" borderId="14" xfId="0" applyNumberFormat="1" applyFont="1" applyFill="1" applyBorder="1" applyAlignment="1">
      <alignment horizontal="center"/>
    </xf>
    <xf numFmtId="175" fontId="17" fillId="4" borderId="9" xfId="4" applyNumberFormat="1" applyFont="1" applyFill="1" applyBorder="1"/>
    <xf numFmtId="3" fontId="17" fillId="4" borderId="0" xfId="11" applyNumberFormat="1" applyFont="1" applyFill="1" applyAlignment="1">
      <alignment vertical="center"/>
    </xf>
    <xf numFmtId="0" fontId="17" fillId="4" borderId="0" xfId="11" applyFont="1" applyFill="1" applyAlignment="1">
      <alignment vertical="center"/>
    </xf>
    <xf numFmtId="175" fontId="17" fillId="4" borderId="0" xfId="4" applyNumberFormat="1" applyFont="1" applyFill="1" applyAlignment="1">
      <alignment vertical="center"/>
    </xf>
    <xf numFmtId="0" fontId="17" fillId="4" borderId="0" xfId="0" applyFont="1" applyFill="1" applyBorder="1"/>
    <xf numFmtId="0" fontId="17" fillId="4" borderId="4" xfId="0" applyFont="1" applyFill="1" applyBorder="1" applyAlignment="1">
      <alignment horizontal="center"/>
    </xf>
    <xf numFmtId="167" fontId="17" fillId="4" borderId="0" xfId="0" applyNumberFormat="1" applyFont="1" applyFill="1"/>
    <xf numFmtId="0" fontId="17" fillId="4" borderId="0" xfId="0" quotePrefix="1" applyFont="1" applyFill="1"/>
    <xf numFmtId="0" fontId="17" fillId="4" borderId="5" xfId="0" applyFont="1" applyFill="1" applyBorder="1" applyAlignment="1">
      <alignment horizontal="center"/>
    </xf>
    <xf numFmtId="0" fontId="17" fillId="4" borderId="3" xfId="0" applyFont="1" applyFill="1" applyBorder="1" applyAlignment="1">
      <alignment horizontal="center"/>
    </xf>
    <xf numFmtId="1" fontId="19" fillId="4" borderId="0" xfId="11" applyNumberFormat="1" applyFont="1" applyFill="1" applyAlignment="1">
      <alignment horizontal="left" vertical="center"/>
    </xf>
    <xf numFmtId="4" fontId="17" fillId="4" borderId="0" xfId="11" applyNumberFormat="1" applyFont="1" applyFill="1" applyAlignment="1">
      <alignment vertical="center"/>
    </xf>
    <xf numFmtId="0" fontId="18" fillId="4" borderId="0" xfId="11" applyFont="1" applyFill="1"/>
    <xf numFmtId="175" fontId="17" fillId="4" borderId="4" xfId="4" applyNumberFormat="1" applyFont="1" applyFill="1" applyBorder="1"/>
    <xf numFmtId="0" fontId="17" fillId="4" borderId="4" xfId="0" applyFont="1" applyFill="1" applyBorder="1" applyAlignment="1">
      <alignment horizontal="left"/>
    </xf>
    <xf numFmtId="0" fontId="17" fillId="4" borderId="5" xfId="0" applyFont="1" applyFill="1" applyBorder="1" applyAlignment="1">
      <alignment horizontal="left"/>
    </xf>
    <xf numFmtId="175" fontId="17" fillId="5" borderId="5" xfId="4" applyNumberFormat="1" applyFont="1" applyFill="1" applyBorder="1"/>
    <xf numFmtId="166" fontId="17" fillId="4" borderId="10" xfId="0" applyNumberFormat="1" applyFont="1" applyFill="1" applyBorder="1" applyAlignment="1">
      <alignment horizontal="center"/>
    </xf>
    <xf numFmtId="0" fontId="17" fillId="4" borderId="0" xfId="11" applyFont="1" applyFill="1" applyBorder="1" applyAlignment="1">
      <alignment vertical="center"/>
    </xf>
    <xf numFmtId="10" fontId="17" fillId="4" borderId="0" xfId="12" applyNumberFormat="1" applyFont="1" applyFill="1" applyAlignment="1">
      <alignment vertical="center"/>
    </xf>
    <xf numFmtId="10" fontId="17" fillId="4" borderId="0" xfId="12" applyNumberFormat="1" applyFont="1" applyFill="1"/>
    <xf numFmtId="10" fontId="17" fillId="4" borderId="5" xfId="12" applyNumberFormat="1" applyFont="1" applyFill="1" applyBorder="1"/>
    <xf numFmtId="4" fontId="17" fillId="4" borderId="14" xfId="0" applyNumberFormat="1" applyFont="1" applyFill="1" applyBorder="1"/>
    <xf numFmtId="10" fontId="17" fillId="4" borderId="14" xfId="12" applyNumberFormat="1" applyFont="1" applyFill="1" applyBorder="1"/>
    <xf numFmtId="0" fontId="16" fillId="6" borderId="4" xfId="0" applyFont="1" applyFill="1" applyBorder="1" applyAlignment="1">
      <alignment horizontal="center" vertical="center" wrapText="1"/>
    </xf>
    <xf numFmtId="4" fontId="17" fillId="4" borderId="11" xfId="0" applyNumberFormat="1" applyFont="1" applyFill="1" applyBorder="1"/>
    <xf numFmtId="9" fontId="16" fillId="6" borderId="14" xfId="12" applyNumberFormat="1" applyFont="1" applyFill="1" applyBorder="1" applyAlignment="1">
      <alignment horizontal="center" vertical="center" wrapText="1"/>
    </xf>
    <xf numFmtId="0" fontId="16" fillId="6" borderId="14" xfId="0" applyFont="1" applyFill="1" applyBorder="1" applyAlignment="1">
      <alignment horizontal="center" vertical="center" wrapText="1"/>
    </xf>
    <xf numFmtId="9" fontId="16" fillId="6" borderId="14" xfId="12" applyNumberFormat="1" applyFont="1" applyFill="1" applyBorder="1" applyAlignment="1">
      <alignment horizontal="center" vertical="center"/>
    </xf>
    <xf numFmtId="165" fontId="16" fillId="6" borderId="14" xfId="4" applyFont="1" applyFill="1" applyBorder="1" applyAlignment="1">
      <alignment vertical="center" wrapText="1"/>
    </xf>
    <xf numFmtId="4" fontId="17" fillId="4" borderId="12" xfId="0" applyNumberFormat="1" applyFont="1" applyFill="1" applyBorder="1"/>
    <xf numFmtId="169" fontId="17" fillId="4" borderId="0" xfId="11" applyNumberFormat="1" applyFont="1" applyFill="1" applyAlignment="1">
      <alignment vertical="center"/>
    </xf>
    <xf numFmtId="175" fontId="17" fillId="4" borderId="15" xfId="4" applyNumberFormat="1" applyFont="1" applyFill="1" applyBorder="1"/>
    <xf numFmtId="175" fontId="17" fillId="4" borderId="16" xfId="4" applyNumberFormat="1" applyFont="1" applyFill="1" applyBorder="1"/>
    <xf numFmtId="170" fontId="17" fillId="4" borderId="0" xfId="0" applyNumberFormat="1" applyFont="1" applyFill="1"/>
    <xf numFmtId="0" fontId="17" fillId="4" borderId="0" xfId="0" applyFont="1" applyFill="1" applyAlignment="1">
      <alignment vertical="top"/>
    </xf>
    <xf numFmtId="3" fontId="17" fillId="4" borderId="0" xfId="0" applyNumberFormat="1" applyFont="1" applyFill="1" applyAlignment="1">
      <alignment vertical="top"/>
    </xf>
    <xf numFmtId="3" fontId="17" fillId="4" borderId="0" xfId="0" applyNumberFormat="1" applyFont="1" applyFill="1" applyBorder="1" applyAlignment="1">
      <alignment vertical="top" wrapText="1"/>
    </xf>
    <xf numFmtId="0" fontId="17" fillId="4" borderId="17" xfId="0" applyFont="1" applyFill="1" applyBorder="1"/>
    <xf numFmtId="0" fontId="17" fillId="4" borderId="6" xfId="0" applyFont="1" applyFill="1" applyBorder="1"/>
    <xf numFmtId="0" fontId="17" fillId="4" borderId="7" xfId="0" applyFont="1" applyFill="1" applyBorder="1"/>
    <xf numFmtId="0" fontId="17" fillId="4" borderId="14" xfId="0" applyFont="1" applyFill="1" applyBorder="1" applyAlignment="1">
      <alignment horizontal="center"/>
    </xf>
    <xf numFmtId="0" fontId="17" fillId="4" borderId="8" xfId="0" applyFont="1" applyFill="1" applyBorder="1"/>
    <xf numFmtId="0" fontId="17" fillId="4" borderId="12" xfId="0" applyFont="1" applyFill="1" applyBorder="1"/>
    <xf numFmtId="0" fontId="17" fillId="4" borderId="9" xfId="0" applyFont="1" applyFill="1" applyBorder="1"/>
    <xf numFmtId="0" fontId="17" fillId="4" borderId="11" xfId="0" applyFont="1" applyFill="1" applyBorder="1"/>
    <xf numFmtId="0" fontId="17" fillId="4" borderId="10" xfId="0" applyFont="1" applyFill="1" applyBorder="1"/>
    <xf numFmtId="0" fontId="17" fillId="4" borderId="13" xfId="0" applyFont="1" applyFill="1" applyBorder="1"/>
    <xf numFmtId="173" fontId="17" fillId="4" borderId="0" xfId="0" applyNumberFormat="1" applyFont="1" applyFill="1" applyAlignment="1">
      <alignment vertical="top"/>
    </xf>
    <xf numFmtId="175" fontId="17" fillId="4" borderId="12" xfId="4" applyNumberFormat="1" applyFont="1" applyFill="1" applyBorder="1"/>
    <xf numFmtId="165" fontId="17" fillId="4" borderId="4" xfId="4" applyFont="1" applyFill="1" applyBorder="1"/>
    <xf numFmtId="165" fontId="17" fillId="4" borderId="3" xfId="4" applyFont="1" applyFill="1" applyBorder="1"/>
    <xf numFmtId="3" fontId="17" fillId="4" borderId="8" xfId="0" applyNumberFormat="1" applyFont="1" applyFill="1" applyBorder="1"/>
    <xf numFmtId="3" fontId="17" fillId="4" borderId="10" xfId="0" applyNumberFormat="1" applyFont="1" applyFill="1" applyBorder="1"/>
    <xf numFmtId="3" fontId="17" fillId="4" borderId="17" xfId="0" applyNumberFormat="1" applyFont="1" applyFill="1" applyBorder="1"/>
    <xf numFmtId="3" fontId="17" fillId="4" borderId="13" xfId="0" applyNumberFormat="1" applyFont="1" applyFill="1" applyBorder="1" applyAlignment="1">
      <alignment horizontal="center" vertical="top" wrapText="1"/>
    </xf>
    <xf numFmtId="169" fontId="17" fillId="4" borderId="0" xfId="0" applyNumberFormat="1" applyFont="1" applyFill="1"/>
    <xf numFmtId="3" fontId="17" fillId="4" borderId="4" xfId="12" applyNumberFormat="1" applyFont="1" applyFill="1" applyBorder="1"/>
    <xf numFmtId="3" fontId="17" fillId="4" borderId="5" xfId="12" applyNumberFormat="1" applyFont="1" applyFill="1" applyBorder="1"/>
    <xf numFmtId="3" fontId="17" fillId="4" borderId="3" xfId="12" applyNumberFormat="1" applyFont="1" applyFill="1" applyBorder="1"/>
    <xf numFmtId="3" fontId="17" fillId="4" borderId="14" xfId="12" applyNumberFormat="1" applyFont="1" applyFill="1" applyBorder="1"/>
    <xf numFmtId="165" fontId="17" fillId="4" borderId="14" xfId="4" applyNumberFormat="1" applyFont="1" applyFill="1" applyBorder="1"/>
    <xf numFmtId="175" fontId="17" fillId="8" borderId="14" xfId="4" applyNumberFormat="1" applyFont="1" applyFill="1" applyBorder="1"/>
    <xf numFmtId="175" fontId="17" fillId="5" borderId="4" xfId="4" applyNumberFormat="1" applyFont="1" applyFill="1" applyBorder="1"/>
    <xf numFmtId="175" fontId="17" fillId="5" borderId="3" xfId="4" applyNumberFormat="1" applyFont="1" applyFill="1" applyBorder="1"/>
    <xf numFmtId="3" fontId="16" fillId="6" borderId="4" xfId="0" applyNumberFormat="1" applyFont="1" applyFill="1" applyBorder="1"/>
    <xf numFmtId="0" fontId="16" fillId="6" borderId="0" xfId="0" applyFont="1" applyFill="1"/>
    <xf numFmtId="0" fontId="17" fillId="4" borderId="8" xfId="0" applyFont="1" applyFill="1" applyBorder="1" applyAlignment="1">
      <alignment horizontal="center"/>
    </xf>
    <xf numFmtId="0" fontId="16" fillId="6" borderId="4" xfId="0" applyFont="1" applyFill="1" applyBorder="1" applyAlignment="1">
      <alignment horizontal="center"/>
    </xf>
    <xf numFmtId="0" fontId="16" fillId="6" borderId="3" xfId="0" applyFont="1" applyFill="1" applyBorder="1" applyAlignment="1">
      <alignment horizontal="center"/>
    </xf>
    <xf numFmtId="175" fontId="17" fillId="4" borderId="13" xfId="4" applyNumberFormat="1" applyFont="1" applyFill="1" applyBorder="1"/>
    <xf numFmtId="2" fontId="17" fillId="4" borderId="0" xfId="0" applyNumberFormat="1" applyFont="1" applyFill="1"/>
    <xf numFmtId="9" fontId="17" fillId="4" borderId="0" xfId="0" applyNumberFormat="1" applyFont="1" applyFill="1"/>
    <xf numFmtId="4" fontId="17" fillId="4" borderId="14" xfId="12" applyNumberFormat="1" applyFont="1" applyFill="1" applyBorder="1"/>
    <xf numFmtId="4" fontId="17" fillId="4" borderId="0" xfId="12" applyNumberFormat="1" applyFont="1" applyFill="1" applyBorder="1"/>
    <xf numFmtId="0" fontId="17" fillId="4" borderId="16" xfId="0" applyFont="1" applyFill="1" applyBorder="1"/>
    <xf numFmtId="0" fontId="16" fillId="6" borderId="4" xfId="0" applyFont="1" applyFill="1" applyBorder="1" applyAlignment="1">
      <alignment horizontal="center" vertical="top" wrapText="1"/>
    </xf>
    <xf numFmtId="9" fontId="16" fillId="6" borderId="4" xfId="0" applyNumberFormat="1" applyFont="1" applyFill="1" applyBorder="1" applyAlignment="1">
      <alignment horizontal="center"/>
    </xf>
    <xf numFmtId="175" fontId="17" fillId="5" borderId="11" xfId="4" applyNumberFormat="1" applyFont="1" applyFill="1" applyBorder="1"/>
    <xf numFmtId="3" fontId="17" fillId="4" borderId="17" xfId="12" applyNumberFormat="1" applyFont="1" applyFill="1" applyBorder="1"/>
    <xf numFmtId="171" fontId="17" fillId="4" borderId="0" xfId="0" applyNumberFormat="1" applyFont="1" applyFill="1"/>
    <xf numFmtId="2" fontId="16" fillId="6" borderId="3" xfId="0" applyNumberFormat="1" applyFont="1" applyFill="1" applyBorder="1" applyAlignment="1">
      <alignment horizontal="center" vertical="top" wrapText="1"/>
    </xf>
    <xf numFmtId="3" fontId="17" fillId="4" borderId="7" xfId="12" applyNumberFormat="1" applyFont="1" applyFill="1" applyBorder="1"/>
    <xf numFmtId="166" fontId="17" fillId="4" borderId="14" xfId="0" applyNumberFormat="1" applyFont="1" applyFill="1" applyBorder="1" applyAlignment="1">
      <alignment horizontal="center"/>
    </xf>
    <xf numFmtId="175" fontId="17" fillId="4" borderId="7" xfId="4" applyNumberFormat="1" applyFont="1" applyFill="1" applyBorder="1"/>
    <xf numFmtId="0" fontId="16" fillId="6" borderId="17" xfId="0" applyFont="1" applyFill="1" applyBorder="1"/>
    <xf numFmtId="0" fontId="16" fillId="6" borderId="6" xfId="0" applyFont="1" applyFill="1" applyBorder="1"/>
    <xf numFmtId="0" fontId="16" fillId="6" borderId="14" xfId="0" applyFont="1" applyFill="1" applyBorder="1" applyAlignment="1">
      <alignment horizontal="center"/>
    </xf>
    <xf numFmtId="167" fontId="17" fillId="4" borderId="4" xfId="0" applyNumberFormat="1" applyFont="1" applyFill="1" applyBorder="1"/>
    <xf numFmtId="167" fontId="17" fillId="4" borderId="5" xfId="0" applyNumberFormat="1" applyFont="1" applyFill="1" applyBorder="1"/>
    <xf numFmtId="167" fontId="17" fillId="4" borderId="3" xfId="0" applyNumberFormat="1" applyFont="1" applyFill="1" applyBorder="1"/>
    <xf numFmtId="175" fontId="17" fillId="3" borderId="4" xfId="4" applyNumberFormat="1" applyFont="1" applyFill="1" applyBorder="1"/>
    <xf numFmtId="175" fontId="17" fillId="5" borderId="15" xfId="4" applyNumberFormat="1" applyFont="1" applyFill="1" applyBorder="1"/>
    <xf numFmtId="175" fontId="17" fillId="5" borderId="0" xfId="4" applyNumberFormat="1" applyFont="1" applyFill="1" applyBorder="1"/>
    <xf numFmtId="175" fontId="17" fillId="3" borderId="3" xfId="4" applyNumberFormat="1" applyFont="1" applyFill="1" applyBorder="1"/>
    <xf numFmtId="175" fontId="17" fillId="5" borderId="16" xfId="4" applyNumberFormat="1" applyFont="1" applyFill="1" applyBorder="1"/>
    <xf numFmtId="165" fontId="17" fillId="4" borderId="0" xfId="4" applyFont="1" applyFill="1" applyBorder="1" applyAlignment="1">
      <alignment vertical="center"/>
    </xf>
    <xf numFmtId="165" fontId="17" fillId="4" borderId="0" xfId="4" applyFont="1" applyFill="1" applyAlignment="1">
      <alignment vertical="center"/>
    </xf>
    <xf numFmtId="4" fontId="17" fillId="4" borderId="4" xfId="12" applyNumberFormat="1" applyFont="1" applyFill="1" applyBorder="1"/>
    <xf numFmtId="4" fontId="17" fillId="4" borderId="5" xfId="12" applyNumberFormat="1" applyFont="1" applyFill="1" applyBorder="1"/>
    <xf numFmtId="0" fontId="17" fillId="4" borderId="0" xfId="0" applyFont="1" applyFill="1" applyBorder="1" applyAlignment="1">
      <alignment horizontal="center" vertical="top" wrapText="1"/>
    </xf>
    <xf numFmtId="177" fontId="17" fillId="4" borderId="0" xfId="11" applyNumberFormat="1" applyFont="1" applyFill="1" applyAlignment="1">
      <alignment vertical="center"/>
    </xf>
    <xf numFmtId="177" fontId="17" fillId="4" borderId="0" xfId="0" applyNumberFormat="1" applyFont="1" applyFill="1"/>
    <xf numFmtId="177" fontId="16" fillId="6" borderId="4" xfId="0" applyNumberFormat="1" applyFont="1" applyFill="1" applyBorder="1" applyAlignment="1">
      <alignment horizontal="center" vertical="top" wrapText="1"/>
    </xf>
    <xf numFmtId="2" fontId="16" fillId="6" borderId="5" xfId="0" applyNumberFormat="1" applyFont="1" applyFill="1" applyBorder="1" applyAlignment="1">
      <alignment horizontal="center" vertical="top" wrapText="1"/>
    </xf>
    <xf numFmtId="172" fontId="17" fillId="4" borderId="0" xfId="0" applyNumberFormat="1" applyFont="1" applyFill="1"/>
    <xf numFmtId="167" fontId="17" fillId="4" borderId="0" xfId="12" applyNumberFormat="1" applyFont="1" applyFill="1" applyBorder="1" applyAlignment="1">
      <alignment horizontal="center" vertical="top" wrapText="1"/>
    </xf>
    <xf numFmtId="167" fontId="17" fillId="4" borderId="12" xfId="0" applyNumberFormat="1" applyFont="1" applyFill="1" applyBorder="1"/>
    <xf numFmtId="172" fontId="17" fillId="4" borderId="0" xfId="0" applyNumberFormat="1" applyFont="1" applyFill="1" applyBorder="1"/>
    <xf numFmtId="167" fontId="17" fillId="4" borderId="11" xfId="0" applyNumberFormat="1" applyFont="1" applyFill="1" applyBorder="1"/>
    <xf numFmtId="167" fontId="17" fillId="4" borderId="13" xfId="0" applyNumberFormat="1" applyFont="1" applyFill="1" applyBorder="1"/>
    <xf numFmtId="172" fontId="17" fillId="4" borderId="14" xfId="0" applyNumberFormat="1" applyFont="1" applyFill="1" applyBorder="1"/>
    <xf numFmtId="172" fontId="17" fillId="4" borderId="0" xfId="12" applyNumberFormat="1" applyFont="1" applyFill="1" applyBorder="1"/>
    <xf numFmtId="3" fontId="17" fillId="3" borderId="4" xfId="12" applyNumberFormat="1" applyFont="1" applyFill="1" applyBorder="1"/>
    <xf numFmtId="3" fontId="17" fillId="3" borderId="5" xfId="12" applyNumberFormat="1" applyFont="1" applyFill="1" applyBorder="1"/>
    <xf numFmtId="3" fontId="17" fillId="3" borderId="7" xfId="12" applyNumberFormat="1" applyFont="1" applyFill="1" applyBorder="1"/>
    <xf numFmtId="0" fontId="21" fillId="4" borderId="0" xfId="0" applyFont="1" applyFill="1"/>
    <xf numFmtId="0" fontId="22" fillId="4" borderId="5" xfId="0" applyFont="1" applyFill="1" applyBorder="1" applyAlignment="1">
      <alignment horizontal="center"/>
    </xf>
    <xf numFmtId="0" fontId="22" fillId="4" borderId="5" xfId="0" applyFont="1" applyFill="1" applyBorder="1"/>
    <xf numFmtId="3" fontId="22" fillId="4" borderId="5" xfId="12" applyNumberFormat="1" applyFont="1" applyFill="1" applyBorder="1" applyAlignment="1">
      <alignment horizontal="right"/>
    </xf>
    <xf numFmtId="0" fontId="22" fillId="4" borderId="0" xfId="0" applyFont="1" applyFill="1"/>
    <xf numFmtId="168" fontId="17" fillId="4" borderId="0" xfId="0" applyNumberFormat="1" applyFont="1" applyFill="1"/>
    <xf numFmtId="172" fontId="17" fillId="4" borderId="14" xfId="12" applyNumberFormat="1" applyFont="1" applyFill="1" applyBorder="1"/>
    <xf numFmtId="172" fontId="22" fillId="4" borderId="4" xfId="0" applyNumberFormat="1" applyFont="1" applyFill="1" applyBorder="1"/>
    <xf numFmtId="0" fontId="17" fillId="8" borderId="0" xfId="0" applyFont="1" applyFill="1"/>
    <xf numFmtId="14" fontId="17" fillId="8" borderId="0" xfId="0" applyNumberFormat="1" applyFont="1" applyFill="1"/>
    <xf numFmtId="0" fontId="17" fillId="8" borderId="0" xfId="0" applyFont="1" applyFill="1" applyBorder="1"/>
    <xf numFmtId="0" fontId="18" fillId="8" borderId="0" xfId="0" applyFont="1" applyFill="1"/>
    <xf numFmtId="174" fontId="17" fillId="8" borderId="0" xfId="0" applyNumberFormat="1" applyFont="1" applyFill="1" applyBorder="1"/>
    <xf numFmtId="0" fontId="17" fillId="8" borderId="0" xfId="0" applyFont="1" applyFill="1" applyAlignment="1">
      <alignment horizontal="center" wrapText="1"/>
    </xf>
    <xf numFmtId="165" fontId="17" fillId="8" borderId="0" xfId="4" applyFont="1" applyFill="1"/>
    <xf numFmtId="3" fontId="17" fillId="8" borderId="0" xfId="0" applyNumberFormat="1" applyFont="1" applyFill="1"/>
    <xf numFmtId="2" fontId="17" fillId="8" borderId="0" xfId="0" applyNumberFormat="1" applyFont="1" applyFill="1"/>
    <xf numFmtId="0" fontId="17" fillId="8" borderId="0" xfId="0" applyFont="1" applyFill="1" applyAlignment="1">
      <alignment horizontal="center"/>
    </xf>
    <xf numFmtId="9" fontId="17" fillId="8" borderId="0" xfId="0" applyNumberFormat="1" applyFont="1" applyFill="1" applyBorder="1" applyAlignment="1">
      <alignment horizontal="center" vertical="top" wrapText="1"/>
    </xf>
    <xf numFmtId="2" fontId="17" fillId="8" borderId="0" xfId="0" applyNumberFormat="1" applyFont="1" applyFill="1" applyBorder="1" applyAlignment="1">
      <alignment horizontal="center"/>
    </xf>
    <xf numFmtId="10" fontId="17" fillId="8" borderId="14" xfId="0" applyNumberFormat="1" applyFont="1" applyFill="1" applyBorder="1" applyAlignment="1">
      <alignment horizontal="center" vertical="top" wrapText="1"/>
    </xf>
    <xf numFmtId="170" fontId="17" fillId="8" borderId="0" xfId="0" applyNumberFormat="1" applyFont="1" applyFill="1" applyBorder="1"/>
    <xf numFmtId="3" fontId="17" fillId="8" borderId="0" xfId="0" applyNumberFormat="1" applyFont="1" applyFill="1" applyBorder="1"/>
    <xf numFmtId="165" fontId="17" fillId="8" borderId="0" xfId="4" applyFont="1" applyFill="1" applyBorder="1"/>
    <xf numFmtId="0" fontId="17" fillId="8" borderId="14" xfId="0" applyFont="1" applyFill="1" applyBorder="1"/>
    <xf numFmtId="165" fontId="17" fillId="8" borderId="14" xfId="4" applyFont="1" applyFill="1" applyBorder="1"/>
    <xf numFmtId="0" fontId="17" fillId="8" borderId="0" xfId="0" applyFont="1" applyFill="1" applyAlignment="1">
      <alignment vertical="top"/>
    </xf>
    <xf numFmtId="0" fontId="19" fillId="8" borderId="0" xfId="0" applyFont="1" applyFill="1"/>
    <xf numFmtId="14" fontId="17" fillId="7" borderId="14" xfId="0" applyNumberFormat="1" applyFont="1" applyFill="1" applyBorder="1" applyAlignment="1">
      <alignment horizontal="center"/>
    </xf>
    <xf numFmtId="9" fontId="17" fillId="7" borderId="14" xfId="0" applyNumberFormat="1" applyFont="1" applyFill="1" applyBorder="1" applyAlignment="1">
      <alignment horizontal="center" vertical="top" wrapText="1"/>
    </xf>
    <xf numFmtId="10" fontId="17" fillId="7" borderId="14" xfId="0" applyNumberFormat="1" applyFont="1" applyFill="1" applyBorder="1" applyAlignment="1">
      <alignment horizontal="center"/>
    </xf>
    <xf numFmtId="0" fontId="17" fillId="8" borderId="0" xfId="0" applyFont="1" applyFill="1" applyBorder="1" applyAlignment="1"/>
    <xf numFmtId="0" fontId="17" fillId="8" borderId="0" xfId="0" applyFont="1" applyFill="1" applyBorder="1" applyAlignment="1">
      <alignment horizontal="left" vertical="top"/>
    </xf>
    <xf numFmtId="0" fontId="17" fillId="8" borderId="0" xfId="0" applyFont="1" applyFill="1" applyBorder="1" applyAlignment="1">
      <alignment horizontal="left"/>
    </xf>
    <xf numFmtId="3" fontId="17" fillId="7" borderId="14" xfId="0" applyNumberFormat="1" applyFont="1" applyFill="1" applyBorder="1"/>
    <xf numFmtId="3" fontId="17" fillId="8" borderId="14" xfId="0" applyNumberFormat="1" applyFont="1" applyFill="1" applyBorder="1"/>
    <xf numFmtId="3" fontId="17" fillId="8" borderId="14" xfId="0" applyNumberFormat="1" applyFont="1" applyFill="1" applyBorder="1" applyAlignment="1">
      <alignment horizontal="center"/>
    </xf>
    <xf numFmtId="9" fontId="17" fillId="7" borderId="14" xfId="0" applyNumberFormat="1" applyFont="1" applyFill="1" applyBorder="1" applyAlignment="1">
      <alignment horizontal="center"/>
    </xf>
    <xf numFmtId="0" fontId="17" fillId="7" borderId="14" xfId="0" applyFont="1" applyFill="1" applyBorder="1" applyAlignment="1">
      <alignment horizontal="center" vertical="top" wrapText="1"/>
    </xf>
    <xf numFmtId="0" fontId="17" fillId="8" borderId="4" xfId="0" applyFont="1" applyFill="1" applyBorder="1" applyAlignment="1">
      <alignment horizontal="center" vertical="center" wrapText="1"/>
    </xf>
    <xf numFmtId="176" fontId="17" fillId="8" borderId="14" xfId="4" applyNumberFormat="1" applyFont="1" applyFill="1" applyBorder="1"/>
    <xf numFmtId="175" fontId="17" fillId="8" borderId="17" xfId="4" applyNumberFormat="1" applyFont="1" applyFill="1" applyBorder="1"/>
    <xf numFmtId="0" fontId="17" fillId="8" borderId="7" xfId="0" applyFont="1" applyFill="1" applyBorder="1"/>
    <xf numFmtId="2" fontId="17" fillId="8" borderId="4" xfId="0" applyNumberFormat="1" applyFont="1" applyFill="1" applyBorder="1"/>
    <xf numFmtId="0" fontId="17" fillId="8" borderId="0" xfId="0" quotePrefix="1" applyFont="1" applyFill="1" applyBorder="1"/>
    <xf numFmtId="170" fontId="17" fillId="8" borderId="14" xfId="0" applyNumberFormat="1" applyFont="1" applyFill="1" applyBorder="1"/>
    <xf numFmtId="174" fontId="17" fillId="8" borderId="14" xfId="0" applyNumberFormat="1" applyFont="1" applyFill="1" applyBorder="1"/>
    <xf numFmtId="0" fontId="17" fillId="8" borderId="0" xfId="0" applyFont="1" applyFill="1" applyBorder="1" applyAlignment="1">
      <alignment horizontal="center" vertical="center" wrapText="1"/>
    </xf>
    <xf numFmtId="0" fontId="23" fillId="8" borderId="0" xfId="0" applyFont="1" applyFill="1"/>
    <xf numFmtId="0" fontId="19" fillId="8" borderId="0" xfId="0" applyFont="1" applyFill="1" applyBorder="1"/>
    <xf numFmtId="0" fontId="16" fillId="6" borderId="3" xfId="0" applyFont="1" applyFill="1" applyBorder="1" applyAlignment="1">
      <alignment horizontal="center" vertical="center" wrapText="1"/>
    </xf>
    <xf numFmtId="9" fontId="16" fillId="6" borderId="5" xfId="12" applyFont="1" applyFill="1" applyBorder="1" applyAlignment="1">
      <alignment horizontal="center"/>
    </xf>
    <xf numFmtId="4" fontId="17" fillId="4" borderId="0" xfId="0" applyNumberFormat="1" applyFont="1" applyFill="1" applyBorder="1"/>
    <xf numFmtId="1" fontId="19" fillId="4" borderId="0" xfId="11" applyNumberFormat="1" applyFont="1" applyFill="1" applyAlignment="1">
      <alignment horizontal="left" vertical="center"/>
    </xf>
    <xf numFmtId="175" fontId="17" fillId="8" borderId="0" xfId="4" applyNumberFormat="1" applyFont="1" applyFill="1"/>
    <xf numFmtId="0" fontId="24" fillId="8" borderId="0" xfId="0" applyFont="1" applyFill="1"/>
    <xf numFmtId="175" fontId="24" fillId="8" borderId="0" xfId="4" applyNumberFormat="1" applyFont="1" applyFill="1"/>
    <xf numFmtId="175" fontId="16" fillId="6" borderId="0" xfId="4" applyNumberFormat="1" applyFont="1" applyFill="1"/>
    <xf numFmtId="0" fontId="24" fillId="8" borderId="0" xfId="0" applyFont="1" applyFill="1" applyAlignment="1">
      <alignment horizontal="right"/>
    </xf>
    <xf numFmtId="169" fontId="20" fillId="4" borderId="0" xfId="11" applyNumberFormat="1" applyFont="1" applyFill="1" applyAlignment="1">
      <alignment vertical="center"/>
    </xf>
    <xf numFmtId="169" fontId="20" fillId="4" borderId="0" xfId="11" applyNumberFormat="1" applyFont="1" applyFill="1" applyBorder="1" applyAlignment="1">
      <alignment vertical="center"/>
    </xf>
    <xf numFmtId="0" fontId="17" fillId="4" borderId="0" xfId="15" applyFont="1" applyFill="1"/>
    <xf numFmtId="0" fontId="17" fillId="4" borderId="0" xfId="15" applyFont="1" applyFill="1" applyBorder="1"/>
    <xf numFmtId="3" fontId="5" fillId="4" borderId="5" xfId="15" applyNumberFormat="1" applyFont="1" applyFill="1" applyBorder="1" applyAlignment="1">
      <alignment horizontal="right"/>
    </xf>
    <xf numFmtId="164" fontId="17" fillId="4" borderId="5" xfId="14" applyFont="1" applyFill="1" applyBorder="1"/>
    <xf numFmtId="3" fontId="17" fillId="4" borderId="0" xfId="15" applyNumberFormat="1" applyFont="1" applyFill="1"/>
    <xf numFmtId="0" fontId="16" fillId="4" borderId="0" xfId="15" applyFont="1" applyFill="1" applyAlignment="1">
      <alignment vertical="center"/>
    </xf>
    <xf numFmtId="0" fontId="17" fillId="4" borderId="4" xfId="15" applyFont="1" applyFill="1" applyBorder="1"/>
    <xf numFmtId="0" fontId="17" fillId="4" borderId="5" xfId="15" applyFont="1" applyFill="1" applyBorder="1"/>
    <xf numFmtId="0" fontId="16" fillId="6" borderId="4" xfId="15" applyFont="1" applyFill="1" applyBorder="1" applyAlignment="1">
      <alignment horizontal="center" vertical="center" wrapText="1"/>
    </xf>
    <xf numFmtId="175" fontId="17" fillId="4" borderId="14" xfId="4" applyNumberFormat="1" applyFont="1" applyFill="1" applyBorder="1" applyAlignment="1">
      <alignment horizontal="center"/>
    </xf>
    <xf numFmtId="0" fontId="17" fillId="7" borderId="14" xfId="0" applyFont="1" applyFill="1" applyBorder="1"/>
    <xf numFmtId="175" fontId="17" fillId="4" borderId="7" xfId="4" applyNumberFormat="1" applyFont="1" applyFill="1" applyBorder="1" applyAlignment="1">
      <alignment horizontal="center"/>
    </xf>
    <xf numFmtId="175" fontId="17" fillId="5" borderId="14" xfId="4" applyNumberFormat="1" applyFont="1" applyFill="1" applyBorder="1" applyAlignment="1">
      <alignment horizontal="center"/>
    </xf>
    <xf numFmtId="172" fontId="22" fillId="5" borderId="4" xfId="0" applyNumberFormat="1" applyFont="1" applyFill="1" applyBorder="1"/>
    <xf numFmtId="172" fontId="22" fillId="5" borderId="5" xfId="0" applyNumberFormat="1" applyFont="1" applyFill="1" applyBorder="1"/>
    <xf numFmtId="172" fontId="17" fillId="5" borderId="14" xfId="0" applyNumberFormat="1" applyFont="1" applyFill="1" applyBorder="1"/>
    <xf numFmtId="172" fontId="22" fillId="5" borderId="3" xfId="0" applyNumberFormat="1" applyFont="1" applyFill="1" applyBorder="1"/>
    <xf numFmtId="0" fontId="17" fillId="7" borderId="14" xfId="15" applyFont="1" applyFill="1" applyBorder="1" applyAlignment="1">
      <alignment horizontal="center"/>
    </xf>
    <xf numFmtId="175" fontId="17" fillId="7" borderId="3" xfId="4" applyNumberFormat="1" applyFont="1" applyFill="1" applyBorder="1" applyAlignment="1">
      <alignment horizontal="center"/>
    </xf>
    <xf numFmtId="175" fontId="17" fillId="7" borderId="14" xfId="4" applyNumberFormat="1" applyFont="1" applyFill="1" applyBorder="1"/>
    <xf numFmtId="0" fontId="17" fillId="7" borderId="14" xfId="4" applyNumberFormat="1" applyFont="1" applyFill="1" applyBorder="1" applyAlignment="1">
      <alignment horizontal="center"/>
    </xf>
    <xf numFmtId="0" fontId="28" fillId="6" borderId="0" xfId="0" applyFont="1" applyFill="1"/>
    <xf numFmtId="0" fontId="17" fillId="7" borderId="4" xfId="15" applyFont="1" applyFill="1" applyBorder="1" applyAlignment="1">
      <alignment horizontal="center"/>
    </xf>
    <xf numFmtId="0" fontId="17" fillId="7" borderId="5" xfId="15" applyFont="1" applyFill="1" applyBorder="1" applyAlignment="1">
      <alignment horizontal="center"/>
    </xf>
    <xf numFmtId="175" fontId="17" fillId="4" borderId="0" xfId="15" applyNumberFormat="1" applyFont="1" applyFill="1"/>
    <xf numFmtId="0" fontId="16" fillId="6" borderId="5" xfId="15" quotePrefix="1" applyFont="1" applyFill="1" applyBorder="1" applyAlignment="1">
      <alignment horizontal="center" vertical="center" wrapText="1"/>
    </xf>
    <xf numFmtId="175" fontId="17" fillId="4" borderId="3" xfId="4" applyNumberFormat="1" applyFont="1" applyFill="1" applyBorder="1" applyAlignment="1">
      <alignment horizontal="center"/>
    </xf>
    <xf numFmtId="175" fontId="17" fillId="8" borderId="0" xfId="4" applyNumberFormat="1" applyFont="1" applyFill="1" applyBorder="1"/>
    <xf numFmtId="165" fontId="17" fillId="7" borderId="14" xfId="4" applyFont="1" applyFill="1" applyBorder="1" applyAlignment="1">
      <alignment horizontal="center"/>
    </xf>
    <xf numFmtId="0" fontId="27" fillId="4" borderId="0" xfId="0" applyFont="1" applyFill="1"/>
    <xf numFmtId="175" fontId="27" fillId="4" borderId="0" xfId="4" applyNumberFormat="1" applyFont="1" applyFill="1"/>
    <xf numFmtId="0" fontId="27" fillId="8" borderId="0" xfId="0" applyFont="1" applyFill="1"/>
    <xf numFmtId="175" fontId="27" fillId="3" borderId="0" xfId="4" applyNumberFormat="1" applyFont="1" applyFill="1"/>
    <xf numFmtId="165" fontId="27" fillId="4" borderId="0" xfId="4" applyFont="1" applyFill="1"/>
    <xf numFmtId="175" fontId="27" fillId="4" borderId="16" xfId="4" applyNumberFormat="1" applyFont="1" applyFill="1" applyBorder="1"/>
    <xf numFmtId="175" fontId="29" fillId="4" borderId="0" xfId="4" applyNumberFormat="1" applyFont="1" applyFill="1"/>
    <xf numFmtId="0" fontId="29" fillId="4" borderId="0" xfId="0" applyFont="1" applyFill="1"/>
    <xf numFmtId="0" fontId="27" fillId="4" borderId="0" xfId="0" applyFont="1" applyFill="1" applyAlignment="1">
      <alignment horizontal="right"/>
    </xf>
    <xf numFmtId="0" fontId="27" fillId="4" borderId="0" xfId="0" applyFont="1" applyFill="1" applyAlignment="1">
      <alignment horizontal="left"/>
    </xf>
    <xf numFmtId="165" fontId="22" fillId="4" borderId="14" xfId="4" applyFont="1" applyFill="1" applyBorder="1"/>
    <xf numFmtId="175" fontId="17" fillId="0" borderId="5" xfId="4" applyNumberFormat="1" applyFont="1" applyFill="1" applyBorder="1"/>
    <xf numFmtId="0" fontId="17" fillId="0" borderId="0" xfId="0" applyFont="1" applyFill="1"/>
    <xf numFmtId="165" fontId="16" fillId="6" borderId="3" xfId="4" applyNumberFormat="1" applyFont="1" applyFill="1" applyBorder="1" applyAlignment="1">
      <alignment horizontal="center" vertical="center" wrapText="1"/>
    </xf>
    <xf numFmtId="10" fontId="17" fillId="8" borderId="3" xfId="12" applyNumberFormat="1" applyFont="1" applyFill="1" applyBorder="1"/>
    <xf numFmtId="2" fontId="17" fillId="8" borderId="14" xfId="0" applyNumberFormat="1" applyFont="1" applyFill="1" applyBorder="1" applyAlignment="1"/>
    <xf numFmtId="2" fontId="17" fillId="8" borderId="14" xfId="4" applyNumberFormat="1" applyFont="1" applyFill="1" applyBorder="1"/>
    <xf numFmtId="4" fontId="17" fillId="4" borderId="5" xfId="0" applyNumberFormat="1" applyFont="1" applyFill="1" applyBorder="1"/>
    <xf numFmtId="165" fontId="17" fillId="4" borderId="5" xfId="4" applyNumberFormat="1" applyFont="1" applyFill="1" applyBorder="1"/>
    <xf numFmtId="176" fontId="17" fillId="5" borderId="14" xfId="4" applyNumberFormat="1" applyFont="1" applyFill="1" applyBorder="1"/>
    <xf numFmtId="175" fontId="17" fillId="7" borderId="14" xfId="4" applyNumberFormat="1" applyFont="1" applyFill="1" applyBorder="1" applyAlignment="1">
      <alignment horizontal="center" vertical="center" wrapText="1"/>
    </xf>
    <xf numFmtId="171" fontId="17" fillId="8" borderId="14" xfId="0" applyNumberFormat="1" applyFont="1" applyFill="1" applyBorder="1"/>
    <xf numFmtId="171" fontId="17" fillId="7" borderId="14" xfId="0" applyNumberFormat="1" applyFont="1" applyFill="1" applyBorder="1"/>
    <xf numFmtId="167" fontId="17" fillId="7" borderId="14" xfId="0" applyNumberFormat="1" applyFont="1" applyFill="1" applyBorder="1"/>
    <xf numFmtId="10" fontId="17" fillId="7" borderId="17" xfId="0" applyNumberFormat="1" applyFont="1" applyFill="1" applyBorder="1" applyAlignment="1">
      <alignment horizontal="center"/>
    </xf>
    <xf numFmtId="10" fontId="17" fillId="8" borderId="0" xfId="0" applyNumberFormat="1" applyFont="1" applyFill="1" applyBorder="1" applyAlignment="1">
      <alignment horizontal="center" vertical="top" wrapText="1"/>
    </xf>
    <xf numFmtId="0" fontId="17" fillId="8" borderId="14" xfId="0" applyFont="1" applyFill="1" applyBorder="1" applyAlignment="1">
      <alignment horizontal="right"/>
    </xf>
    <xf numFmtId="10" fontId="16" fillId="6" borderId="14" xfId="12" applyNumberFormat="1" applyFont="1" applyFill="1" applyBorder="1" applyAlignment="1">
      <alignment horizontal="center" vertical="center" wrapText="1"/>
    </xf>
    <xf numFmtId="2" fontId="17" fillId="4" borderId="0" xfId="13" applyNumberFormat="1" applyFont="1" applyFill="1" applyBorder="1"/>
    <xf numFmtId="165" fontId="17" fillId="4" borderId="0" xfId="4" applyNumberFormat="1" applyFont="1" applyFill="1" applyBorder="1"/>
    <xf numFmtId="3" fontId="17" fillId="4" borderId="14" xfId="0" applyNumberFormat="1" applyFont="1" applyFill="1" applyBorder="1"/>
    <xf numFmtId="10" fontId="16" fillId="6" borderId="14" xfId="12" applyNumberFormat="1" applyFont="1" applyFill="1" applyBorder="1" applyAlignment="1">
      <alignment vertical="center" wrapText="1"/>
    </xf>
    <xf numFmtId="165" fontId="16" fillId="6" borderId="14" xfId="4" applyNumberFormat="1" applyFont="1" applyFill="1" applyBorder="1"/>
    <xf numFmtId="1" fontId="17" fillId="4" borderId="14" xfId="0" applyNumberFormat="1" applyFont="1" applyFill="1" applyBorder="1"/>
    <xf numFmtId="10" fontId="17" fillId="4" borderId="14" xfId="0" applyNumberFormat="1" applyFont="1" applyFill="1" applyBorder="1"/>
    <xf numFmtId="175" fontId="17" fillId="4" borderId="0" xfId="4" quotePrefix="1" applyNumberFormat="1" applyFont="1" applyFill="1" applyBorder="1"/>
    <xf numFmtId="10" fontId="17" fillId="4" borderId="0" xfId="0" applyNumberFormat="1" applyFont="1" applyFill="1" applyBorder="1"/>
    <xf numFmtId="165" fontId="17" fillId="7" borderId="14" xfId="4" applyNumberFormat="1" applyFont="1" applyFill="1" applyBorder="1"/>
    <xf numFmtId="165" fontId="17" fillId="4" borderId="0" xfId="4" applyNumberFormat="1" applyFont="1" applyFill="1"/>
    <xf numFmtId="178" fontId="17" fillId="8" borderId="0" xfId="0" applyNumberFormat="1" applyFont="1" applyFill="1"/>
    <xf numFmtId="165" fontId="16" fillId="6" borderId="3" xfId="4" quotePrefix="1" applyFont="1" applyFill="1" applyBorder="1" applyAlignment="1">
      <alignment horizontal="center" vertical="center" wrapText="1"/>
    </xf>
    <xf numFmtId="175" fontId="22" fillId="4" borderId="0" xfId="4" applyNumberFormat="1" applyFont="1" applyFill="1"/>
    <xf numFmtId="175" fontId="16" fillId="6" borderId="4" xfId="4" applyNumberFormat="1" applyFont="1" applyFill="1" applyBorder="1" applyAlignment="1">
      <alignment horizontal="center" vertical="center" wrapText="1"/>
    </xf>
    <xf numFmtId="175" fontId="16" fillId="6" borderId="3" xfId="4" applyNumberFormat="1" applyFont="1" applyFill="1" applyBorder="1" applyAlignment="1">
      <alignment horizontal="center" vertical="center" wrapText="1"/>
    </xf>
    <xf numFmtId="175" fontId="17" fillId="4" borderId="0" xfId="4" applyNumberFormat="1" applyFont="1" applyFill="1" applyBorder="1" applyAlignment="1">
      <alignment horizontal="center"/>
    </xf>
    <xf numFmtId="175" fontId="31" fillId="6" borderId="14" xfId="4" applyNumberFormat="1" applyFont="1" applyFill="1" applyBorder="1" applyAlignment="1">
      <alignment horizontal="center"/>
    </xf>
    <xf numFmtId="175" fontId="16" fillId="6" borderId="5" xfId="4" applyNumberFormat="1" applyFont="1" applyFill="1" applyBorder="1" applyAlignment="1">
      <alignment horizontal="center" vertical="center" wrapText="1"/>
    </xf>
    <xf numFmtId="0" fontId="16" fillId="6" borderId="4" xfId="0" applyFont="1" applyFill="1" applyBorder="1" applyAlignment="1">
      <alignment horizontal="center" vertical="center" wrapText="1"/>
    </xf>
    <xf numFmtId="175" fontId="17" fillId="4" borderId="0" xfId="4" applyNumberFormat="1" applyFont="1" applyFill="1" applyBorder="1" applyAlignment="1">
      <alignment vertical="center"/>
    </xf>
    <xf numFmtId="175" fontId="16" fillId="6" borderId="15" xfId="4" applyNumberFormat="1" applyFont="1" applyFill="1" applyBorder="1" applyAlignment="1">
      <alignment horizontal="center" vertical="center" wrapText="1"/>
    </xf>
    <xf numFmtId="175" fontId="16" fillId="6" borderId="16" xfId="4" applyNumberFormat="1" applyFont="1" applyFill="1" applyBorder="1" applyAlignment="1">
      <alignment horizontal="center" vertical="top" wrapText="1"/>
    </xf>
    <xf numFmtId="9" fontId="17" fillId="7" borderId="14" xfId="12" applyFont="1" applyFill="1" applyBorder="1"/>
    <xf numFmtId="164" fontId="17" fillId="8" borderId="0" xfId="0" applyNumberFormat="1" applyFont="1" applyFill="1"/>
    <xf numFmtId="0" fontId="17" fillId="4" borderId="0" xfId="0" applyFont="1" applyFill="1" applyBorder="1" applyAlignment="1">
      <alignment horizontal="left"/>
    </xf>
    <xf numFmtId="9" fontId="16" fillId="6" borderId="3" xfId="12" applyFont="1" applyFill="1" applyBorder="1" applyAlignment="1">
      <alignment horizontal="center"/>
    </xf>
    <xf numFmtId="175" fontId="16" fillId="6" borderId="14" xfId="4" applyNumberFormat="1" applyFont="1" applyFill="1" applyBorder="1" applyAlignment="1">
      <alignment horizontal="center" vertical="center" wrapText="1"/>
    </xf>
    <xf numFmtId="3" fontId="17" fillId="4" borderId="0" xfId="0" applyNumberFormat="1" applyFont="1" applyFill="1" applyBorder="1"/>
    <xf numFmtId="3" fontId="17" fillId="4" borderId="7" xfId="0" applyNumberFormat="1" applyFont="1" applyFill="1" applyBorder="1"/>
    <xf numFmtId="0" fontId="17" fillId="4" borderId="9" xfId="0" applyFont="1" applyFill="1" applyBorder="1" applyAlignment="1">
      <alignment horizontal="center"/>
    </xf>
    <xf numFmtId="3" fontId="17" fillId="4" borderId="4" xfId="0" applyNumberFormat="1" applyFont="1" applyFill="1" applyBorder="1"/>
    <xf numFmtId="166" fontId="17" fillId="4" borderId="6" xfId="0" applyNumberFormat="1" applyFont="1" applyFill="1" applyBorder="1" applyAlignment="1">
      <alignment horizontal="center"/>
    </xf>
    <xf numFmtId="175" fontId="17" fillId="4" borderId="6" xfId="4" applyNumberFormat="1" applyFont="1" applyFill="1" applyBorder="1"/>
    <xf numFmtId="165" fontId="16" fillId="6" borderId="3" xfId="4" applyFont="1" applyFill="1" applyBorder="1" applyAlignment="1">
      <alignment horizontal="center" vertical="center"/>
    </xf>
    <xf numFmtId="3" fontId="17" fillId="4" borderId="3" xfId="0" applyNumberFormat="1" applyFont="1" applyFill="1" applyBorder="1"/>
    <xf numFmtId="175" fontId="17" fillId="3" borderId="11" xfId="4" applyNumberFormat="1" applyFont="1" applyFill="1" applyBorder="1"/>
    <xf numFmtId="175" fontId="17" fillId="3" borderId="7" xfId="4" applyNumberFormat="1" applyFont="1" applyFill="1" applyBorder="1"/>
    <xf numFmtId="175" fontId="17" fillId="4" borderId="4" xfId="4" applyNumberFormat="1" applyFont="1" applyFill="1" applyBorder="1" applyAlignment="1">
      <alignment horizontal="center"/>
    </xf>
    <xf numFmtId="175" fontId="17" fillId="4" borderId="5" xfId="4" applyNumberFormat="1" applyFont="1" applyFill="1" applyBorder="1" applyAlignment="1">
      <alignment horizontal="center"/>
    </xf>
    <xf numFmtId="177" fontId="17" fillId="4" borderId="0" xfId="4" applyNumberFormat="1" applyFont="1" applyFill="1" applyBorder="1"/>
    <xf numFmtId="4" fontId="17" fillId="4" borderId="6" xfId="12" applyNumberFormat="1" applyFont="1" applyFill="1" applyBorder="1"/>
    <xf numFmtId="177" fontId="17" fillId="4" borderId="6" xfId="4" applyNumberFormat="1" applyFont="1" applyFill="1" applyBorder="1"/>
    <xf numFmtId="0" fontId="17" fillId="4" borderId="4" xfId="15" applyFont="1" applyFill="1" applyBorder="1" applyAlignment="1">
      <alignment horizontal="center"/>
    </xf>
    <xf numFmtId="0" fontId="17" fillId="4" borderId="5" xfId="15" applyFont="1" applyFill="1" applyBorder="1" applyAlignment="1">
      <alignment horizontal="center"/>
    </xf>
    <xf numFmtId="0" fontId="17" fillId="4" borderId="3" xfId="15" applyFont="1" applyFill="1" applyBorder="1" applyAlignment="1">
      <alignment horizontal="center"/>
    </xf>
    <xf numFmtId="0" fontId="22" fillId="4" borderId="4" xfId="0" applyFont="1" applyFill="1" applyBorder="1" applyAlignment="1">
      <alignment horizontal="center"/>
    </xf>
    <xf numFmtId="172" fontId="22" fillId="5" borderId="12" xfId="0" applyNumberFormat="1" applyFont="1" applyFill="1" applyBorder="1"/>
    <xf numFmtId="172" fontId="22" fillId="5" borderId="11" xfId="0" applyNumberFormat="1" applyFont="1" applyFill="1" applyBorder="1"/>
    <xf numFmtId="3" fontId="22" fillId="4" borderId="0" xfId="12" applyNumberFormat="1" applyFont="1" applyFill="1" applyBorder="1"/>
    <xf numFmtId="172" fontId="22" fillId="4" borderId="0" xfId="0" applyNumberFormat="1" applyFont="1" applyFill="1" applyBorder="1"/>
    <xf numFmtId="165" fontId="22" fillId="4" borderId="9" xfId="4" applyFont="1" applyFill="1" applyBorder="1"/>
    <xf numFmtId="3" fontId="22" fillId="4" borderId="4" xfId="12" applyNumberFormat="1" applyFont="1" applyFill="1" applyBorder="1" applyAlignment="1">
      <alignment horizontal="right"/>
    </xf>
    <xf numFmtId="172" fontId="22" fillId="4" borderId="5" xfId="0" applyNumberFormat="1" applyFont="1" applyFill="1" applyBorder="1"/>
    <xf numFmtId="0" fontId="17" fillId="8" borderId="0" xfId="0" applyFont="1" applyFill="1" applyBorder="1" applyAlignment="1">
      <alignment horizontal="right"/>
    </xf>
    <xf numFmtId="179" fontId="17" fillId="7" borderId="14" xfId="4" applyNumberFormat="1" applyFont="1" applyFill="1" applyBorder="1"/>
    <xf numFmtId="3" fontId="22" fillId="4" borderId="0" xfId="0" applyNumberFormat="1" applyFont="1" applyFill="1"/>
    <xf numFmtId="165" fontId="17" fillId="7" borderId="17" xfId="4" applyFont="1" applyFill="1" applyBorder="1"/>
    <xf numFmtId="167" fontId="17" fillId="7" borderId="14" xfId="0" applyNumberFormat="1" applyFont="1" applyFill="1" applyBorder="1" applyAlignment="1">
      <alignment horizontal="center"/>
    </xf>
    <xf numFmtId="10" fontId="16" fillId="6" borderId="3" xfId="12" applyNumberFormat="1" applyFont="1" applyFill="1" applyBorder="1" applyAlignment="1">
      <alignment vertical="center"/>
    </xf>
    <xf numFmtId="165" fontId="16" fillId="6" borderId="4" xfId="4" applyFont="1" applyFill="1" applyBorder="1" applyAlignment="1">
      <alignment horizontal="center" vertical="center" wrapText="1"/>
    </xf>
    <xf numFmtId="175" fontId="27" fillId="4" borderId="0" xfId="4" applyNumberFormat="1" applyFont="1" applyFill="1" applyAlignment="1">
      <alignment horizontal="right"/>
    </xf>
    <xf numFmtId="165" fontId="16" fillId="6" borderId="5" xfId="4" applyFont="1" applyFill="1" applyBorder="1" applyAlignment="1">
      <alignment horizontal="center" vertical="top" wrapText="1"/>
    </xf>
    <xf numFmtId="165" fontId="17" fillId="4" borderId="0" xfId="4" applyFont="1" applyFill="1" applyAlignment="1">
      <alignment horizontal="center"/>
    </xf>
    <xf numFmtId="165" fontId="17" fillId="4" borderId="0" xfId="4" applyFont="1" applyFill="1" applyBorder="1" applyAlignment="1">
      <alignment horizontal="center"/>
    </xf>
    <xf numFmtId="165" fontId="17" fillId="4" borderId="0" xfId="4" applyFont="1" applyFill="1" applyBorder="1" applyAlignment="1">
      <alignment horizontal="left"/>
    </xf>
    <xf numFmtId="165" fontId="17" fillId="4" borderId="0" xfId="4" applyFont="1" applyFill="1" applyAlignment="1">
      <alignment horizontal="left"/>
    </xf>
    <xf numFmtId="165" fontId="18" fillId="4" borderId="0" xfId="4" applyFont="1" applyFill="1"/>
    <xf numFmtId="165" fontId="17" fillId="4" borderId="0" xfId="4" applyFont="1" applyFill="1" applyAlignment="1">
      <alignment horizontal="center" vertical="top" wrapText="1"/>
    </xf>
    <xf numFmtId="165" fontId="31" fillId="6" borderId="14" xfId="4" applyFont="1" applyFill="1" applyBorder="1" applyAlignment="1">
      <alignment horizontal="center"/>
    </xf>
    <xf numFmtId="165" fontId="16" fillId="6" borderId="14" xfId="4" applyFont="1" applyFill="1" applyBorder="1" applyAlignment="1">
      <alignment horizontal="center"/>
    </xf>
    <xf numFmtId="165" fontId="17" fillId="4" borderId="9" xfId="4" applyFont="1" applyFill="1" applyBorder="1"/>
    <xf numFmtId="165" fontId="32" fillId="4" borderId="5" xfId="4" applyFont="1" applyFill="1" applyBorder="1"/>
    <xf numFmtId="165" fontId="17" fillId="2" borderId="5" xfId="4" applyFont="1" applyFill="1" applyBorder="1"/>
    <xf numFmtId="165" fontId="17" fillId="0" borderId="5" xfId="4" applyFont="1" applyFill="1" applyBorder="1"/>
    <xf numFmtId="165" fontId="17" fillId="0" borderId="0" xfId="4" applyFont="1" applyFill="1"/>
    <xf numFmtId="165" fontId="17" fillId="2" borderId="14" xfId="4" applyFont="1" applyFill="1" applyBorder="1"/>
    <xf numFmtId="165" fontId="17" fillId="4" borderId="0" xfId="4" applyFont="1" applyFill="1" applyBorder="1"/>
    <xf numFmtId="180" fontId="19" fillId="4" borderId="0" xfId="4" applyNumberFormat="1" applyFont="1" applyFill="1" applyAlignment="1">
      <alignment horizontal="left"/>
    </xf>
    <xf numFmtId="180" fontId="17" fillId="4" borderId="0" xfId="4" applyNumberFormat="1" applyFont="1" applyFill="1" applyAlignment="1">
      <alignment horizontal="left"/>
    </xf>
    <xf numFmtId="180" fontId="17" fillId="4" borderId="5" xfId="4" applyNumberFormat="1" applyFont="1" applyFill="1" applyBorder="1" applyAlignment="1">
      <alignment horizontal="center"/>
    </xf>
    <xf numFmtId="180" fontId="17" fillId="0" borderId="5" xfId="4" applyNumberFormat="1" applyFont="1" applyFill="1" applyBorder="1" applyAlignment="1">
      <alignment horizontal="center"/>
    </xf>
    <xf numFmtId="180" fontId="17" fillId="4" borderId="14" xfId="4" applyNumberFormat="1" applyFont="1" applyFill="1" applyBorder="1" applyAlignment="1">
      <alignment horizontal="center"/>
    </xf>
    <xf numFmtId="180" fontId="17" fillId="4" borderId="0" xfId="4" applyNumberFormat="1" applyFont="1" applyFill="1" applyAlignment="1">
      <alignment horizontal="center"/>
    </xf>
    <xf numFmtId="175" fontId="32" fillId="4" borderId="0" xfId="4" applyNumberFormat="1" applyFont="1" applyFill="1"/>
    <xf numFmtId="175" fontId="33" fillId="4" borderId="0" xfId="4" applyNumberFormat="1" applyFont="1" applyFill="1"/>
    <xf numFmtId="165" fontId="17" fillId="3" borderId="14" xfId="4" applyFont="1" applyFill="1" applyBorder="1"/>
    <xf numFmtId="165" fontId="32" fillId="4" borderId="0" xfId="4" applyFont="1" applyFill="1"/>
    <xf numFmtId="165" fontId="17" fillId="3" borderId="0" xfId="4" applyFont="1" applyFill="1" applyBorder="1" applyAlignment="1">
      <alignment horizontal="center"/>
    </xf>
    <xf numFmtId="165" fontId="17" fillId="4" borderId="4" xfId="4" applyFont="1" applyFill="1" applyBorder="1" applyAlignment="1">
      <alignment horizontal="center"/>
    </xf>
    <xf numFmtId="165" fontId="17" fillId="4" borderId="3" xfId="4" applyFont="1" applyFill="1" applyBorder="1" applyAlignment="1">
      <alignment horizontal="center"/>
    </xf>
    <xf numFmtId="14" fontId="31" fillId="6" borderId="4" xfId="0" applyNumberFormat="1" applyFont="1" applyFill="1" applyBorder="1" applyAlignment="1">
      <alignment horizontal="center"/>
    </xf>
    <xf numFmtId="165" fontId="17" fillId="4" borderId="9" xfId="4" applyNumberFormat="1" applyFont="1" applyFill="1" applyBorder="1"/>
    <xf numFmtId="0" fontId="17" fillId="7" borderId="14" xfId="0" applyFont="1" applyFill="1" applyBorder="1" applyAlignment="1">
      <alignment horizontal="center"/>
    </xf>
    <xf numFmtId="0" fontId="23" fillId="11" borderId="0" xfId="18" applyFont="1" applyFill="1"/>
    <xf numFmtId="0" fontId="17" fillId="11" borderId="0" xfId="18" applyFont="1" applyFill="1"/>
    <xf numFmtId="0" fontId="27" fillId="11" borderId="0" xfId="18" applyFont="1" applyFill="1" applyAlignment="1">
      <alignment horizontal="right"/>
    </xf>
    <xf numFmtId="0" fontId="24" fillId="11" borderId="0" xfId="18" applyFont="1" applyFill="1" applyAlignment="1">
      <alignment horizontal="right"/>
    </xf>
    <xf numFmtId="0" fontId="24" fillId="11" borderId="0" xfId="18" applyFont="1" applyFill="1"/>
    <xf numFmtId="0" fontId="36" fillId="4" borderId="0" xfId="19" applyFont="1" applyFill="1" applyBorder="1" applyAlignment="1">
      <alignment horizontal="left" vertical="top" wrapText="1"/>
    </xf>
    <xf numFmtId="0" fontId="36" fillId="4" borderId="0" xfId="19" applyFont="1" applyFill="1" applyBorder="1" applyAlignment="1">
      <alignment horizontal="left" vertical="top"/>
    </xf>
    <xf numFmtId="0" fontId="27" fillId="4" borderId="0" xfId="18" applyFont="1" applyFill="1" applyBorder="1"/>
    <xf numFmtId="0" fontId="27" fillId="4" borderId="0" xfId="18" applyFont="1" applyFill="1" applyAlignment="1">
      <alignment horizontal="right"/>
    </xf>
    <xf numFmtId="0" fontId="27" fillId="11" borderId="0" xfId="18" applyFont="1" applyFill="1"/>
    <xf numFmtId="0" fontId="28" fillId="6" borderId="0" xfId="18" applyFont="1" applyFill="1"/>
    <xf numFmtId="0" fontId="16" fillId="6" borderId="0" xfId="18" applyFont="1" applyFill="1"/>
    <xf numFmtId="0" fontId="34" fillId="6" borderId="0" xfId="18" applyFont="1" applyFill="1" applyAlignment="1">
      <alignment horizontal="center"/>
    </xf>
    <xf numFmtId="0" fontId="36" fillId="4" borderId="0" xfId="19" applyFont="1" applyFill="1" applyBorder="1" applyAlignment="1">
      <alignment horizontal="left" vertical="center" wrapText="1"/>
    </xf>
    <xf numFmtId="0" fontId="36" fillId="4" borderId="0" xfId="19" applyFont="1" applyFill="1" applyBorder="1" applyAlignment="1">
      <alignment horizontal="left" vertical="center"/>
    </xf>
    <xf numFmtId="165" fontId="27" fillId="4" borderId="0" xfId="4" applyFont="1" applyFill="1" applyBorder="1" applyAlignment="1">
      <alignment vertical="center"/>
    </xf>
    <xf numFmtId="165" fontId="27" fillId="13" borderId="0" xfId="4" applyFont="1" applyFill="1" applyBorder="1" applyAlignment="1">
      <alignment vertical="center"/>
    </xf>
    <xf numFmtId="0" fontId="27" fillId="11" borderId="0" xfId="18" applyFont="1" applyFill="1" applyAlignment="1">
      <alignment vertical="center"/>
    </xf>
    <xf numFmtId="165" fontId="27" fillId="13" borderId="0" xfId="4" applyFont="1" applyFill="1" applyBorder="1" applyAlignment="1">
      <alignment vertical="center" wrapText="1"/>
    </xf>
    <xf numFmtId="165" fontId="27" fillId="4" borderId="16" xfId="4" applyFont="1" applyFill="1" applyBorder="1" applyAlignment="1">
      <alignment vertical="center"/>
    </xf>
    <xf numFmtId="0" fontId="37" fillId="4" borderId="0" xfId="19" applyFont="1" applyFill="1" applyBorder="1" applyAlignment="1">
      <alignment horizontal="left" vertical="center"/>
    </xf>
    <xf numFmtId="165" fontId="29" fillId="4" borderId="0" xfId="4" applyFont="1" applyFill="1" applyBorder="1" applyAlignment="1">
      <alignment vertical="center"/>
    </xf>
    <xf numFmtId="165" fontId="38" fillId="4" borderId="0" xfId="4" applyFont="1" applyFill="1" applyBorder="1" applyAlignment="1">
      <alignment vertical="center"/>
    </xf>
    <xf numFmtId="0" fontId="28" fillId="6" borderId="0" xfId="18" applyFont="1" applyFill="1" applyAlignment="1">
      <alignment vertical="center"/>
    </xf>
    <xf numFmtId="0" fontId="16" fillId="6" borderId="0" xfId="18" applyFont="1" applyFill="1" applyAlignment="1">
      <alignment vertical="center"/>
    </xf>
    <xf numFmtId="0" fontId="34" fillId="6" borderId="0" xfId="18" applyFont="1" applyFill="1" applyAlignment="1">
      <alignment horizontal="center" vertical="center"/>
    </xf>
    <xf numFmtId="0" fontId="17" fillId="11" borderId="0" xfId="18" applyFont="1" applyFill="1" applyAlignment="1">
      <alignment vertical="center"/>
    </xf>
    <xf numFmtId="0" fontId="37" fillId="4" borderId="0" xfId="19" applyFont="1" applyFill="1" applyBorder="1" applyAlignment="1">
      <alignment horizontal="left" vertical="center" wrapText="1"/>
    </xf>
    <xf numFmtId="165" fontId="16" fillId="6" borderId="0" xfId="4" applyFont="1" applyFill="1" applyAlignment="1">
      <alignment vertical="center"/>
    </xf>
    <xf numFmtId="0" fontId="27" fillId="4" borderId="0" xfId="19" applyFont="1" applyFill="1" applyBorder="1" applyAlignment="1">
      <alignment horizontal="left" vertical="center" wrapText="1"/>
    </xf>
    <xf numFmtId="0" fontId="27" fillId="4" borderId="0" xfId="19" applyFont="1" applyFill="1" applyBorder="1" applyAlignment="1">
      <alignment horizontal="left" vertical="center"/>
    </xf>
    <xf numFmtId="0" fontId="27" fillId="4" borderId="0" xfId="18" applyFont="1" applyFill="1" applyAlignment="1">
      <alignment vertical="center"/>
    </xf>
    <xf numFmtId="175" fontId="27" fillId="4" borderId="0" xfId="4" applyNumberFormat="1" applyFont="1" applyFill="1" applyBorder="1" applyAlignment="1">
      <alignment vertical="center"/>
    </xf>
    <xf numFmtId="0" fontId="27" fillId="4" borderId="0" xfId="18" applyFont="1" applyFill="1" applyAlignment="1"/>
    <xf numFmtId="0" fontId="27" fillId="11" borderId="0" xfId="18" applyFont="1" applyFill="1" applyAlignment="1"/>
    <xf numFmtId="0" fontId="16" fillId="6" borderId="0" xfId="18" applyFont="1" applyFill="1" applyAlignment="1"/>
    <xf numFmtId="165" fontId="16" fillId="6" borderId="0" xfId="4" applyFont="1" applyFill="1"/>
    <xf numFmtId="165" fontId="27" fillId="4" borderId="0" xfId="4" applyFont="1" applyFill="1" applyBorder="1"/>
    <xf numFmtId="182" fontId="27" fillId="4" borderId="0" xfId="19" applyNumberFormat="1" applyFont="1" applyFill="1" applyBorder="1" applyAlignment="1">
      <alignment horizontal="left" vertical="top" wrapText="1"/>
    </xf>
    <xf numFmtId="0" fontId="27" fillId="4" borderId="0" xfId="19" applyFont="1" applyFill="1" applyBorder="1" applyAlignment="1">
      <alignment horizontal="left" vertical="top"/>
    </xf>
    <xf numFmtId="165" fontId="27" fillId="4" borderId="0" xfId="4" applyFont="1" applyFill="1" applyBorder="1" applyAlignment="1">
      <alignment horizontal="right"/>
    </xf>
    <xf numFmtId="0" fontId="27" fillId="4" borderId="0" xfId="19" applyFont="1" applyFill="1" applyBorder="1" applyAlignment="1">
      <alignment horizontal="left" vertical="top" wrapText="1"/>
    </xf>
    <xf numFmtId="0" fontId="27" fillId="4" borderId="18" xfId="19" applyFont="1" applyFill="1" applyBorder="1" applyAlignment="1">
      <alignment horizontal="left" vertical="top" wrapText="1"/>
    </xf>
    <xf numFmtId="0" fontId="27" fillId="4" borderId="18" xfId="19" applyFont="1" applyFill="1" applyBorder="1" applyAlignment="1">
      <alignment horizontal="left" vertical="top"/>
    </xf>
    <xf numFmtId="165" fontId="27" fillId="4" borderId="18" xfId="4" applyFont="1" applyFill="1" applyBorder="1"/>
    <xf numFmtId="0" fontId="40" fillId="4" borderId="0" xfId="19" applyFont="1" applyFill="1" applyBorder="1" applyAlignment="1">
      <alignment horizontal="left" vertical="top"/>
    </xf>
    <xf numFmtId="175" fontId="29" fillId="4" borderId="0" xfId="4" applyNumberFormat="1" applyFont="1" applyFill="1" applyAlignment="1">
      <alignment horizontal="center"/>
    </xf>
    <xf numFmtId="0" fontId="31" fillId="6" borderId="4" xfId="4" quotePrefix="1" applyNumberFormat="1" applyFont="1" applyFill="1" applyBorder="1" applyAlignment="1">
      <alignment horizontal="center"/>
    </xf>
    <xf numFmtId="0" fontId="16" fillId="6" borderId="5" xfId="0" applyFont="1" applyFill="1" applyBorder="1" applyAlignment="1">
      <alignment horizontal="center" vertical="center" wrapText="1"/>
    </xf>
    <xf numFmtId="0" fontId="29" fillId="3" borderId="19" xfId="0" applyFont="1" applyFill="1" applyBorder="1" applyAlignment="1">
      <alignment horizontal="center" vertical="center" wrapText="1"/>
    </xf>
    <xf numFmtId="0" fontId="27" fillId="3" borderId="19" xfId="0" applyFont="1" applyFill="1" applyBorder="1" applyAlignment="1">
      <alignment horizontal="center" vertical="center" wrapText="1"/>
    </xf>
    <xf numFmtId="175" fontId="27" fillId="3" borderId="20" xfId="4" applyNumberFormat="1" applyFont="1" applyFill="1" applyBorder="1" applyAlignment="1">
      <alignment horizontal="center" vertical="center" wrapText="1"/>
    </xf>
    <xf numFmtId="0" fontId="27" fillId="3" borderId="21" xfId="0" applyFont="1" applyFill="1" applyBorder="1"/>
    <xf numFmtId="175" fontId="27" fillId="13" borderId="21" xfId="0" applyNumberFormat="1" applyFont="1" applyFill="1" applyBorder="1"/>
    <xf numFmtId="175" fontId="27" fillId="13" borderId="21" xfId="4" applyNumberFormat="1" applyFont="1" applyFill="1" applyBorder="1"/>
    <xf numFmtId="175" fontId="27" fillId="13" borderId="0" xfId="4" applyNumberFormat="1" applyFont="1" applyFill="1"/>
    <xf numFmtId="175" fontId="27" fillId="13" borderId="23" xfId="4" applyNumberFormat="1" applyFont="1" applyFill="1" applyBorder="1"/>
    <xf numFmtId="175" fontId="27" fillId="13" borderId="16" xfId="4" applyNumberFormat="1" applyFont="1" applyFill="1" applyBorder="1"/>
    <xf numFmtId="0" fontId="41" fillId="4" borderId="0" xfId="0" applyFont="1" applyFill="1" applyAlignment="1">
      <alignment horizontal="right"/>
    </xf>
    <xf numFmtId="0" fontId="0" fillId="4" borderId="0" xfId="0" applyFill="1"/>
    <xf numFmtId="0" fontId="19" fillId="4" borderId="0" xfId="0" applyFont="1" applyFill="1" applyAlignment="1">
      <alignment horizontal="left" vertical="center"/>
    </xf>
    <xf numFmtId="0" fontId="19" fillId="4" borderId="0" xfId="0" applyFont="1" applyFill="1" applyAlignment="1">
      <alignment vertical="center"/>
    </xf>
    <xf numFmtId="175" fontId="22" fillId="4" borderId="5" xfId="4" applyNumberFormat="1" applyFont="1" applyFill="1" applyBorder="1"/>
    <xf numFmtId="175" fontId="22" fillId="4" borderId="14" xfId="4" applyNumberFormat="1" applyFont="1" applyFill="1" applyBorder="1"/>
    <xf numFmtId="172" fontId="22" fillId="5" borderId="14" xfId="0" applyNumberFormat="1" applyFont="1" applyFill="1" applyBorder="1"/>
    <xf numFmtId="3" fontId="22" fillId="4" borderId="5" xfId="0" applyNumberFormat="1" applyFont="1" applyFill="1" applyBorder="1"/>
    <xf numFmtId="175" fontId="27" fillId="13" borderId="22" xfId="0" applyNumberFormat="1" applyFont="1" applyFill="1" applyBorder="1"/>
    <xf numFmtId="0" fontId="17" fillId="4" borderId="9" xfId="0" applyFont="1" applyFill="1" applyBorder="1" applyAlignment="1">
      <alignment horizontal="left"/>
    </xf>
    <xf numFmtId="0" fontId="17" fillId="4" borderId="10" xfId="0" applyFont="1" applyFill="1" applyBorder="1" applyAlignment="1">
      <alignment horizontal="left"/>
    </xf>
    <xf numFmtId="3" fontId="17" fillId="3" borderId="13" xfId="12" applyNumberFormat="1" applyFont="1" applyFill="1" applyBorder="1"/>
    <xf numFmtId="3" fontId="17" fillId="3" borderId="0" xfId="0" applyNumberFormat="1" applyFont="1" applyFill="1" applyBorder="1"/>
    <xf numFmtId="0" fontId="17" fillId="4" borderId="8" xfId="0" applyFont="1" applyFill="1" applyBorder="1" applyAlignment="1">
      <alignment horizontal="left"/>
    </xf>
    <xf numFmtId="3" fontId="17" fillId="4" borderId="12" xfId="12" applyNumberFormat="1" applyFont="1" applyFill="1" applyBorder="1"/>
    <xf numFmtId="3" fontId="17" fillId="4" borderId="11" xfId="12" applyNumberFormat="1" applyFont="1" applyFill="1" applyBorder="1"/>
    <xf numFmtId="3" fontId="17" fillId="4" borderId="13" xfId="12" applyNumberFormat="1" applyFont="1" applyFill="1" applyBorder="1"/>
    <xf numFmtId="3" fontId="17" fillId="3" borderId="3" xfId="12" applyNumberFormat="1" applyFont="1" applyFill="1" applyBorder="1"/>
    <xf numFmtId="3" fontId="17" fillId="3" borderId="14" xfId="12" applyNumberFormat="1" applyFont="1" applyFill="1" applyBorder="1"/>
    <xf numFmtId="0" fontId="16" fillId="6" borderId="5" xfId="0" applyFont="1" applyFill="1" applyBorder="1" applyAlignment="1">
      <alignment horizontal="center" vertical="center"/>
    </xf>
    <xf numFmtId="171" fontId="17" fillId="8" borderId="0" xfId="0" applyNumberFormat="1" applyFont="1" applyFill="1"/>
    <xf numFmtId="175" fontId="17" fillId="4" borderId="17" xfId="4" applyNumberFormat="1" applyFont="1" applyFill="1" applyBorder="1" applyAlignment="1">
      <alignment horizontal="center"/>
    </xf>
    <xf numFmtId="172" fontId="17" fillId="4" borderId="3" xfId="0" applyNumberFormat="1" applyFont="1" applyFill="1" applyBorder="1"/>
    <xf numFmtId="172" fontId="22" fillId="4" borderId="3" xfId="0" applyNumberFormat="1" applyFont="1" applyFill="1" applyBorder="1"/>
    <xf numFmtId="172" fontId="22" fillId="5" borderId="7" xfId="0" applyNumberFormat="1" applyFont="1" applyFill="1" applyBorder="1"/>
    <xf numFmtId="175" fontId="17" fillId="7" borderId="14" xfId="4" applyNumberFormat="1" applyFont="1" applyFill="1" applyBorder="1" applyAlignment="1">
      <alignment horizontal="center"/>
    </xf>
    <xf numFmtId="165" fontId="17" fillId="4" borderId="4" xfId="4" applyFont="1" applyFill="1" applyBorder="1" applyAlignment="1">
      <alignment horizontal="center" vertical="top" wrapText="1"/>
    </xf>
    <xf numFmtId="165" fontId="17" fillId="4" borderId="5" xfId="4" applyFont="1" applyFill="1" applyBorder="1" applyAlignment="1">
      <alignment horizontal="center" vertical="top" wrapText="1"/>
    </xf>
    <xf numFmtId="165" fontId="17" fillId="4" borderId="3" xfId="4" applyFont="1" applyFill="1" applyBorder="1" applyAlignment="1">
      <alignment horizontal="center" vertical="top" wrapText="1"/>
    </xf>
    <xf numFmtId="165" fontId="17" fillId="10" borderId="5" xfId="4" applyFont="1" applyFill="1" applyBorder="1" applyAlignment="1">
      <alignment horizontal="center" vertical="top" wrapText="1"/>
    </xf>
    <xf numFmtId="175" fontId="31" fillId="6" borderId="17" xfId="4" applyNumberFormat="1" applyFont="1" applyFill="1" applyBorder="1" applyAlignment="1">
      <alignment horizontal="center"/>
    </xf>
    <xf numFmtId="165" fontId="17" fillId="4" borderId="17" xfId="4" applyFont="1" applyFill="1" applyBorder="1"/>
    <xf numFmtId="175" fontId="17" fillId="8" borderId="0" xfId="0" applyNumberFormat="1" applyFont="1" applyFill="1"/>
    <xf numFmtId="175" fontId="22" fillId="4" borderId="0" xfId="4" applyNumberFormat="1" applyFont="1" applyFill="1" applyBorder="1"/>
    <xf numFmtId="175" fontId="22" fillId="4" borderId="4" xfId="4" applyNumberFormat="1" applyFont="1" applyFill="1" applyBorder="1"/>
    <xf numFmtId="175" fontId="19" fillId="4" borderId="0" xfId="4" applyNumberFormat="1" applyFont="1" applyFill="1" applyAlignment="1">
      <alignment vertical="center"/>
    </xf>
    <xf numFmtId="175" fontId="17" fillId="4" borderId="0" xfId="4" applyNumberFormat="1" applyFont="1" applyFill="1"/>
    <xf numFmtId="43" fontId="17" fillId="4" borderId="0" xfId="0" applyNumberFormat="1" applyFont="1" applyFill="1"/>
    <xf numFmtId="175" fontId="27" fillId="8" borderId="0" xfId="0" applyNumberFormat="1" applyFont="1" applyFill="1"/>
    <xf numFmtId="172" fontId="22" fillId="4" borderId="7" xfId="0" applyNumberFormat="1" applyFont="1" applyFill="1" applyBorder="1"/>
    <xf numFmtId="175" fontId="17" fillId="4" borderId="0" xfId="4" applyNumberFormat="1" applyFont="1" applyFill="1"/>
    <xf numFmtId="175" fontId="17" fillId="4" borderId="0" xfId="4" applyNumberFormat="1" applyFont="1" applyFill="1" applyAlignment="1">
      <alignment vertical="center"/>
    </xf>
    <xf numFmtId="175" fontId="22" fillId="4" borderId="0" xfId="4" applyNumberFormat="1" applyFont="1" applyFill="1"/>
    <xf numFmtId="175" fontId="17" fillId="4" borderId="0" xfId="4" applyNumberFormat="1" applyFont="1" applyFill="1"/>
    <xf numFmtId="175" fontId="17" fillId="4" borderId="0" xfId="4" applyNumberFormat="1" applyFont="1" applyFill="1" applyBorder="1"/>
    <xf numFmtId="175" fontId="17" fillId="4" borderId="0" xfId="4" applyNumberFormat="1" applyFont="1" applyFill="1" applyAlignment="1">
      <alignment vertical="center"/>
    </xf>
    <xf numFmtId="165" fontId="27" fillId="8" borderId="0" xfId="4" applyFont="1" applyFill="1"/>
    <xf numFmtId="10" fontId="16" fillId="6" borderId="5" xfId="12" applyNumberFormat="1" applyFont="1" applyFill="1" applyBorder="1" applyAlignment="1">
      <alignment vertical="center"/>
    </xf>
    <xf numFmtId="165" fontId="32" fillId="4" borderId="0" xfId="4" applyNumberFormat="1" applyFont="1" applyFill="1"/>
    <xf numFmtId="0" fontId="16" fillId="6" borderId="4" xfId="0" applyFont="1" applyFill="1" applyBorder="1" applyAlignment="1">
      <alignment horizontal="center" vertical="center" wrapText="1"/>
    </xf>
    <xf numFmtId="0" fontId="19" fillId="4" borderId="0" xfId="0" applyFont="1" applyFill="1" applyAlignment="1">
      <alignment vertical="center"/>
    </xf>
    <xf numFmtId="165" fontId="16" fillId="6" borderId="14" xfId="4" applyNumberFormat="1" applyFont="1" applyFill="1" applyBorder="1" applyAlignment="1">
      <alignment horizontal="center" vertical="top" wrapText="1"/>
    </xf>
    <xf numFmtId="2" fontId="16" fillId="6" borderId="14" xfId="0" applyNumberFormat="1" applyFont="1" applyFill="1" applyBorder="1" applyAlignment="1">
      <alignment horizontal="center" vertical="top" wrapText="1"/>
    </xf>
    <xf numFmtId="0" fontId="19" fillId="4" borderId="0" xfId="11" applyFont="1" applyFill="1" applyAlignment="1">
      <alignment vertical="center"/>
    </xf>
    <xf numFmtId="165" fontId="19" fillId="4" borderId="0" xfId="4" applyFont="1" applyFill="1" applyAlignment="1">
      <alignment vertical="center"/>
    </xf>
    <xf numFmtId="165" fontId="27" fillId="11" borderId="0" xfId="18" applyNumberFormat="1" applyFont="1" applyFill="1" applyAlignment="1">
      <alignment vertical="center"/>
    </xf>
    <xf numFmtId="167" fontId="16" fillId="6" borderId="14" xfId="12" applyNumberFormat="1" applyFont="1" applyFill="1" applyBorder="1" applyAlignment="1">
      <alignment horizontal="center" vertical="center" wrapText="1"/>
    </xf>
    <xf numFmtId="167" fontId="16" fillId="6" borderId="14" xfId="12" applyNumberFormat="1" applyFont="1" applyFill="1" applyBorder="1" applyAlignment="1">
      <alignment vertical="center" wrapText="1"/>
    </xf>
    <xf numFmtId="0" fontId="17" fillId="7" borderId="8" xfId="0" applyFont="1" applyFill="1" applyBorder="1" applyAlignment="1">
      <alignment horizontal="center"/>
    </xf>
    <xf numFmtId="0" fontId="17" fillId="7" borderId="15" xfId="0" applyFont="1" applyFill="1" applyBorder="1" applyAlignment="1">
      <alignment horizontal="center"/>
    </xf>
    <xf numFmtId="0" fontId="17" fillId="7" borderId="12" xfId="0" applyFont="1" applyFill="1" applyBorder="1" applyAlignment="1">
      <alignment horizontal="center"/>
    </xf>
    <xf numFmtId="0" fontId="17" fillId="8" borderId="9" xfId="0" quotePrefix="1" applyFont="1" applyFill="1" applyBorder="1"/>
    <xf numFmtId="0" fontId="17" fillId="8" borderId="0" xfId="0" quotePrefix="1" applyFont="1" applyFill="1" applyBorder="1"/>
    <xf numFmtId="0" fontId="17" fillId="8" borderId="11" xfId="0" quotePrefix="1" applyFont="1" applyFill="1" applyBorder="1"/>
    <xf numFmtId="0" fontId="17" fillId="8" borderId="10" xfId="0" quotePrefix="1" applyFont="1" applyFill="1" applyBorder="1"/>
    <xf numFmtId="0" fontId="17" fillId="8" borderId="16" xfId="0" quotePrefix="1" applyFont="1" applyFill="1" applyBorder="1"/>
    <xf numFmtId="0" fontId="17" fillId="8" borderId="13" xfId="0" quotePrefix="1" applyFont="1" applyFill="1" applyBorder="1"/>
    <xf numFmtId="0" fontId="17" fillId="7" borderId="14" xfId="0" applyFont="1" applyFill="1" applyBorder="1" applyAlignment="1">
      <alignment horizontal="center"/>
    </xf>
    <xf numFmtId="3" fontId="17" fillId="8" borderId="8" xfId="0" applyNumberFormat="1" applyFont="1" applyFill="1" applyBorder="1" applyAlignment="1">
      <alignment horizontal="center" wrapText="1"/>
    </xf>
    <xf numFmtId="3" fontId="17" fillId="8" borderId="12" xfId="0" applyNumberFormat="1" applyFont="1" applyFill="1" applyBorder="1" applyAlignment="1">
      <alignment horizontal="center" wrapText="1"/>
    </xf>
    <xf numFmtId="3" fontId="17" fillId="8" borderId="10" xfId="0" applyNumberFormat="1" applyFont="1" applyFill="1" applyBorder="1" applyAlignment="1">
      <alignment horizontal="center" wrapText="1"/>
    </xf>
    <xf numFmtId="3" fontId="17" fillId="8" borderId="13" xfId="0" applyNumberFormat="1" applyFont="1" applyFill="1" applyBorder="1" applyAlignment="1">
      <alignment horizontal="center" wrapText="1"/>
    </xf>
    <xf numFmtId="0" fontId="30" fillId="4" borderId="0" xfId="0" applyFont="1" applyFill="1" applyAlignment="1">
      <alignment horizontal="center"/>
    </xf>
    <xf numFmtId="0" fontId="25" fillId="9" borderId="0" xfId="0" applyFont="1" applyFill="1" applyAlignment="1">
      <alignment horizontal="center"/>
    </xf>
    <xf numFmtId="0" fontId="42" fillId="4" borderId="0" xfId="0" applyFont="1" applyFill="1" applyAlignment="1">
      <alignment horizontal="left" vertical="top" wrapText="1"/>
    </xf>
    <xf numFmtId="0" fontId="24" fillId="12" borderId="0" xfId="18" applyFont="1" applyFill="1" applyAlignment="1">
      <alignment horizontal="center"/>
    </xf>
    <xf numFmtId="0" fontId="35" fillId="4" borderId="0" xfId="18" applyFont="1" applyFill="1" applyAlignment="1">
      <alignment horizontal="center"/>
    </xf>
    <xf numFmtId="0" fontId="27" fillId="4" borderId="0" xfId="19" applyFont="1" applyFill="1" applyBorder="1" applyAlignment="1">
      <alignment horizontal="left" vertical="top" wrapText="1"/>
    </xf>
    <xf numFmtId="181" fontId="27" fillId="4" borderId="0" xfId="19" applyNumberFormat="1" applyFont="1" applyFill="1" applyBorder="1" applyAlignment="1">
      <alignment horizontal="left" vertical="top" wrapText="1"/>
    </xf>
    <xf numFmtId="175" fontId="31" fillId="6" borderId="4" xfId="4" applyNumberFormat="1" applyFont="1" applyFill="1" applyBorder="1" applyAlignment="1">
      <alignment horizontal="center" vertical="center" textRotation="90" wrapText="1"/>
    </xf>
    <xf numFmtId="175" fontId="31" fillId="6" borderId="3" xfId="4" applyNumberFormat="1" applyFont="1" applyFill="1" applyBorder="1" applyAlignment="1">
      <alignment horizontal="center" vertical="center" textRotation="90" wrapText="1"/>
    </xf>
    <xf numFmtId="175" fontId="31" fillId="6" borderId="5" xfId="4" applyNumberFormat="1" applyFont="1" applyFill="1" applyBorder="1" applyAlignment="1">
      <alignment horizontal="center" vertical="center" textRotation="90" wrapText="1"/>
    </xf>
    <xf numFmtId="165" fontId="16" fillId="6" borderId="4" xfId="4" applyFont="1" applyFill="1" applyBorder="1" applyAlignment="1">
      <alignment horizontal="center" vertical="center" textRotation="90" wrapText="1"/>
    </xf>
    <xf numFmtId="165" fontId="16" fillId="6" borderId="5" xfId="4" applyFont="1" applyFill="1" applyBorder="1" applyAlignment="1">
      <alignment horizontal="center" vertical="center" textRotation="90" wrapText="1"/>
    </xf>
    <xf numFmtId="165" fontId="16" fillId="6" borderId="3" xfId="4" applyFont="1" applyFill="1" applyBorder="1" applyAlignment="1">
      <alignment horizontal="center" vertical="center" textRotation="90" wrapText="1"/>
    </xf>
    <xf numFmtId="3" fontId="31" fillId="6" borderId="4" xfId="0" applyNumberFormat="1" applyFont="1" applyFill="1" applyBorder="1" applyAlignment="1">
      <alignment horizontal="center" vertical="center" textRotation="90" wrapText="1"/>
    </xf>
    <xf numFmtId="0" fontId="31" fillId="6" borderId="3" xfId="0" applyFont="1" applyFill="1" applyBorder="1" applyAlignment="1">
      <alignment horizontal="center" vertical="center" textRotation="90" wrapText="1"/>
    </xf>
    <xf numFmtId="165" fontId="31" fillId="6" borderId="4" xfId="4" applyFont="1" applyFill="1" applyBorder="1" applyAlignment="1">
      <alignment horizontal="center" vertical="center" textRotation="90" wrapText="1"/>
    </xf>
    <xf numFmtId="165" fontId="31" fillId="6" borderId="3" xfId="4" applyFont="1" applyFill="1" applyBorder="1" applyAlignment="1">
      <alignment horizontal="center" vertical="center" textRotation="90" wrapText="1"/>
    </xf>
    <xf numFmtId="175" fontId="31" fillId="6" borderId="8" xfId="4" applyNumberFormat="1" applyFont="1" applyFill="1" applyBorder="1" applyAlignment="1">
      <alignment horizontal="center" vertical="center" textRotation="90" wrapText="1"/>
    </xf>
    <xf numFmtId="175" fontId="31" fillId="6" borderId="10" xfId="4" applyNumberFormat="1" applyFont="1" applyFill="1" applyBorder="1" applyAlignment="1">
      <alignment horizontal="center" vertical="center" textRotation="90" wrapText="1"/>
    </xf>
    <xf numFmtId="180" fontId="16" fillId="6" borderId="4" xfId="4" applyNumberFormat="1" applyFont="1" applyFill="1" applyBorder="1" applyAlignment="1">
      <alignment horizontal="center" vertical="center" wrapText="1"/>
    </xf>
    <xf numFmtId="180" fontId="16" fillId="6" borderId="5" xfId="4" applyNumberFormat="1" applyFont="1" applyFill="1" applyBorder="1" applyAlignment="1">
      <alignment horizontal="center" vertical="center" wrapText="1"/>
    </xf>
    <xf numFmtId="180" fontId="16" fillId="6" borderId="3" xfId="4" applyNumberFormat="1" applyFont="1" applyFill="1" applyBorder="1" applyAlignment="1">
      <alignment horizontal="center" vertical="center" wrapText="1"/>
    </xf>
    <xf numFmtId="165" fontId="16" fillId="6" borderId="8" xfId="4" applyFont="1" applyFill="1" applyBorder="1" applyAlignment="1">
      <alignment horizontal="center" vertical="center" wrapText="1"/>
    </xf>
    <xf numFmtId="165" fontId="16" fillId="6" borderId="9" xfId="4" applyFont="1" applyFill="1" applyBorder="1" applyAlignment="1">
      <alignment horizontal="center" vertical="center" wrapText="1"/>
    </xf>
    <xf numFmtId="165" fontId="16" fillId="6" borderId="10" xfId="4" applyFont="1" applyFill="1" applyBorder="1" applyAlignment="1">
      <alignment horizontal="center" vertical="center" wrapText="1"/>
    </xf>
    <xf numFmtId="165" fontId="16" fillId="6" borderId="12" xfId="4" applyFont="1" applyFill="1" applyBorder="1" applyAlignment="1">
      <alignment horizontal="center" vertical="center" textRotation="90" wrapText="1"/>
    </xf>
    <xf numFmtId="165" fontId="16" fillId="6" borderId="13" xfId="4" applyFont="1" applyFill="1" applyBorder="1" applyAlignment="1">
      <alignment horizontal="center" vertical="center" textRotation="90" wrapText="1"/>
    </xf>
    <xf numFmtId="175" fontId="31" fillId="6" borderId="12" xfId="4" applyNumberFormat="1" applyFont="1" applyFill="1" applyBorder="1" applyAlignment="1">
      <alignment horizontal="center" vertical="center" textRotation="90" wrapText="1"/>
    </xf>
    <xf numFmtId="175" fontId="31" fillId="6" borderId="13" xfId="4" applyNumberFormat="1" applyFont="1" applyFill="1" applyBorder="1" applyAlignment="1">
      <alignment horizontal="center" vertical="center" textRotation="90" wrapText="1"/>
    </xf>
    <xf numFmtId="3" fontId="16" fillId="6" borderId="4" xfId="0" applyNumberFormat="1" applyFont="1" applyFill="1" applyBorder="1" applyAlignment="1">
      <alignment horizontal="center" vertical="center" textRotation="90" wrapText="1"/>
    </xf>
    <xf numFmtId="3" fontId="16" fillId="6" borderId="3" xfId="0" applyNumberFormat="1" applyFont="1" applyFill="1" applyBorder="1" applyAlignment="1">
      <alignment horizontal="center" vertical="center" textRotation="90" wrapText="1"/>
    </xf>
    <xf numFmtId="4" fontId="16" fillId="6" borderId="4" xfId="0" applyNumberFormat="1" applyFont="1" applyFill="1" applyBorder="1" applyAlignment="1">
      <alignment horizontal="center" vertical="center" textRotation="90" wrapText="1"/>
    </xf>
    <xf numFmtId="4" fontId="16" fillId="6" borderId="5" xfId="0" applyNumberFormat="1" applyFont="1" applyFill="1" applyBorder="1" applyAlignment="1">
      <alignment horizontal="center" vertical="center" textRotation="90" wrapText="1"/>
    </xf>
    <xf numFmtId="4" fontId="16" fillId="6" borderId="3" xfId="0" applyNumberFormat="1" applyFont="1" applyFill="1" applyBorder="1" applyAlignment="1">
      <alignment horizontal="center" vertical="center" textRotation="90" wrapText="1"/>
    </xf>
    <xf numFmtId="3" fontId="16" fillId="6" borderId="5" xfId="0" applyNumberFormat="1" applyFont="1" applyFill="1" applyBorder="1" applyAlignment="1">
      <alignment horizontal="center" vertical="center" textRotation="90" wrapText="1"/>
    </xf>
    <xf numFmtId="0" fontId="16" fillId="6" borderId="4" xfId="0" applyFont="1" applyFill="1" applyBorder="1" applyAlignment="1">
      <alignment horizontal="center" vertical="center" wrapText="1"/>
    </xf>
    <xf numFmtId="0" fontId="16" fillId="6" borderId="3" xfId="0" applyFont="1" applyFill="1" applyBorder="1" applyAlignment="1">
      <alignment horizontal="center" vertical="center" wrapText="1"/>
    </xf>
    <xf numFmtId="0" fontId="16" fillId="6" borderId="5" xfId="0" applyFont="1" applyFill="1" applyBorder="1" applyAlignment="1">
      <alignment horizontal="center" vertical="center" wrapText="1"/>
    </xf>
    <xf numFmtId="175" fontId="16" fillId="6" borderId="4" xfId="4" applyNumberFormat="1" applyFont="1" applyFill="1" applyBorder="1" applyAlignment="1">
      <alignment horizontal="center" vertical="center" wrapText="1"/>
    </xf>
    <xf numFmtId="175" fontId="16" fillId="6" borderId="5" xfId="4" applyNumberFormat="1" applyFont="1" applyFill="1" applyBorder="1" applyAlignment="1">
      <alignment horizontal="center" vertical="center" wrapText="1"/>
    </xf>
    <xf numFmtId="175" fontId="16" fillId="6" borderId="3" xfId="4" applyNumberFormat="1" applyFont="1" applyFill="1" applyBorder="1" applyAlignment="1">
      <alignment horizontal="center" vertical="center" wrapText="1"/>
    </xf>
    <xf numFmtId="0" fontId="16" fillId="6" borderId="4" xfId="0" applyNumberFormat="1" applyFont="1" applyFill="1" applyBorder="1" applyAlignment="1">
      <alignment horizontal="center" vertical="center" wrapText="1"/>
    </xf>
    <xf numFmtId="0" fontId="16" fillId="6" borderId="5" xfId="0" applyNumberFormat="1" applyFont="1" applyFill="1" applyBorder="1" applyAlignment="1">
      <alignment horizontal="center" vertical="center" wrapText="1"/>
    </xf>
    <xf numFmtId="0" fontId="16" fillId="6" borderId="3" xfId="0" applyNumberFormat="1" applyFont="1" applyFill="1" applyBorder="1" applyAlignment="1">
      <alignment horizontal="center" vertical="center" wrapText="1"/>
    </xf>
    <xf numFmtId="3" fontId="16" fillId="6" borderId="4" xfId="0" applyNumberFormat="1" applyFont="1" applyFill="1" applyBorder="1" applyAlignment="1">
      <alignment horizontal="center" vertical="center" wrapText="1"/>
    </xf>
    <xf numFmtId="3" fontId="16" fillId="6" borderId="5" xfId="0" applyNumberFormat="1" applyFont="1" applyFill="1" applyBorder="1" applyAlignment="1">
      <alignment horizontal="center" vertical="center" wrapText="1"/>
    </xf>
    <xf numFmtId="3" fontId="16" fillId="6" borderId="3" xfId="0" applyNumberFormat="1" applyFont="1" applyFill="1" applyBorder="1" applyAlignment="1">
      <alignment horizontal="center" vertical="center" wrapText="1"/>
    </xf>
    <xf numFmtId="175" fontId="16" fillId="6" borderId="4" xfId="4" applyNumberFormat="1" applyFont="1" applyFill="1" applyBorder="1" applyAlignment="1">
      <alignment horizontal="center" vertical="center" textRotation="90" wrapText="1"/>
    </xf>
    <xf numFmtId="175" fontId="16" fillId="6" borderId="5" xfId="4" applyNumberFormat="1" applyFont="1" applyFill="1" applyBorder="1" applyAlignment="1">
      <alignment horizontal="center" vertical="center" textRotation="90" wrapText="1"/>
    </xf>
    <xf numFmtId="175" fontId="16" fillId="6" borderId="3" xfId="4" applyNumberFormat="1" applyFont="1" applyFill="1" applyBorder="1" applyAlignment="1">
      <alignment horizontal="center" vertical="center" textRotation="90" wrapText="1"/>
    </xf>
    <xf numFmtId="4" fontId="16" fillId="6" borderId="4" xfId="0" applyNumberFormat="1" applyFont="1" applyFill="1" applyBorder="1" applyAlignment="1">
      <alignment horizontal="center" vertical="center" wrapText="1"/>
    </xf>
    <xf numFmtId="4" fontId="16" fillId="6" borderId="5" xfId="0" applyNumberFormat="1" applyFont="1" applyFill="1" applyBorder="1" applyAlignment="1">
      <alignment horizontal="center" vertical="center" wrapText="1"/>
    </xf>
    <xf numFmtId="10" fontId="16" fillId="6" borderId="14" xfId="12" applyNumberFormat="1" applyFont="1" applyFill="1" applyBorder="1" applyAlignment="1">
      <alignment horizontal="center" vertical="center" wrapText="1"/>
    </xf>
    <xf numFmtId="0" fontId="16" fillId="6" borderId="17" xfId="0" applyFont="1" applyFill="1" applyBorder="1" applyAlignment="1">
      <alignment horizontal="center" vertical="center"/>
    </xf>
    <xf numFmtId="0" fontId="16" fillId="6" borderId="6" xfId="0" applyFont="1" applyFill="1" applyBorder="1" applyAlignment="1">
      <alignment horizontal="center" vertical="center"/>
    </xf>
    <xf numFmtId="0" fontId="16" fillId="6" borderId="7" xfId="0" applyFont="1" applyFill="1" applyBorder="1" applyAlignment="1">
      <alignment horizontal="center" vertical="center"/>
    </xf>
    <xf numFmtId="0" fontId="16" fillId="6" borderId="17" xfId="0" applyFont="1" applyFill="1" applyBorder="1" applyAlignment="1">
      <alignment horizontal="center" vertical="center" wrapText="1"/>
    </xf>
    <xf numFmtId="0" fontId="16" fillId="6" borderId="6" xfId="0" applyFont="1" applyFill="1" applyBorder="1" applyAlignment="1">
      <alignment horizontal="center" vertical="center" wrapText="1"/>
    </xf>
    <xf numFmtId="0" fontId="16" fillId="6" borderId="7" xfId="0" applyFont="1" applyFill="1" applyBorder="1" applyAlignment="1">
      <alignment horizontal="center" vertical="center" wrapText="1"/>
    </xf>
    <xf numFmtId="0" fontId="16" fillId="6" borderId="12" xfId="0" applyFont="1" applyFill="1" applyBorder="1" applyAlignment="1">
      <alignment horizontal="center" vertical="center" wrapText="1"/>
    </xf>
    <xf numFmtId="0" fontId="16" fillId="6" borderId="13" xfId="0" applyFont="1" applyFill="1" applyBorder="1" applyAlignment="1">
      <alignment horizontal="center" vertical="center" wrapText="1"/>
    </xf>
    <xf numFmtId="0" fontId="16" fillId="6" borderId="8" xfId="0" applyFont="1" applyFill="1" applyBorder="1" applyAlignment="1">
      <alignment horizontal="center" vertical="center" wrapText="1"/>
    </xf>
    <xf numFmtId="0" fontId="16" fillId="6" borderId="10" xfId="0" applyFont="1" applyFill="1" applyBorder="1" applyAlignment="1">
      <alignment horizontal="center" vertical="center" wrapText="1"/>
    </xf>
    <xf numFmtId="0" fontId="16" fillId="6" borderId="17" xfId="0" applyFont="1" applyFill="1" applyBorder="1" applyAlignment="1">
      <alignment horizontal="center"/>
    </xf>
    <xf numFmtId="0" fontId="16" fillId="6" borderId="6" xfId="0" applyFont="1" applyFill="1" applyBorder="1" applyAlignment="1">
      <alignment horizontal="center"/>
    </xf>
    <xf numFmtId="0" fontId="16" fillId="6" borderId="7" xfId="0" applyFont="1" applyFill="1" applyBorder="1" applyAlignment="1">
      <alignment horizontal="center"/>
    </xf>
    <xf numFmtId="165" fontId="16" fillId="6" borderId="4" xfId="4" applyFont="1" applyFill="1" applyBorder="1" applyAlignment="1">
      <alignment horizontal="center" vertical="center" wrapText="1"/>
    </xf>
    <xf numFmtId="165" fontId="16" fillId="6" borderId="5" xfId="4" applyFont="1" applyFill="1" applyBorder="1" applyAlignment="1">
      <alignment horizontal="center" vertical="center" wrapText="1"/>
    </xf>
    <xf numFmtId="0" fontId="16" fillId="6" borderId="14" xfId="0" applyFont="1" applyFill="1" applyBorder="1" applyAlignment="1">
      <alignment horizontal="center" vertical="center" wrapText="1"/>
    </xf>
    <xf numFmtId="175" fontId="16" fillId="6" borderId="12" xfId="4" applyNumberFormat="1" applyFont="1" applyFill="1" applyBorder="1" applyAlignment="1">
      <alignment horizontal="center" vertical="center" wrapText="1"/>
    </xf>
    <xf numFmtId="175" fontId="16" fillId="6" borderId="13" xfId="4" applyNumberFormat="1" applyFont="1" applyFill="1" applyBorder="1" applyAlignment="1">
      <alignment horizontal="center" vertical="center" wrapText="1"/>
    </xf>
    <xf numFmtId="0" fontId="16" fillId="6" borderId="11" xfId="0" applyFont="1" applyFill="1" applyBorder="1" applyAlignment="1">
      <alignment horizontal="center" vertical="center" wrapText="1"/>
    </xf>
    <xf numFmtId="0" fontId="16" fillId="6" borderId="9" xfId="0" applyFont="1" applyFill="1" applyBorder="1" applyAlignment="1">
      <alignment horizontal="center" vertical="center" wrapText="1"/>
    </xf>
    <xf numFmtId="0" fontId="6" fillId="3" borderId="17" xfId="11" applyFont="1" applyFill="1" applyBorder="1" applyAlignment="1">
      <alignment horizontal="center"/>
    </xf>
    <xf numFmtId="0" fontId="6" fillId="3" borderId="6" xfId="11" applyFont="1" applyFill="1" applyBorder="1" applyAlignment="1">
      <alignment horizontal="center"/>
    </xf>
    <xf numFmtId="0" fontId="6" fillId="3" borderId="7" xfId="11" applyFont="1" applyFill="1" applyBorder="1" applyAlignment="1">
      <alignment horizontal="center"/>
    </xf>
    <xf numFmtId="167" fontId="16" fillId="6" borderId="4" xfId="12" applyNumberFormat="1" applyFont="1" applyFill="1" applyBorder="1" applyAlignment="1">
      <alignment horizontal="center" vertical="center" wrapText="1"/>
    </xf>
    <xf numFmtId="167" fontId="16" fillId="6" borderId="3" xfId="12" applyNumberFormat="1" applyFont="1" applyFill="1" applyBorder="1" applyAlignment="1">
      <alignment horizontal="center" vertical="center" wrapText="1"/>
    </xf>
    <xf numFmtId="165" fontId="16" fillId="6" borderId="3" xfId="4" applyFont="1" applyFill="1" applyBorder="1" applyAlignment="1">
      <alignment horizontal="center" vertical="center" wrapText="1"/>
    </xf>
    <xf numFmtId="0" fontId="16" fillId="6" borderId="4" xfId="15" applyFont="1" applyFill="1" applyBorder="1" applyAlignment="1">
      <alignment horizontal="center" vertical="center" wrapText="1"/>
    </xf>
    <xf numFmtId="0" fontId="16" fillId="6" borderId="3" xfId="15" applyFont="1" applyFill="1" applyBorder="1" applyAlignment="1">
      <alignment horizontal="center" vertical="center" wrapText="1"/>
    </xf>
    <xf numFmtId="0" fontId="16" fillId="6" borderId="8" xfId="15" applyFont="1" applyFill="1" applyBorder="1" applyAlignment="1">
      <alignment horizontal="center" vertical="center" wrapText="1"/>
    </xf>
    <xf numFmtId="0" fontId="16" fillId="6" borderId="10" xfId="15" applyFont="1" applyFill="1" applyBorder="1" applyAlignment="1">
      <alignment horizontal="center" vertical="center" wrapText="1"/>
    </xf>
    <xf numFmtId="0" fontId="16" fillId="4" borderId="9" xfId="0" applyFont="1" applyFill="1" applyBorder="1" applyAlignment="1">
      <alignment horizontal="center"/>
    </xf>
    <xf numFmtId="167" fontId="16" fillId="6" borderId="12" xfId="12" applyNumberFormat="1" applyFont="1" applyFill="1" applyBorder="1" applyAlignment="1">
      <alignment horizontal="center" vertical="center" wrapText="1"/>
    </xf>
    <xf numFmtId="167" fontId="16" fillId="6" borderId="13" xfId="12" applyNumberFormat="1" applyFont="1" applyFill="1" applyBorder="1" applyAlignment="1">
      <alignment horizontal="center" vertical="center" wrapText="1"/>
    </xf>
    <xf numFmtId="1" fontId="19" fillId="4" borderId="0" xfId="11" applyNumberFormat="1" applyFont="1" applyFill="1" applyAlignment="1">
      <alignment horizontal="left" vertical="center"/>
    </xf>
    <xf numFmtId="0" fontId="19" fillId="4" borderId="0" xfId="0" applyFont="1" applyFill="1" applyAlignment="1">
      <alignment vertical="center"/>
    </xf>
    <xf numFmtId="167" fontId="16" fillId="6" borderId="5" xfId="12" applyNumberFormat="1" applyFont="1" applyFill="1" applyBorder="1" applyAlignment="1">
      <alignment horizontal="center" vertical="center" wrapText="1"/>
    </xf>
    <xf numFmtId="167" fontId="16" fillId="6" borderId="14" xfId="12" applyNumberFormat="1" applyFont="1" applyFill="1" applyBorder="1" applyAlignment="1">
      <alignment horizontal="center" vertical="center" wrapText="1"/>
    </xf>
    <xf numFmtId="167" fontId="16" fillId="6" borderId="15" xfId="12" applyNumberFormat="1" applyFont="1" applyFill="1" applyBorder="1" applyAlignment="1">
      <alignment horizontal="center" vertical="center" wrapText="1"/>
    </xf>
    <xf numFmtId="167" fontId="16" fillId="6" borderId="8" xfId="12" applyNumberFormat="1" applyFont="1" applyFill="1" applyBorder="1" applyAlignment="1">
      <alignment horizontal="center" vertical="center" wrapText="1"/>
    </xf>
  </cellXfs>
  <cellStyles count="37">
    <cellStyle name="cexColumnHeadings" xfId="1"/>
    <cellStyle name="cexReportTitle" xfId="2"/>
    <cellStyle name="cexTableEntry" xfId="3"/>
    <cellStyle name="Milliers" xfId="4" builtinId="3"/>
    <cellStyle name="Milliers 2" xfId="5"/>
    <cellStyle name="Milliers 3" xfId="6"/>
    <cellStyle name="Milliers 3 2" xfId="16"/>
    <cellStyle name="Milliers 3 2 2" xfId="20"/>
    <cellStyle name="Milliers 3 2 3" xfId="21"/>
    <cellStyle name="Milliers 3 2 4" xfId="35"/>
    <cellStyle name="Milliers 3 3" xfId="22"/>
    <cellStyle name="Milliers 3 4" xfId="23"/>
    <cellStyle name="Milliers 3 5" xfId="33"/>
    <cellStyle name="Milliers 4" xfId="14"/>
    <cellStyle name="Milliers 4 2" xfId="24"/>
    <cellStyle name="Milliers 5" xfId="30"/>
    <cellStyle name="Normal" xfId="0" builtinId="0"/>
    <cellStyle name="Normal 2" xfId="7"/>
    <cellStyle name="Normal 2 2" xfId="8"/>
    <cellStyle name="Normal 2 3" xfId="9"/>
    <cellStyle name="Normal 3" xfId="10"/>
    <cellStyle name="Normal 3 2" xfId="17"/>
    <cellStyle name="Normal 3 2 2" xfId="25"/>
    <cellStyle name="Normal 3 2 3" xfId="26"/>
    <cellStyle name="Normal 3 2 4" xfId="36"/>
    <cellStyle name="Normal 3 3" xfId="27"/>
    <cellStyle name="Normal 3 4" xfId="28"/>
    <cellStyle name="Normal 3 5" xfId="31"/>
    <cellStyle name="Normal 3 6" xfId="34"/>
    <cellStyle name="Normal 4" xfId="15"/>
    <cellStyle name="Normal 4 2" xfId="29"/>
    <cellStyle name="Normal 5" xfId="18"/>
    <cellStyle name="Normal 6" xfId="32"/>
    <cellStyle name="Normal_3crit_2002-03.xls" xfId="11"/>
    <cellStyle name="Normal_Rendement impôts-2004-SJIC" xfId="19"/>
    <cellStyle name="Pourcentage" xfId="12" builtinId="5"/>
    <cellStyle name="Pourcentage 2" xfId="13"/>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2.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nances%20Communales/Arr&#234;t&#233;%20d'imposition/2018/AI-2018%20complet-pour%20transmission%20&#224;%20JYT%20avec%20chgt%20Cudrefin%20et%20La%20Tour.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zasccl/AppData/Local/Microsoft/Windows/INetCache/Content.Outlook/Y0ZW13J4/FAO_201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18"/>
      <sheetName val="Feuil1"/>
    </sheetNames>
    <sheetDataSet>
      <sheetData sheetId="0">
        <row r="7">
          <cell r="A7" t="str">
            <v>Aigle</v>
          </cell>
          <cell r="B7">
            <v>2016</v>
          </cell>
          <cell r="C7">
            <v>2021</v>
          </cell>
          <cell r="D7">
            <v>67.5</v>
          </cell>
          <cell r="E7" t="str">
            <v>-</v>
          </cell>
          <cell r="F7">
            <v>67.5</v>
          </cell>
        </row>
        <row r="8">
          <cell r="A8" t="str">
            <v>Bex</v>
          </cell>
          <cell r="B8">
            <v>2016</v>
          </cell>
          <cell r="C8">
            <v>2018</v>
          </cell>
          <cell r="D8">
            <v>71</v>
          </cell>
          <cell r="E8" t="str">
            <v>-</v>
          </cell>
          <cell r="F8">
            <v>71</v>
          </cell>
        </row>
        <row r="9">
          <cell r="A9" t="str">
            <v>Chessel</v>
          </cell>
          <cell r="B9">
            <v>2017</v>
          </cell>
          <cell r="C9">
            <v>2018</v>
          </cell>
          <cell r="D9">
            <v>74</v>
          </cell>
          <cell r="E9" t="str">
            <v>-</v>
          </cell>
          <cell r="F9">
            <v>74</v>
          </cell>
        </row>
        <row r="10">
          <cell r="A10" t="str">
            <v>Corbeyrier</v>
          </cell>
          <cell r="B10">
            <v>2017</v>
          </cell>
          <cell r="C10">
            <v>2018</v>
          </cell>
          <cell r="D10">
            <v>70</v>
          </cell>
          <cell r="E10" t="str">
            <v>-</v>
          </cell>
          <cell r="F10">
            <v>70</v>
          </cell>
        </row>
        <row r="11">
          <cell r="A11" t="str">
            <v>Gryon</v>
          </cell>
          <cell r="B11">
            <v>2017</v>
          </cell>
          <cell r="C11">
            <v>2018</v>
          </cell>
          <cell r="D11">
            <v>75</v>
          </cell>
          <cell r="E11" t="str">
            <v>-</v>
          </cell>
          <cell r="F11">
            <v>75</v>
          </cell>
        </row>
        <row r="12">
          <cell r="A12" t="str">
            <v>Lavey-Morcles</v>
          </cell>
          <cell r="B12">
            <v>2016</v>
          </cell>
          <cell r="C12">
            <v>2018</v>
          </cell>
          <cell r="D12">
            <v>71</v>
          </cell>
          <cell r="E12" t="str">
            <v>-</v>
          </cell>
          <cell r="F12">
            <v>71</v>
          </cell>
        </row>
        <row r="13">
          <cell r="A13" t="str">
            <v>Leysin</v>
          </cell>
          <cell r="B13">
            <v>2017</v>
          </cell>
          <cell r="C13">
            <v>2018</v>
          </cell>
          <cell r="D13">
            <v>78</v>
          </cell>
          <cell r="E13" t="str">
            <v>-</v>
          </cell>
          <cell r="F13">
            <v>78</v>
          </cell>
        </row>
        <row r="14">
          <cell r="A14" t="str">
            <v>Noville</v>
          </cell>
          <cell r="B14">
            <v>2017</v>
          </cell>
          <cell r="C14">
            <v>2018</v>
          </cell>
          <cell r="D14">
            <v>78.5</v>
          </cell>
          <cell r="E14" t="str">
            <v>-</v>
          </cell>
          <cell r="F14">
            <v>78.5</v>
          </cell>
        </row>
        <row r="15">
          <cell r="A15" t="str">
            <v>Ollon</v>
          </cell>
          <cell r="B15">
            <v>2017</v>
          </cell>
          <cell r="C15">
            <v>2018</v>
          </cell>
          <cell r="D15">
            <v>68</v>
          </cell>
          <cell r="E15" t="str">
            <v>-</v>
          </cell>
          <cell r="F15">
            <v>68</v>
          </cell>
        </row>
        <row r="16">
          <cell r="A16" t="str">
            <v>Ormont-Dessous</v>
          </cell>
          <cell r="B16">
            <v>2016</v>
          </cell>
          <cell r="C16">
            <v>2018</v>
          </cell>
          <cell r="D16">
            <v>78.5</v>
          </cell>
          <cell r="E16" t="str">
            <v>-</v>
          </cell>
          <cell r="F16">
            <v>78.5</v>
          </cell>
        </row>
        <row r="17">
          <cell r="A17" t="str">
            <v>Ormont-Dessus</v>
          </cell>
          <cell r="B17">
            <v>2017</v>
          </cell>
          <cell r="C17">
            <v>2018</v>
          </cell>
          <cell r="D17">
            <v>76</v>
          </cell>
          <cell r="E17" t="str">
            <v>-</v>
          </cell>
          <cell r="F17">
            <v>76</v>
          </cell>
        </row>
        <row r="18">
          <cell r="A18" t="str">
            <v>Rennaz</v>
          </cell>
          <cell r="B18">
            <v>2017</v>
          </cell>
          <cell r="C18">
            <v>2018</v>
          </cell>
          <cell r="D18">
            <v>67.5</v>
          </cell>
          <cell r="E18" t="str">
            <v>-</v>
          </cell>
          <cell r="F18">
            <v>67.5</v>
          </cell>
        </row>
        <row r="19">
          <cell r="A19" t="str">
            <v>Roche</v>
          </cell>
          <cell r="B19">
            <v>2017</v>
          </cell>
          <cell r="C19">
            <v>2018</v>
          </cell>
          <cell r="D19">
            <v>68</v>
          </cell>
          <cell r="E19" t="str">
            <v>-</v>
          </cell>
          <cell r="F19">
            <v>68</v>
          </cell>
        </row>
        <row r="20">
          <cell r="A20" t="str">
            <v>Villeneuve</v>
          </cell>
          <cell r="B20">
            <v>2017</v>
          </cell>
          <cell r="C20">
            <v>2018</v>
          </cell>
          <cell r="D20">
            <v>69</v>
          </cell>
          <cell r="E20" t="str">
            <v>-</v>
          </cell>
          <cell r="F20">
            <v>69</v>
          </cell>
        </row>
        <row r="21">
          <cell r="A21" t="str">
            <v>Yvorne</v>
          </cell>
          <cell r="B21">
            <v>2017</v>
          </cell>
          <cell r="C21">
            <v>2018</v>
          </cell>
          <cell r="D21">
            <v>71.5</v>
          </cell>
          <cell r="E21" t="str">
            <v>-</v>
          </cell>
          <cell r="F21">
            <v>71.5</v>
          </cell>
        </row>
        <row r="23">
          <cell r="A23" t="str">
            <v>DISTRICT DE LA  BROYE-VULLY</v>
          </cell>
        </row>
        <row r="25">
          <cell r="A25" t="str">
            <v>Avenches</v>
          </cell>
          <cell r="B25">
            <v>2017</v>
          </cell>
          <cell r="C25">
            <v>2018</v>
          </cell>
          <cell r="D25">
            <v>68</v>
          </cell>
          <cell r="E25" t="str">
            <v>-</v>
          </cell>
          <cell r="F25">
            <v>68</v>
          </cell>
        </row>
        <row r="26">
          <cell r="A26" t="str">
            <v>Bussy-sur-Moudon</v>
          </cell>
          <cell r="B26">
            <v>2016</v>
          </cell>
          <cell r="C26">
            <v>2018</v>
          </cell>
          <cell r="D26">
            <v>80</v>
          </cell>
          <cell r="E26" t="str">
            <v>-</v>
          </cell>
          <cell r="F26">
            <v>80</v>
          </cell>
        </row>
        <row r="27">
          <cell r="A27" t="str">
            <v>Champtauroz</v>
          </cell>
          <cell r="B27">
            <v>2017</v>
          </cell>
          <cell r="C27">
            <v>2018</v>
          </cell>
          <cell r="D27">
            <v>77</v>
          </cell>
          <cell r="E27" t="str">
            <v>-</v>
          </cell>
          <cell r="F27">
            <v>77</v>
          </cell>
        </row>
        <row r="28">
          <cell r="A28" t="str">
            <v>Chavannes-sur-Moudon</v>
          </cell>
          <cell r="B28">
            <v>2017</v>
          </cell>
          <cell r="C28">
            <v>2018</v>
          </cell>
          <cell r="D28">
            <v>73</v>
          </cell>
          <cell r="E28" t="str">
            <v>-</v>
          </cell>
          <cell r="F28">
            <v>73</v>
          </cell>
        </row>
        <row r="29">
          <cell r="A29" t="str">
            <v>Chevroux</v>
          </cell>
          <cell r="B29">
            <v>2017</v>
          </cell>
          <cell r="C29">
            <v>2018</v>
          </cell>
          <cell r="D29">
            <v>70</v>
          </cell>
          <cell r="E29" t="str">
            <v>-</v>
          </cell>
          <cell r="F29">
            <v>70</v>
          </cell>
        </row>
        <row r="30">
          <cell r="A30" t="str">
            <v>Corcelles-le-Jorat</v>
          </cell>
          <cell r="B30">
            <v>2017</v>
          </cell>
          <cell r="C30">
            <v>2019</v>
          </cell>
          <cell r="D30">
            <v>77</v>
          </cell>
          <cell r="E30" t="str">
            <v>-</v>
          </cell>
          <cell r="F30">
            <v>77</v>
          </cell>
        </row>
        <row r="31">
          <cell r="A31" t="str">
            <v>Corcelles-près-Payerne</v>
          </cell>
          <cell r="B31">
            <v>2016</v>
          </cell>
          <cell r="C31">
            <v>2018</v>
          </cell>
          <cell r="D31">
            <v>72</v>
          </cell>
          <cell r="E31" t="str">
            <v>-</v>
          </cell>
          <cell r="F31">
            <v>72</v>
          </cell>
        </row>
        <row r="32">
          <cell r="A32" t="str">
            <v>Cudrefin</v>
          </cell>
          <cell r="B32">
            <v>2017</v>
          </cell>
          <cell r="C32">
            <v>2018</v>
          </cell>
          <cell r="D32">
            <v>64</v>
          </cell>
          <cell r="E32" t="str">
            <v>-</v>
          </cell>
          <cell r="F32">
            <v>59</v>
          </cell>
        </row>
        <row r="33">
          <cell r="A33" t="str">
            <v>Curtilles</v>
          </cell>
          <cell r="B33">
            <v>2017</v>
          </cell>
          <cell r="C33">
            <v>2018</v>
          </cell>
          <cell r="D33">
            <v>75</v>
          </cell>
          <cell r="E33" t="str">
            <v>-</v>
          </cell>
          <cell r="F33">
            <v>75</v>
          </cell>
        </row>
        <row r="34">
          <cell r="A34" t="str">
            <v>Dompierre</v>
          </cell>
          <cell r="B34">
            <v>2017</v>
          </cell>
          <cell r="C34">
            <v>2018</v>
          </cell>
          <cell r="D34">
            <v>80</v>
          </cell>
          <cell r="E34" t="str">
            <v>-</v>
          </cell>
          <cell r="F34">
            <v>80</v>
          </cell>
        </row>
        <row r="35">
          <cell r="A35" t="str">
            <v>Faoug</v>
          </cell>
          <cell r="B35">
            <v>2017</v>
          </cell>
          <cell r="C35">
            <v>2018</v>
          </cell>
          <cell r="D35">
            <v>64</v>
          </cell>
          <cell r="E35" t="str">
            <v>-</v>
          </cell>
          <cell r="F35">
            <v>64</v>
          </cell>
        </row>
        <row r="36">
          <cell r="A36" t="str">
            <v>Grandcour</v>
          </cell>
          <cell r="B36">
            <v>2017</v>
          </cell>
          <cell r="C36">
            <v>2018</v>
          </cell>
          <cell r="D36">
            <v>77</v>
          </cell>
          <cell r="E36" t="str">
            <v>-</v>
          </cell>
          <cell r="F36">
            <v>77</v>
          </cell>
        </row>
        <row r="37">
          <cell r="A37" t="str">
            <v>Henniez</v>
          </cell>
          <cell r="B37">
            <v>2017</v>
          </cell>
          <cell r="C37">
            <v>2018</v>
          </cell>
          <cell r="D37">
            <v>69</v>
          </cell>
          <cell r="E37" t="str">
            <v>-</v>
          </cell>
          <cell r="F37">
            <v>69</v>
          </cell>
        </row>
        <row r="38">
          <cell r="A38" t="str">
            <v>Hermenches</v>
          </cell>
          <cell r="B38">
            <v>2017</v>
          </cell>
          <cell r="C38">
            <v>2018</v>
          </cell>
          <cell r="D38">
            <v>75</v>
          </cell>
          <cell r="E38" t="str">
            <v>-</v>
          </cell>
          <cell r="F38">
            <v>75</v>
          </cell>
        </row>
        <row r="39">
          <cell r="A39" t="str">
            <v>Lovatens</v>
          </cell>
          <cell r="B39">
            <v>2016</v>
          </cell>
          <cell r="C39">
            <v>2018</v>
          </cell>
          <cell r="D39">
            <v>75</v>
          </cell>
          <cell r="E39" t="str">
            <v>-</v>
          </cell>
          <cell r="F39">
            <v>75</v>
          </cell>
        </row>
        <row r="40">
          <cell r="A40" t="str">
            <v>Lucens</v>
          </cell>
          <cell r="B40">
            <v>2017</v>
          </cell>
          <cell r="C40">
            <v>2018</v>
          </cell>
          <cell r="D40">
            <v>69</v>
          </cell>
          <cell r="E40" t="str">
            <v>-</v>
          </cell>
          <cell r="F40">
            <v>69</v>
          </cell>
        </row>
        <row r="41">
          <cell r="A41" t="str">
            <v>Missy</v>
          </cell>
          <cell r="B41">
            <v>2017</v>
          </cell>
          <cell r="C41">
            <v>2018</v>
          </cell>
          <cell r="D41">
            <v>72</v>
          </cell>
          <cell r="E41" t="str">
            <v>-</v>
          </cell>
          <cell r="F41">
            <v>72</v>
          </cell>
        </row>
        <row r="42">
          <cell r="A42" t="str">
            <v>Moudon</v>
          </cell>
          <cell r="B42">
            <v>2017</v>
          </cell>
          <cell r="C42">
            <v>2018</v>
          </cell>
          <cell r="D42">
            <v>75</v>
          </cell>
          <cell r="E42" t="str">
            <v>-</v>
          </cell>
          <cell r="F42">
            <v>75</v>
          </cell>
        </row>
        <row r="43">
          <cell r="A43" t="str">
            <v>Payerne</v>
          </cell>
          <cell r="B43">
            <v>2016</v>
          </cell>
          <cell r="C43">
            <v>2018</v>
          </cell>
          <cell r="D43">
            <v>75</v>
          </cell>
          <cell r="E43" t="str">
            <v>-</v>
          </cell>
          <cell r="F43">
            <v>75</v>
          </cell>
        </row>
        <row r="44">
          <cell r="A44" t="str">
            <v>Prévonloup</v>
          </cell>
          <cell r="B44">
            <v>2017</v>
          </cell>
          <cell r="C44">
            <v>2019</v>
          </cell>
          <cell r="D44">
            <v>74</v>
          </cell>
          <cell r="E44" t="str">
            <v>-</v>
          </cell>
          <cell r="F44">
            <v>74</v>
          </cell>
        </row>
        <row r="45">
          <cell r="A45" t="str">
            <v>Ropraz</v>
          </cell>
          <cell r="B45">
            <v>2017</v>
          </cell>
          <cell r="C45">
            <v>2018</v>
          </cell>
          <cell r="D45">
            <v>77.5</v>
          </cell>
          <cell r="E45" t="str">
            <v>-</v>
          </cell>
          <cell r="F45">
            <v>77.5</v>
          </cell>
        </row>
        <row r="46">
          <cell r="A46" t="str">
            <v>Rossenges</v>
          </cell>
          <cell r="B46">
            <v>2017</v>
          </cell>
          <cell r="C46">
            <v>2018</v>
          </cell>
          <cell r="D46">
            <v>75</v>
          </cell>
          <cell r="E46" t="str">
            <v>-</v>
          </cell>
          <cell r="F46">
            <v>75</v>
          </cell>
        </row>
        <row r="47">
          <cell r="A47" t="str">
            <v>Syens</v>
          </cell>
          <cell r="B47">
            <v>2016</v>
          </cell>
          <cell r="C47">
            <v>2018</v>
          </cell>
          <cell r="D47">
            <v>75.599999999999994</v>
          </cell>
          <cell r="E47" t="str">
            <v>-</v>
          </cell>
          <cell r="F47">
            <v>75.599999999999994</v>
          </cell>
        </row>
        <row r="48">
          <cell r="A48" t="str">
            <v>Trey</v>
          </cell>
          <cell r="B48">
            <v>2017</v>
          </cell>
          <cell r="C48">
            <v>2018</v>
          </cell>
          <cell r="D48">
            <v>80</v>
          </cell>
          <cell r="E48" t="str">
            <v>-</v>
          </cell>
          <cell r="F48">
            <v>80</v>
          </cell>
        </row>
        <row r="49">
          <cell r="A49" t="str">
            <v>Treytorrens (Payerne)</v>
          </cell>
          <cell r="B49">
            <v>2016</v>
          </cell>
          <cell r="C49">
            <v>2018</v>
          </cell>
          <cell r="D49">
            <v>84</v>
          </cell>
          <cell r="E49" t="str">
            <v>-</v>
          </cell>
          <cell r="F49">
            <v>84</v>
          </cell>
        </row>
        <row r="50">
          <cell r="A50" t="str">
            <v>Valbroye</v>
          </cell>
          <cell r="B50">
            <v>2017</v>
          </cell>
          <cell r="C50">
            <v>2018</v>
          </cell>
          <cell r="D50">
            <v>73</v>
          </cell>
          <cell r="E50" t="str">
            <v>-</v>
          </cell>
          <cell r="F50">
            <v>73</v>
          </cell>
        </row>
        <row r="51">
          <cell r="A51" t="str">
            <v>Villars-le-Comte</v>
          </cell>
          <cell r="B51">
            <v>2016</v>
          </cell>
          <cell r="C51">
            <v>2018</v>
          </cell>
          <cell r="D51">
            <v>70</v>
          </cell>
          <cell r="E51" t="str">
            <v>-</v>
          </cell>
          <cell r="F51">
            <v>70</v>
          </cell>
        </row>
        <row r="52">
          <cell r="A52" t="str">
            <v>Villarzel</v>
          </cell>
          <cell r="B52">
            <v>2017</v>
          </cell>
          <cell r="C52">
            <v>2018</v>
          </cell>
          <cell r="D52">
            <v>79</v>
          </cell>
          <cell r="E52" t="str">
            <v>-</v>
          </cell>
          <cell r="F52">
            <v>79</v>
          </cell>
        </row>
        <row r="53">
          <cell r="A53" t="str">
            <v>Vucherens</v>
          </cell>
          <cell r="B53">
            <v>2017</v>
          </cell>
          <cell r="C53">
            <v>2019</v>
          </cell>
          <cell r="D53">
            <v>79</v>
          </cell>
          <cell r="E53" t="str">
            <v>-</v>
          </cell>
          <cell r="F53">
            <v>79</v>
          </cell>
        </row>
        <row r="54">
          <cell r="A54" t="str">
            <v>Vulliens</v>
          </cell>
          <cell r="B54">
            <v>2017</v>
          </cell>
          <cell r="C54">
            <v>2018</v>
          </cell>
          <cell r="D54">
            <v>78</v>
          </cell>
          <cell r="E54" t="str">
            <v>-</v>
          </cell>
          <cell r="F54">
            <v>78</v>
          </cell>
        </row>
        <row r="55">
          <cell r="A55" t="str">
            <v>Vully-les-Lacs</v>
          </cell>
          <cell r="B55">
            <v>2017</v>
          </cell>
          <cell r="C55">
            <v>2018</v>
          </cell>
          <cell r="D55">
            <v>67</v>
          </cell>
          <cell r="E55" t="str">
            <v>-</v>
          </cell>
          <cell r="F55">
            <v>67</v>
          </cell>
        </row>
        <row r="57">
          <cell r="A57" t="str">
            <v>DISTRICT DU GROS-DE-VAUD</v>
          </cell>
        </row>
        <row r="59">
          <cell r="A59" t="str">
            <v>Assens</v>
          </cell>
          <cell r="B59">
            <v>2017</v>
          </cell>
          <cell r="C59">
            <v>2018</v>
          </cell>
          <cell r="D59">
            <v>70</v>
          </cell>
          <cell r="E59" t="str">
            <v>-</v>
          </cell>
          <cell r="F59">
            <v>70</v>
          </cell>
        </row>
        <row r="60">
          <cell r="A60" t="str">
            <v>Bercher</v>
          </cell>
          <cell r="B60">
            <v>2017</v>
          </cell>
          <cell r="C60">
            <v>2018</v>
          </cell>
          <cell r="D60">
            <v>79</v>
          </cell>
          <cell r="E60" t="str">
            <v>-</v>
          </cell>
          <cell r="F60">
            <v>79</v>
          </cell>
        </row>
        <row r="61">
          <cell r="A61" t="str">
            <v>Bettens</v>
          </cell>
          <cell r="B61">
            <v>2017</v>
          </cell>
          <cell r="C61">
            <v>2018</v>
          </cell>
          <cell r="D61">
            <v>70</v>
          </cell>
          <cell r="E61" t="str">
            <v>-</v>
          </cell>
          <cell r="F61">
            <v>70</v>
          </cell>
        </row>
        <row r="62">
          <cell r="A62" t="str">
            <v>Bioley-Orjulaz</v>
          </cell>
          <cell r="B62">
            <v>2017</v>
          </cell>
          <cell r="C62">
            <v>2018</v>
          </cell>
          <cell r="D62">
            <v>68</v>
          </cell>
          <cell r="E62" t="str">
            <v>-</v>
          </cell>
          <cell r="F62">
            <v>68</v>
          </cell>
        </row>
        <row r="63">
          <cell r="A63" t="str">
            <v>Bottens</v>
          </cell>
          <cell r="B63">
            <v>2015</v>
          </cell>
          <cell r="C63">
            <v>2018</v>
          </cell>
          <cell r="D63">
            <v>69</v>
          </cell>
          <cell r="E63" t="str">
            <v>-</v>
          </cell>
          <cell r="F63">
            <v>69</v>
          </cell>
        </row>
        <row r="64">
          <cell r="A64" t="str">
            <v>Boulens</v>
          </cell>
          <cell r="B64">
            <v>2017</v>
          </cell>
          <cell r="C64">
            <v>2018</v>
          </cell>
          <cell r="D64">
            <v>79</v>
          </cell>
          <cell r="E64" t="str">
            <v>-</v>
          </cell>
          <cell r="F64">
            <v>79</v>
          </cell>
        </row>
        <row r="65">
          <cell r="A65" t="str">
            <v>Bournens</v>
          </cell>
          <cell r="B65">
            <v>2017</v>
          </cell>
          <cell r="C65">
            <v>2018</v>
          </cell>
          <cell r="D65">
            <v>76</v>
          </cell>
          <cell r="E65" t="str">
            <v>-</v>
          </cell>
          <cell r="F65">
            <v>76</v>
          </cell>
        </row>
        <row r="66">
          <cell r="A66" t="str">
            <v>Boussens</v>
          </cell>
          <cell r="B66">
            <v>2017</v>
          </cell>
          <cell r="C66">
            <v>2019</v>
          </cell>
          <cell r="D66">
            <v>69</v>
          </cell>
          <cell r="E66" t="str">
            <v>-</v>
          </cell>
          <cell r="F66">
            <v>69</v>
          </cell>
        </row>
        <row r="67">
          <cell r="A67" t="str">
            <v>Bretigny-sur-Morrens</v>
          </cell>
          <cell r="B67">
            <v>2017</v>
          </cell>
          <cell r="C67">
            <v>2018</v>
          </cell>
          <cell r="D67">
            <v>81</v>
          </cell>
          <cell r="E67" t="str">
            <v>-</v>
          </cell>
          <cell r="F67">
            <v>81</v>
          </cell>
        </row>
        <row r="68">
          <cell r="A68" t="str">
            <v>Cugy</v>
          </cell>
          <cell r="B68">
            <v>2017</v>
          </cell>
          <cell r="C68">
            <v>2021</v>
          </cell>
          <cell r="D68">
            <v>78</v>
          </cell>
          <cell r="E68" t="str">
            <v>-</v>
          </cell>
          <cell r="F68">
            <v>78</v>
          </cell>
        </row>
        <row r="69">
          <cell r="A69" t="str">
            <v>Daillens</v>
          </cell>
          <cell r="B69">
            <v>2017</v>
          </cell>
          <cell r="C69">
            <v>2018</v>
          </cell>
          <cell r="D69">
            <v>71</v>
          </cell>
          <cell r="E69" t="str">
            <v>-</v>
          </cell>
          <cell r="F69">
            <v>71</v>
          </cell>
        </row>
        <row r="70">
          <cell r="A70" t="str">
            <v>Echallens</v>
          </cell>
          <cell r="B70">
            <v>2016</v>
          </cell>
          <cell r="C70">
            <v>2018</v>
          </cell>
          <cell r="D70">
            <v>74</v>
          </cell>
          <cell r="E70" t="str">
            <v>-</v>
          </cell>
          <cell r="F70">
            <v>74</v>
          </cell>
        </row>
        <row r="71">
          <cell r="A71" t="str">
            <v>Essertines-sur-Yverdon</v>
          </cell>
          <cell r="B71">
            <v>2017</v>
          </cell>
          <cell r="C71">
            <v>2018</v>
          </cell>
          <cell r="D71">
            <v>73</v>
          </cell>
          <cell r="E71" t="str">
            <v>-</v>
          </cell>
          <cell r="F71">
            <v>73</v>
          </cell>
        </row>
        <row r="72">
          <cell r="A72" t="str">
            <v>Etagnières</v>
          </cell>
          <cell r="B72">
            <v>2017</v>
          </cell>
          <cell r="C72">
            <v>2018</v>
          </cell>
          <cell r="D72">
            <v>73</v>
          </cell>
          <cell r="E72" t="str">
            <v>-</v>
          </cell>
          <cell r="F72">
            <v>73</v>
          </cell>
        </row>
        <row r="73">
          <cell r="A73" t="str">
            <v>Fey</v>
          </cell>
          <cell r="B73">
            <v>2017</v>
          </cell>
          <cell r="C73">
            <v>2018</v>
          </cell>
          <cell r="D73">
            <v>75</v>
          </cell>
          <cell r="E73" t="str">
            <v>-</v>
          </cell>
          <cell r="F73">
            <v>75</v>
          </cell>
        </row>
        <row r="74">
          <cell r="A74" t="str">
            <v>Froideville</v>
          </cell>
          <cell r="B74">
            <v>2016</v>
          </cell>
          <cell r="C74">
            <v>2021</v>
          </cell>
          <cell r="D74">
            <v>76</v>
          </cell>
          <cell r="E74" t="str">
            <v>-</v>
          </cell>
          <cell r="F74">
            <v>76</v>
          </cell>
        </row>
        <row r="75">
          <cell r="A75" t="str">
            <v>Goumoëns</v>
          </cell>
          <cell r="B75">
            <v>2017</v>
          </cell>
          <cell r="C75">
            <v>2018</v>
          </cell>
          <cell r="D75">
            <v>77</v>
          </cell>
          <cell r="E75" t="str">
            <v>-</v>
          </cell>
          <cell r="F75">
            <v>77</v>
          </cell>
        </row>
        <row r="76">
          <cell r="A76" t="str">
            <v>Jorat-Menthue</v>
          </cell>
          <cell r="B76">
            <v>2017</v>
          </cell>
          <cell r="C76">
            <v>2018</v>
          </cell>
          <cell r="D76">
            <v>72</v>
          </cell>
          <cell r="E76" t="str">
            <v>-</v>
          </cell>
          <cell r="F76">
            <v>72</v>
          </cell>
        </row>
        <row r="77">
          <cell r="A77" t="str">
            <v>Lussery-Villars</v>
          </cell>
          <cell r="B77">
            <v>2017</v>
          </cell>
          <cell r="C77">
            <v>2018</v>
          </cell>
          <cell r="D77">
            <v>75</v>
          </cell>
          <cell r="E77" t="str">
            <v>-</v>
          </cell>
          <cell r="F77">
            <v>75</v>
          </cell>
        </row>
        <row r="78">
          <cell r="A78" t="str">
            <v>Mex</v>
          </cell>
          <cell r="B78">
            <v>2016</v>
          </cell>
          <cell r="C78">
            <v>2018</v>
          </cell>
          <cell r="D78">
            <v>61</v>
          </cell>
          <cell r="E78" t="str">
            <v>-</v>
          </cell>
          <cell r="F78">
            <v>61</v>
          </cell>
        </row>
        <row r="79">
          <cell r="A79" t="str">
            <v>Montanaire</v>
          </cell>
          <cell r="B79">
            <v>2017</v>
          </cell>
          <cell r="C79">
            <v>2018</v>
          </cell>
          <cell r="D79">
            <v>72</v>
          </cell>
          <cell r="E79" t="str">
            <v>-</v>
          </cell>
          <cell r="F79">
            <v>72</v>
          </cell>
        </row>
        <row r="80">
          <cell r="A80" t="str">
            <v>Montilliez</v>
          </cell>
          <cell r="B80">
            <v>2017</v>
          </cell>
          <cell r="C80">
            <v>2018</v>
          </cell>
          <cell r="D80">
            <v>74</v>
          </cell>
          <cell r="E80" t="str">
            <v>-</v>
          </cell>
          <cell r="F80">
            <v>74</v>
          </cell>
        </row>
        <row r="81">
          <cell r="A81" t="str">
            <v>Morrens</v>
          </cell>
          <cell r="B81">
            <v>2017</v>
          </cell>
          <cell r="C81">
            <v>2018</v>
          </cell>
          <cell r="D81">
            <v>74</v>
          </cell>
          <cell r="E81" t="str">
            <v>-</v>
          </cell>
          <cell r="F81">
            <v>74</v>
          </cell>
        </row>
        <row r="82">
          <cell r="A82" t="str">
            <v>Ogens</v>
          </cell>
          <cell r="B82">
            <v>2017</v>
          </cell>
          <cell r="C82">
            <v>2018</v>
          </cell>
          <cell r="D82">
            <v>78</v>
          </cell>
          <cell r="E82" t="str">
            <v>-</v>
          </cell>
          <cell r="F82">
            <v>78</v>
          </cell>
        </row>
        <row r="83">
          <cell r="A83" t="str">
            <v>Oppens</v>
          </cell>
          <cell r="B83">
            <v>2016</v>
          </cell>
          <cell r="C83">
            <v>2018</v>
          </cell>
          <cell r="D83">
            <v>81</v>
          </cell>
          <cell r="E83" t="str">
            <v>-</v>
          </cell>
          <cell r="F83">
            <v>81</v>
          </cell>
        </row>
        <row r="84">
          <cell r="A84" t="str">
            <v>Oulens-sous-Echallens</v>
          </cell>
          <cell r="B84">
            <v>2017</v>
          </cell>
          <cell r="C84">
            <v>2018</v>
          </cell>
          <cell r="D84">
            <v>71</v>
          </cell>
          <cell r="E84" t="str">
            <v>-</v>
          </cell>
          <cell r="F84">
            <v>71</v>
          </cell>
        </row>
        <row r="85">
          <cell r="A85" t="str">
            <v>Pailly</v>
          </cell>
          <cell r="B85">
            <v>2017</v>
          </cell>
          <cell r="C85">
            <v>2018</v>
          </cell>
          <cell r="D85">
            <v>77.5</v>
          </cell>
          <cell r="E85" t="str">
            <v>-</v>
          </cell>
          <cell r="F85">
            <v>77.5</v>
          </cell>
        </row>
        <row r="86">
          <cell r="A86" t="str">
            <v>Penthalaz</v>
          </cell>
          <cell r="B86">
            <v>2017</v>
          </cell>
          <cell r="C86">
            <v>2019</v>
          </cell>
          <cell r="D86">
            <v>74</v>
          </cell>
          <cell r="E86" t="str">
            <v>-</v>
          </cell>
          <cell r="F86">
            <v>74</v>
          </cell>
        </row>
        <row r="87">
          <cell r="A87" t="str">
            <v>Penthaz</v>
          </cell>
          <cell r="B87">
            <v>2016</v>
          </cell>
          <cell r="C87">
            <v>2018</v>
          </cell>
          <cell r="D87">
            <v>71</v>
          </cell>
          <cell r="E87" t="str">
            <v>-</v>
          </cell>
          <cell r="F87">
            <v>71</v>
          </cell>
        </row>
        <row r="88">
          <cell r="A88" t="str">
            <v>Penthéréaz</v>
          </cell>
          <cell r="B88">
            <v>2017</v>
          </cell>
          <cell r="C88">
            <v>2018</v>
          </cell>
          <cell r="D88">
            <v>78</v>
          </cell>
          <cell r="E88" t="str">
            <v>-</v>
          </cell>
          <cell r="F88">
            <v>78</v>
          </cell>
        </row>
        <row r="89">
          <cell r="A89" t="str">
            <v>Poliez-Pittet</v>
          </cell>
          <cell r="B89">
            <v>2017</v>
          </cell>
          <cell r="C89">
            <v>2018</v>
          </cell>
          <cell r="D89">
            <v>71</v>
          </cell>
          <cell r="E89" t="str">
            <v>-</v>
          </cell>
          <cell r="F89">
            <v>71</v>
          </cell>
        </row>
        <row r="90">
          <cell r="A90" t="str">
            <v>Rueyres</v>
          </cell>
          <cell r="B90">
            <v>2017</v>
          </cell>
          <cell r="C90">
            <v>2018</v>
          </cell>
          <cell r="D90">
            <v>73</v>
          </cell>
          <cell r="E90" t="str">
            <v>-</v>
          </cell>
          <cell r="F90">
            <v>73</v>
          </cell>
        </row>
        <row r="91">
          <cell r="A91" t="str">
            <v>Saint-Barthélemy</v>
          </cell>
          <cell r="B91">
            <v>2016</v>
          </cell>
          <cell r="C91">
            <v>2018</v>
          </cell>
          <cell r="D91">
            <v>77</v>
          </cell>
          <cell r="E91" t="str">
            <v>-</v>
          </cell>
          <cell r="F91">
            <v>77</v>
          </cell>
        </row>
        <row r="92">
          <cell r="A92" t="str">
            <v>Sullens</v>
          </cell>
          <cell r="B92">
            <v>2016</v>
          </cell>
          <cell r="C92">
            <v>2019</v>
          </cell>
          <cell r="D92">
            <v>70</v>
          </cell>
          <cell r="E92" t="str">
            <v>-</v>
          </cell>
          <cell r="F92">
            <v>70</v>
          </cell>
        </row>
        <row r="93">
          <cell r="A93" t="str">
            <v>Villars-le-Terroir</v>
          </cell>
          <cell r="B93">
            <v>2017</v>
          </cell>
          <cell r="C93">
            <v>2018</v>
          </cell>
          <cell r="D93">
            <v>73</v>
          </cell>
          <cell r="E93" t="str">
            <v>-</v>
          </cell>
          <cell r="F93">
            <v>73</v>
          </cell>
        </row>
        <row r="94">
          <cell r="A94" t="str">
            <v>Vuarrens</v>
          </cell>
          <cell r="B94">
            <v>2017</v>
          </cell>
          <cell r="C94">
            <v>2018</v>
          </cell>
          <cell r="D94">
            <v>75</v>
          </cell>
          <cell r="E94" t="str">
            <v>-</v>
          </cell>
          <cell r="F94">
            <v>75</v>
          </cell>
        </row>
        <row r="95">
          <cell r="A95" t="str">
            <v>Vufflens-la-Ville</v>
          </cell>
          <cell r="B95">
            <v>2017</v>
          </cell>
          <cell r="C95">
            <v>2018</v>
          </cell>
          <cell r="D95">
            <v>67</v>
          </cell>
          <cell r="E95" t="str">
            <v>-</v>
          </cell>
          <cell r="F95">
            <v>67</v>
          </cell>
        </row>
        <row r="97">
          <cell r="A97" t="str">
            <v>DISTRICT DU JURA-NORD VAUDOIS</v>
          </cell>
        </row>
        <row r="99">
          <cell r="A99" t="str">
            <v>L'Abbaye</v>
          </cell>
          <cell r="B99">
            <v>2017</v>
          </cell>
          <cell r="C99">
            <v>2019</v>
          </cell>
          <cell r="D99">
            <v>76</v>
          </cell>
          <cell r="E99" t="str">
            <v>-</v>
          </cell>
          <cell r="F99">
            <v>76</v>
          </cell>
        </row>
        <row r="100">
          <cell r="A100" t="str">
            <v>Les Bioux (fraction)</v>
          </cell>
          <cell r="B100">
            <v>2016</v>
          </cell>
          <cell r="C100">
            <v>2018</v>
          </cell>
          <cell r="D100">
            <v>3</v>
          </cell>
          <cell r="E100" t="str">
            <v>-</v>
          </cell>
          <cell r="F100">
            <v>3</v>
          </cell>
        </row>
        <row r="101">
          <cell r="A101" t="str">
            <v>L'Abergement</v>
          </cell>
          <cell r="B101">
            <v>2017</v>
          </cell>
          <cell r="C101">
            <v>2018</v>
          </cell>
          <cell r="D101">
            <v>81</v>
          </cell>
          <cell r="E101" t="str">
            <v>-</v>
          </cell>
          <cell r="F101">
            <v>81</v>
          </cell>
        </row>
        <row r="102">
          <cell r="A102" t="str">
            <v>Agiez</v>
          </cell>
          <cell r="B102">
            <v>2016</v>
          </cell>
          <cell r="C102">
            <v>2021</v>
          </cell>
          <cell r="D102">
            <v>76</v>
          </cell>
          <cell r="E102" t="str">
            <v>-</v>
          </cell>
          <cell r="F102">
            <v>76</v>
          </cell>
        </row>
        <row r="103">
          <cell r="A103" t="str">
            <v>Arnex-sur-Orbe</v>
          </cell>
          <cell r="B103">
            <v>2017</v>
          </cell>
          <cell r="C103">
            <v>2018</v>
          </cell>
          <cell r="D103">
            <v>73</v>
          </cell>
          <cell r="E103" t="str">
            <v>-</v>
          </cell>
          <cell r="F103">
            <v>73</v>
          </cell>
        </row>
        <row r="104">
          <cell r="A104" t="str">
            <v>Ballaigues</v>
          </cell>
          <cell r="B104">
            <v>2017</v>
          </cell>
          <cell r="C104">
            <v>2018</v>
          </cell>
          <cell r="D104">
            <v>66</v>
          </cell>
          <cell r="E104" t="str">
            <v>-</v>
          </cell>
          <cell r="F104">
            <v>66</v>
          </cell>
        </row>
        <row r="105">
          <cell r="A105" t="str">
            <v>Baulmes</v>
          </cell>
          <cell r="B105">
            <v>2017</v>
          </cell>
          <cell r="C105">
            <v>2018</v>
          </cell>
          <cell r="D105">
            <v>78</v>
          </cell>
          <cell r="E105" t="str">
            <v>-</v>
          </cell>
          <cell r="F105">
            <v>78</v>
          </cell>
        </row>
        <row r="106">
          <cell r="A106" t="str">
            <v>Bavois</v>
          </cell>
          <cell r="B106">
            <v>2017</v>
          </cell>
          <cell r="C106">
            <v>2018</v>
          </cell>
          <cell r="D106">
            <v>73</v>
          </cell>
          <cell r="E106" t="str">
            <v>-</v>
          </cell>
          <cell r="F106">
            <v>73</v>
          </cell>
        </row>
        <row r="107">
          <cell r="A107" t="str">
            <v>Belmont-sur-Yverdon</v>
          </cell>
          <cell r="B107">
            <v>2017</v>
          </cell>
          <cell r="C107">
            <v>2018</v>
          </cell>
          <cell r="D107">
            <v>76</v>
          </cell>
          <cell r="E107" t="str">
            <v>-</v>
          </cell>
          <cell r="F107">
            <v>76</v>
          </cell>
        </row>
        <row r="108">
          <cell r="A108" t="str">
            <v>Bioley-Magnoux</v>
          </cell>
          <cell r="B108">
            <v>2017</v>
          </cell>
          <cell r="C108">
            <v>2018</v>
          </cell>
          <cell r="D108">
            <v>74</v>
          </cell>
          <cell r="E108" t="str">
            <v>-</v>
          </cell>
          <cell r="F108">
            <v>74</v>
          </cell>
        </row>
        <row r="109">
          <cell r="A109" t="str">
            <v>Bofflens</v>
          </cell>
          <cell r="B109">
            <v>2017</v>
          </cell>
          <cell r="C109">
            <v>2018</v>
          </cell>
          <cell r="D109">
            <v>69</v>
          </cell>
          <cell r="E109" t="str">
            <v>-</v>
          </cell>
          <cell r="F109">
            <v>69</v>
          </cell>
        </row>
        <row r="110">
          <cell r="A110" t="str">
            <v>Bonvillars</v>
          </cell>
          <cell r="B110">
            <v>2016</v>
          </cell>
          <cell r="C110">
            <v>2018</v>
          </cell>
          <cell r="D110">
            <v>55</v>
          </cell>
          <cell r="E110" t="str">
            <v>-</v>
          </cell>
          <cell r="F110">
            <v>55</v>
          </cell>
        </row>
        <row r="111">
          <cell r="A111" t="str">
            <v>Bretonnières</v>
          </cell>
          <cell r="B111">
            <v>2016</v>
          </cell>
          <cell r="C111">
            <v>2021</v>
          </cell>
          <cell r="D111">
            <v>72</v>
          </cell>
          <cell r="E111" t="str">
            <v>-</v>
          </cell>
          <cell r="F111">
            <v>72</v>
          </cell>
        </row>
        <row r="112">
          <cell r="A112" t="str">
            <v>Bullet</v>
          </cell>
          <cell r="B112">
            <v>2017</v>
          </cell>
          <cell r="C112">
            <v>2020</v>
          </cell>
          <cell r="D112">
            <v>73</v>
          </cell>
          <cell r="E112" t="str">
            <v>-</v>
          </cell>
          <cell r="F112">
            <v>73</v>
          </cell>
        </row>
        <row r="113">
          <cell r="A113" t="str">
            <v>Chamblon</v>
          </cell>
          <cell r="B113">
            <v>2017</v>
          </cell>
          <cell r="C113">
            <v>2018</v>
          </cell>
          <cell r="D113">
            <v>66</v>
          </cell>
          <cell r="E113" t="str">
            <v>-</v>
          </cell>
          <cell r="F113">
            <v>66</v>
          </cell>
        </row>
        <row r="114">
          <cell r="A114" t="str">
            <v>Champagne</v>
          </cell>
          <cell r="B114">
            <v>2017</v>
          </cell>
          <cell r="C114">
            <v>2018</v>
          </cell>
          <cell r="D114">
            <v>65</v>
          </cell>
          <cell r="E114" t="str">
            <v>-</v>
          </cell>
          <cell r="F114">
            <v>65</v>
          </cell>
        </row>
        <row r="115">
          <cell r="A115" t="str">
            <v>Champvent</v>
          </cell>
          <cell r="B115">
            <v>2017</v>
          </cell>
          <cell r="C115">
            <v>2018</v>
          </cell>
          <cell r="D115">
            <v>71</v>
          </cell>
          <cell r="E115" t="str">
            <v>-</v>
          </cell>
          <cell r="F115">
            <v>71</v>
          </cell>
        </row>
        <row r="116">
          <cell r="A116" t="str">
            <v>Chavannes-le-Chêne</v>
          </cell>
          <cell r="B116">
            <v>2016</v>
          </cell>
          <cell r="C116">
            <v>2018</v>
          </cell>
          <cell r="D116">
            <v>78</v>
          </cell>
          <cell r="E116" t="str">
            <v>-</v>
          </cell>
          <cell r="F116">
            <v>78</v>
          </cell>
        </row>
        <row r="117">
          <cell r="A117" t="str">
            <v>Chavornay</v>
          </cell>
          <cell r="B117">
            <v>2017</v>
          </cell>
          <cell r="C117">
            <v>2018</v>
          </cell>
          <cell r="D117">
            <v>72</v>
          </cell>
          <cell r="E117" t="str">
            <v>-</v>
          </cell>
          <cell r="F117">
            <v>72</v>
          </cell>
        </row>
        <row r="118">
          <cell r="A118" t="str">
            <v>Chêne-Pâquier</v>
          </cell>
          <cell r="B118">
            <v>2017</v>
          </cell>
          <cell r="C118">
            <v>2019</v>
          </cell>
          <cell r="D118">
            <v>79</v>
          </cell>
          <cell r="E118" t="str">
            <v>-</v>
          </cell>
          <cell r="F118">
            <v>79</v>
          </cell>
        </row>
        <row r="119">
          <cell r="A119" t="str">
            <v>Le Chenit</v>
          </cell>
          <cell r="B119">
            <v>2016</v>
          </cell>
          <cell r="C119">
            <v>2018</v>
          </cell>
          <cell r="D119">
            <v>60</v>
          </cell>
          <cell r="E119" t="str">
            <v>-</v>
          </cell>
          <cell r="F119">
            <v>60</v>
          </cell>
        </row>
        <row r="120">
          <cell r="A120" t="str">
            <v>Le Brassus (fraction)</v>
          </cell>
          <cell r="B120">
            <v>2017</v>
          </cell>
          <cell r="C120">
            <v>2019</v>
          </cell>
          <cell r="D120">
            <v>8</v>
          </cell>
          <cell r="E120" t="str">
            <v>-</v>
          </cell>
          <cell r="F120">
            <v>8</v>
          </cell>
        </row>
        <row r="121">
          <cell r="A121" t="str">
            <v>Le Sentier (fraction)</v>
          </cell>
          <cell r="B121">
            <v>2017</v>
          </cell>
          <cell r="C121">
            <v>2019</v>
          </cell>
          <cell r="D121">
            <v>10</v>
          </cell>
          <cell r="E121" t="str">
            <v>-</v>
          </cell>
          <cell r="F121">
            <v>10</v>
          </cell>
        </row>
        <row r="122">
          <cell r="A122" t="str">
            <v>L'Orient (fraction)</v>
          </cell>
          <cell r="B122">
            <v>2016</v>
          </cell>
          <cell r="C122">
            <v>2021</v>
          </cell>
          <cell r="D122">
            <v>10</v>
          </cell>
          <cell r="E122" t="str">
            <v>-</v>
          </cell>
          <cell r="F122">
            <v>10</v>
          </cell>
        </row>
        <row r="123">
          <cell r="A123" t="str">
            <v>Cheseaux-Noréaz</v>
          </cell>
          <cell r="B123">
            <v>2017</v>
          </cell>
          <cell r="C123">
            <v>2018</v>
          </cell>
          <cell r="D123">
            <v>70</v>
          </cell>
          <cell r="E123" t="str">
            <v>-</v>
          </cell>
          <cell r="F123">
            <v>70</v>
          </cell>
        </row>
        <row r="124">
          <cell r="A124" t="str">
            <v>Les Clées</v>
          </cell>
          <cell r="B124">
            <v>2017</v>
          </cell>
          <cell r="C124">
            <v>2022</v>
          </cell>
          <cell r="D124">
            <v>80</v>
          </cell>
          <cell r="E124" t="str">
            <v>-</v>
          </cell>
          <cell r="F124">
            <v>80</v>
          </cell>
        </row>
        <row r="125">
          <cell r="A125" t="str">
            <v>Concise</v>
          </cell>
          <cell r="B125">
            <v>2017</v>
          </cell>
          <cell r="C125">
            <v>2018</v>
          </cell>
          <cell r="D125">
            <v>75</v>
          </cell>
          <cell r="E125" t="str">
            <v>-</v>
          </cell>
          <cell r="F125">
            <v>75</v>
          </cell>
        </row>
        <row r="126">
          <cell r="A126" t="str">
            <v>Corcelles-près-Concise</v>
          </cell>
          <cell r="B126">
            <v>2017</v>
          </cell>
          <cell r="C126">
            <v>2018</v>
          </cell>
          <cell r="D126">
            <v>71</v>
          </cell>
          <cell r="E126" t="str">
            <v>-</v>
          </cell>
          <cell r="F126">
            <v>71</v>
          </cell>
        </row>
        <row r="127">
          <cell r="A127" t="str">
            <v>Cronay</v>
          </cell>
          <cell r="B127">
            <v>2017</v>
          </cell>
          <cell r="C127">
            <v>2018</v>
          </cell>
          <cell r="D127">
            <v>79</v>
          </cell>
          <cell r="E127" t="str">
            <v>-</v>
          </cell>
          <cell r="F127">
            <v>79</v>
          </cell>
        </row>
        <row r="128">
          <cell r="A128" t="str">
            <v>Croy</v>
          </cell>
          <cell r="B128">
            <v>2016</v>
          </cell>
          <cell r="C128">
            <v>2021</v>
          </cell>
          <cell r="D128">
            <v>74</v>
          </cell>
          <cell r="E128" t="str">
            <v>-</v>
          </cell>
          <cell r="F128">
            <v>74</v>
          </cell>
        </row>
        <row r="129">
          <cell r="A129" t="str">
            <v>Cuarny</v>
          </cell>
          <cell r="B129">
            <v>2017</v>
          </cell>
          <cell r="C129">
            <v>2019</v>
          </cell>
          <cell r="D129">
            <v>79</v>
          </cell>
          <cell r="E129" t="str">
            <v>-</v>
          </cell>
          <cell r="F129">
            <v>79</v>
          </cell>
        </row>
        <row r="130">
          <cell r="A130" t="str">
            <v>Démoret</v>
          </cell>
          <cell r="B130">
            <v>2017</v>
          </cell>
          <cell r="C130">
            <v>2019</v>
          </cell>
          <cell r="D130">
            <v>81</v>
          </cell>
          <cell r="E130" t="str">
            <v>-</v>
          </cell>
          <cell r="F130">
            <v>81</v>
          </cell>
        </row>
        <row r="131">
          <cell r="A131" t="str">
            <v>Donneloye</v>
          </cell>
          <cell r="B131">
            <v>2017</v>
          </cell>
          <cell r="C131">
            <v>2018</v>
          </cell>
          <cell r="D131">
            <v>73</v>
          </cell>
          <cell r="E131" t="str">
            <v>-</v>
          </cell>
          <cell r="F131">
            <v>73</v>
          </cell>
        </row>
        <row r="132">
          <cell r="A132" t="str">
            <v>Ependes</v>
          </cell>
          <cell r="B132">
            <v>2017</v>
          </cell>
          <cell r="C132">
            <v>2018</v>
          </cell>
          <cell r="D132">
            <v>75</v>
          </cell>
          <cell r="E132" t="str">
            <v>-</v>
          </cell>
          <cell r="F132">
            <v>75</v>
          </cell>
        </row>
        <row r="133">
          <cell r="A133" t="str">
            <v>Fiez</v>
          </cell>
          <cell r="B133">
            <v>2017</v>
          </cell>
          <cell r="C133">
            <v>2018</v>
          </cell>
          <cell r="D133">
            <v>69</v>
          </cell>
          <cell r="E133" t="str">
            <v>-</v>
          </cell>
          <cell r="F133">
            <v>69</v>
          </cell>
        </row>
        <row r="134">
          <cell r="A134" t="str">
            <v>Fontaines-sur-Grandson</v>
          </cell>
          <cell r="B134">
            <v>2017</v>
          </cell>
          <cell r="C134">
            <v>2018</v>
          </cell>
          <cell r="D134">
            <v>69</v>
          </cell>
          <cell r="E134" t="str">
            <v>-</v>
          </cell>
          <cell r="F134">
            <v>69</v>
          </cell>
        </row>
        <row r="135">
          <cell r="A135" t="str">
            <v>Giez</v>
          </cell>
          <cell r="B135">
            <v>2017</v>
          </cell>
          <cell r="C135">
            <v>2018</v>
          </cell>
          <cell r="D135">
            <v>66</v>
          </cell>
          <cell r="E135" t="str">
            <v>-</v>
          </cell>
          <cell r="F135">
            <v>66</v>
          </cell>
        </row>
        <row r="136">
          <cell r="A136" t="str">
            <v>Grandevent</v>
          </cell>
          <cell r="B136">
            <v>2017</v>
          </cell>
          <cell r="C136">
            <v>2018</v>
          </cell>
          <cell r="D136">
            <v>68</v>
          </cell>
          <cell r="E136" t="str">
            <v>-</v>
          </cell>
          <cell r="F136">
            <v>68</v>
          </cell>
        </row>
        <row r="137">
          <cell r="A137" t="str">
            <v>Grandson</v>
          </cell>
          <cell r="B137">
            <v>2017</v>
          </cell>
          <cell r="C137">
            <v>2018</v>
          </cell>
          <cell r="D137">
            <v>69</v>
          </cell>
          <cell r="E137" t="str">
            <v>-</v>
          </cell>
          <cell r="F137">
            <v>69</v>
          </cell>
        </row>
        <row r="138">
          <cell r="A138" t="str">
            <v>Juriens</v>
          </cell>
          <cell r="B138">
            <v>2015</v>
          </cell>
          <cell r="C138">
            <v>2018</v>
          </cell>
          <cell r="D138">
            <v>79</v>
          </cell>
          <cell r="E138" t="str">
            <v>-</v>
          </cell>
          <cell r="F138">
            <v>79</v>
          </cell>
        </row>
        <row r="139">
          <cell r="A139" t="str">
            <v>Le Lieu</v>
          </cell>
          <cell r="B139">
            <v>2017</v>
          </cell>
          <cell r="C139">
            <v>2020</v>
          </cell>
          <cell r="D139">
            <v>70</v>
          </cell>
          <cell r="E139" t="str">
            <v>-</v>
          </cell>
          <cell r="F139">
            <v>70</v>
          </cell>
        </row>
        <row r="140">
          <cell r="A140" t="str">
            <v>Lignerolle</v>
          </cell>
          <cell r="B140">
            <v>2017</v>
          </cell>
          <cell r="C140">
            <v>2018</v>
          </cell>
          <cell r="D140">
            <v>80</v>
          </cell>
          <cell r="E140" t="str">
            <v>-</v>
          </cell>
          <cell r="F140">
            <v>80</v>
          </cell>
        </row>
        <row r="141">
          <cell r="A141" t="str">
            <v>Mathod</v>
          </cell>
          <cell r="B141">
            <v>2016</v>
          </cell>
          <cell r="C141">
            <v>2018</v>
          </cell>
          <cell r="D141">
            <v>72</v>
          </cell>
          <cell r="E141" t="str">
            <v>-</v>
          </cell>
          <cell r="F141">
            <v>72</v>
          </cell>
        </row>
        <row r="142">
          <cell r="A142" t="str">
            <v>Mauborget</v>
          </cell>
          <cell r="B142">
            <v>2016</v>
          </cell>
          <cell r="C142">
            <v>2019</v>
          </cell>
          <cell r="D142">
            <v>70</v>
          </cell>
          <cell r="E142" t="str">
            <v>-</v>
          </cell>
          <cell r="F142">
            <v>70</v>
          </cell>
        </row>
        <row r="143">
          <cell r="A143" t="str">
            <v>Molondin</v>
          </cell>
          <cell r="B143">
            <v>2017</v>
          </cell>
          <cell r="C143">
            <v>2018</v>
          </cell>
          <cell r="D143">
            <v>81</v>
          </cell>
          <cell r="E143" t="str">
            <v>-</v>
          </cell>
          <cell r="F143">
            <v>81</v>
          </cell>
        </row>
        <row r="144">
          <cell r="A144" t="str">
            <v>Montagny-près-Yverdon</v>
          </cell>
          <cell r="B144">
            <v>2017</v>
          </cell>
          <cell r="C144">
            <v>2018</v>
          </cell>
          <cell r="D144">
            <v>65</v>
          </cell>
          <cell r="E144" t="str">
            <v>-</v>
          </cell>
          <cell r="F144">
            <v>65</v>
          </cell>
        </row>
        <row r="145">
          <cell r="A145" t="str">
            <v>Montcherand</v>
          </cell>
          <cell r="B145">
            <v>2016</v>
          </cell>
          <cell r="C145">
            <v>2021</v>
          </cell>
          <cell r="D145">
            <v>72</v>
          </cell>
          <cell r="E145" t="str">
            <v>-</v>
          </cell>
          <cell r="F145">
            <v>72</v>
          </cell>
        </row>
        <row r="146">
          <cell r="A146" t="str">
            <v>Mutrux</v>
          </cell>
          <cell r="B146">
            <v>2017</v>
          </cell>
          <cell r="C146">
            <v>2018</v>
          </cell>
          <cell r="D146">
            <v>78.5</v>
          </cell>
          <cell r="E146" t="str">
            <v>-</v>
          </cell>
          <cell r="F146">
            <v>78.5</v>
          </cell>
        </row>
        <row r="147">
          <cell r="A147" t="str">
            <v>Novalles</v>
          </cell>
          <cell r="B147">
            <v>2017</v>
          </cell>
          <cell r="C147">
            <v>2018</v>
          </cell>
          <cell r="D147">
            <v>76</v>
          </cell>
          <cell r="E147" t="str">
            <v>-</v>
          </cell>
          <cell r="F147">
            <v>76</v>
          </cell>
        </row>
        <row r="148">
          <cell r="A148" t="str">
            <v>Onnens</v>
          </cell>
          <cell r="B148">
            <v>2017</v>
          </cell>
          <cell r="C148">
            <v>2019</v>
          </cell>
          <cell r="D148">
            <v>65</v>
          </cell>
          <cell r="E148" t="str">
            <v>-</v>
          </cell>
          <cell r="F148">
            <v>65</v>
          </cell>
        </row>
        <row r="149">
          <cell r="A149" t="str">
            <v>Orbe</v>
          </cell>
          <cell r="B149">
            <v>2017</v>
          </cell>
          <cell r="C149">
            <v>2018</v>
          </cell>
          <cell r="D149">
            <v>77</v>
          </cell>
          <cell r="E149" t="str">
            <v>-</v>
          </cell>
          <cell r="F149">
            <v>77</v>
          </cell>
        </row>
        <row r="150">
          <cell r="A150" t="str">
            <v>Orges</v>
          </cell>
          <cell r="B150">
            <v>2017</v>
          </cell>
          <cell r="C150">
            <v>2018</v>
          </cell>
          <cell r="D150">
            <v>74</v>
          </cell>
          <cell r="E150" t="str">
            <v>-</v>
          </cell>
          <cell r="F150">
            <v>74</v>
          </cell>
        </row>
        <row r="151">
          <cell r="A151" t="str">
            <v>Orzens</v>
          </cell>
          <cell r="B151">
            <v>2017</v>
          </cell>
          <cell r="C151">
            <v>2019</v>
          </cell>
          <cell r="D151">
            <v>79</v>
          </cell>
          <cell r="E151" t="str">
            <v>-</v>
          </cell>
          <cell r="F151">
            <v>79</v>
          </cell>
        </row>
        <row r="152">
          <cell r="A152" t="str">
            <v>Pomy</v>
          </cell>
          <cell r="B152">
            <v>2017</v>
          </cell>
          <cell r="C152">
            <v>2018</v>
          </cell>
          <cell r="D152">
            <v>71</v>
          </cell>
          <cell r="E152" t="str">
            <v>-</v>
          </cell>
          <cell r="F152">
            <v>71</v>
          </cell>
        </row>
        <row r="153">
          <cell r="A153" t="str">
            <v>La Praz</v>
          </cell>
          <cell r="B153">
            <v>2016</v>
          </cell>
          <cell r="C153">
            <v>2021</v>
          </cell>
          <cell r="D153">
            <v>83</v>
          </cell>
          <cell r="E153" t="str">
            <v>-</v>
          </cell>
          <cell r="F153">
            <v>83</v>
          </cell>
        </row>
        <row r="154">
          <cell r="A154" t="str">
            <v>Premier</v>
          </cell>
          <cell r="B154">
            <v>2017</v>
          </cell>
          <cell r="C154">
            <v>2018</v>
          </cell>
          <cell r="D154">
            <v>81</v>
          </cell>
          <cell r="E154" t="str">
            <v>-</v>
          </cell>
          <cell r="F154">
            <v>81</v>
          </cell>
        </row>
        <row r="155">
          <cell r="A155" t="str">
            <v>Provence</v>
          </cell>
          <cell r="B155">
            <v>2017</v>
          </cell>
          <cell r="C155">
            <v>2018</v>
          </cell>
          <cell r="D155">
            <v>81</v>
          </cell>
          <cell r="E155" t="str">
            <v>-</v>
          </cell>
          <cell r="F155">
            <v>81</v>
          </cell>
        </row>
        <row r="156">
          <cell r="A156" t="str">
            <v>Rances</v>
          </cell>
          <cell r="B156">
            <v>2017</v>
          </cell>
          <cell r="C156">
            <v>2018</v>
          </cell>
          <cell r="D156">
            <v>78</v>
          </cell>
          <cell r="E156" t="str">
            <v>-</v>
          </cell>
          <cell r="F156">
            <v>78</v>
          </cell>
        </row>
        <row r="157">
          <cell r="A157" t="str">
            <v>Romainmôtier-Envy</v>
          </cell>
          <cell r="B157">
            <v>2017</v>
          </cell>
          <cell r="C157">
            <v>2018</v>
          </cell>
          <cell r="D157">
            <v>81</v>
          </cell>
          <cell r="E157" t="str">
            <v>-</v>
          </cell>
          <cell r="F157">
            <v>81</v>
          </cell>
        </row>
        <row r="158">
          <cell r="A158" t="str">
            <v>Rovray</v>
          </cell>
          <cell r="B158">
            <v>2017</v>
          </cell>
          <cell r="C158">
            <v>2018</v>
          </cell>
          <cell r="D158">
            <v>73</v>
          </cell>
          <cell r="E158" t="str">
            <v>-</v>
          </cell>
          <cell r="F158">
            <v>73</v>
          </cell>
        </row>
        <row r="159">
          <cell r="A159" t="str">
            <v>Sainte-Croix</v>
          </cell>
          <cell r="B159">
            <v>2017</v>
          </cell>
          <cell r="C159">
            <v>2019</v>
          </cell>
          <cell r="D159">
            <v>70</v>
          </cell>
          <cell r="E159" t="str">
            <v>-</v>
          </cell>
          <cell r="F159">
            <v>70</v>
          </cell>
        </row>
        <row r="160">
          <cell r="A160" t="str">
            <v>Sergey</v>
          </cell>
          <cell r="B160">
            <v>2017</v>
          </cell>
          <cell r="C160">
            <v>2018</v>
          </cell>
          <cell r="D160">
            <v>78</v>
          </cell>
          <cell r="E160" t="str">
            <v>-</v>
          </cell>
          <cell r="F160">
            <v>78</v>
          </cell>
        </row>
        <row r="161">
          <cell r="A161" t="str">
            <v>Suchy</v>
          </cell>
          <cell r="B161">
            <v>2017</v>
          </cell>
          <cell r="C161">
            <v>2018</v>
          </cell>
          <cell r="D161">
            <v>70</v>
          </cell>
          <cell r="E161" t="str">
            <v>-</v>
          </cell>
          <cell r="F161">
            <v>70</v>
          </cell>
        </row>
        <row r="162">
          <cell r="A162" t="str">
            <v>Suscévaz</v>
          </cell>
          <cell r="B162">
            <v>2017</v>
          </cell>
          <cell r="C162">
            <v>2018</v>
          </cell>
          <cell r="D162">
            <v>72</v>
          </cell>
          <cell r="E162" t="str">
            <v>-</v>
          </cell>
          <cell r="F162">
            <v>72</v>
          </cell>
        </row>
        <row r="163">
          <cell r="A163" t="str">
            <v>Tévenon</v>
          </cell>
          <cell r="B163">
            <v>2017</v>
          </cell>
          <cell r="C163">
            <v>2018</v>
          </cell>
          <cell r="D163">
            <v>73</v>
          </cell>
          <cell r="E163" t="str">
            <v>-</v>
          </cell>
          <cell r="F163">
            <v>73</v>
          </cell>
        </row>
        <row r="164">
          <cell r="A164" t="str">
            <v>Treycovagnes</v>
          </cell>
          <cell r="B164">
            <v>2016</v>
          </cell>
          <cell r="C164">
            <v>2019</v>
          </cell>
          <cell r="D164">
            <v>75</v>
          </cell>
          <cell r="E164" t="str">
            <v>-</v>
          </cell>
          <cell r="F164">
            <v>75</v>
          </cell>
        </row>
        <row r="165">
          <cell r="A165" t="str">
            <v>Ursins</v>
          </cell>
          <cell r="B165">
            <v>2017</v>
          </cell>
          <cell r="C165">
            <v>2018</v>
          </cell>
          <cell r="D165">
            <v>77</v>
          </cell>
          <cell r="E165" t="str">
            <v>-</v>
          </cell>
          <cell r="F165">
            <v>77</v>
          </cell>
        </row>
        <row r="166">
          <cell r="A166" t="str">
            <v>Valeyres-sous-Montagny</v>
          </cell>
          <cell r="B166">
            <v>2017</v>
          </cell>
          <cell r="C166">
            <v>2018</v>
          </cell>
          <cell r="D166">
            <v>72</v>
          </cell>
          <cell r="E166" t="str">
            <v>-</v>
          </cell>
          <cell r="F166">
            <v>72</v>
          </cell>
        </row>
        <row r="167">
          <cell r="A167" t="str">
            <v>Valeyres-sous-Rances</v>
          </cell>
          <cell r="B167">
            <v>2017</v>
          </cell>
          <cell r="C167">
            <v>2018</v>
          </cell>
          <cell r="D167">
            <v>65</v>
          </cell>
          <cell r="E167" t="str">
            <v>-</v>
          </cell>
          <cell r="F167">
            <v>65</v>
          </cell>
        </row>
        <row r="168">
          <cell r="A168" t="str">
            <v>Valeyres-sous-Ursins</v>
          </cell>
          <cell r="B168">
            <v>2017</v>
          </cell>
          <cell r="C168">
            <v>2018</v>
          </cell>
          <cell r="D168">
            <v>79</v>
          </cell>
          <cell r="E168" t="str">
            <v>-</v>
          </cell>
          <cell r="F168">
            <v>79</v>
          </cell>
        </row>
        <row r="169">
          <cell r="A169" t="str">
            <v>Vallorbe</v>
          </cell>
          <cell r="B169">
            <v>2016</v>
          </cell>
          <cell r="C169">
            <v>2021</v>
          </cell>
          <cell r="D169">
            <v>73</v>
          </cell>
          <cell r="E169" t="str">
            <v>-</v>
          </cell>
          <cell r="F169">
            <v>73</v>
          </cell>
        </row>
        <row r="170">
          <cell r="A170" t="str">
            <v>Vaulion</v>
          </cell>
          <cell r="B170">
            <v>2017</v>
          </cell>
          <cell r="C170">
            <v>2019</v>
          </cell>
          <cell r="D170">
            <v>81</v>
          </cell>
          <cell r="E170" t="str">
            <v>-</v>
          </cell>
          <cell r="F170">
            <v>81</v>
          </cell>
        </row>
        <row r="171">
          <cell r="A171" t="str">
            <v>Villars-Epeney</v>
          </cell>
          <cell r="B171">
            <v>2016</v>
          </cell>
          <cell r="C171">
            <v>2018</v>
          </cell>
          <cell r="D171">
            <v>60</v>
          </cell>
          <cell r="E171" t="str">
            <v>-</v>
          </cell>
          <cell r="F171">
            <v>60</v>
          </cell>
        </row>
        <row r="172">
          <cell r="A172" t="str">
            <v>Vugelles-La Mothe</v>
          </cell>
          <cell r="B172">
            <v>2017</v>
          </cell>
          <cell r="C172">
            <v>2018</v>
          </cell>
          <cell r="D172">
            <v>70</v>
          </cell>
          <cell r="E172" t="str">
            <v>-</v>
          </cell>
          <cell r="F172">
            <v>70</v>
          </cell>
        </row>
        <row r="173">
          <cell r="A173" t="str">
            <v>Vuiteboeuf</v>
          </cell>
          <cell r="B173">
            <v>2017</v>
          </cell>
          <cell r="C173">
            <v>2018</v>
          </cell>
          <cell r="D173">
            <v>77</v>
          </cell>
          <cell r="E173" t="str">
            <v>-</v>
          </cell>
          <cell r="F173">
            <v>77</v>
          </cell>
        </row>
        <row r="174">
          <cell r="A174" t="str">
            <v>Yverdon-les-Bains</v>
          </cell>
          <cell r="B174">
            <v>2017</v>
          </cell>
          <cell r="C174">
            <v>2018</v>
          </cell>
          <cell r="D174">
            <v>76.5</v>
          </cell>
          <cell r="E174" t="str">
            <v>-</v>
          </cell>
          <cell r="F174">
            <v>76.5</v>
          </cell>
        </row>
        <row r="175">
          <cell r="A175" t="str">
            <v>Yvonand</v>
          </cell>
          <cell r="B175">
            <v>2017</v>
          </cell>
          <cell r="C175">
            <v>2018</v>
          </cell>
          <cell r="D175">
            <v>73</v>
          </cell>
          <cell r="E175" t="str">
            <v>-</v>
          </cell>
          <cell r="F175">
            <v>73</v>
          </cell>
        </row>
        <row r="177">
          <cell r="A177" t="str">
            <v>DISTRICT DE LAUSANNE</v>
          </cell>
        </row>
        <row r="179">
          <cell r="A179" t="str">
            <v>Cheseaux-sur-Lausanne</v>
          </cell>
          <cell r="B179">
            <v>2016</v>
          </cell>
          <cell r="C179">
            <v>2018</v>
          </cell>
          <cell r="D179">
            <v>74.5</v>
          </cell>
          <cell r="E179" t="str">
            <v>-</v>
          </cell>
          <cell r="F179">
            <v>74.5</v>
          </cell>
        </row>
        <row r="180">
          <cell r="A180" t="str">
            <v>Epalinges</v>
          </cell>
          <cell r="B180">
            <v>2016</v>
          </cell>
          <cell r="C180">
            <v>2018</v>
          </cell>
          <cell r="D180">
            <v>66</v>
          </cell>
          <cell r="E180" t="str">
            <v>-</v>
          </cell>
          <cell r="F180">
            <v>66</v>
          </cell>
        </row>
        <row r="181">
          <cell r="A181" t="str">
            <v>Jouxtens-Mézery</v>
          </cell>
          <cell r="B181">
            <v>2017</v>
          </cell>
          <cell r="C181">
            <v>2018</v>
          </cell>
          <cell r="D181">
            <v>53</v>
          </cell>
          <cell r="E181" t="str">
            <v>-</v>
          </cell>
          <cell r="F181">
            <v>53</v>
          </cell>
        </row>
        <row r="182">
          <cell r="A182" t="str">
            <v>Lausanne</v>
          </cell>
          <cell r="B182">
            <v>2014</v>
          </cell>
          <cell r="C182">
            <v>2019</v>
          </cell>
          <cell r="D182">
            <v>79</v>
          </cell>
          <cell r="E182" t="str">
            <v>-</v>
          </cell>
          <cell r="F182">
            <v>79</v>
          </cell>
        </row>
        <row r="183">
          <cell r="A183" t="str">
            <v>Le Mont-sur-Lausanne</v>
          </cell>
          <cell r="B183">
            <v>2017</v>
          </cell>
          <cell r="C183">
            <v>2018</v>
          </cell>
          <cell r="D183">
            <v>75</v>
          </cell>
          <cell r="E183" t="str">
            <v>-</v>
          </cell>
          <cell r="F183">
            <v>75</v>
          </cell>
        </row>
        <row r="184">
          <cell r="A184" t="str">
            <v>Romanel-sur-Lausanne</v>
          </cell>
          <cell r="B184">
            <v>2016</v>
          </cell>
          <cell r="C184">
            <v>2018</v>
          </cell>
          <cell r="D184">
            <v>70</v>
          </cell>
          <cell r="E184" t="str">
            <v>-</v>
          </cell>
          <cell r="F184">
            <v>70</v>
          </cell>
        </row>
        <row r="188">
          <cell r="A188" t="str">
            <v>DISTRICT DE LAVAUX-ORON</v>
          </cell>
        </row>
        <row r="190">
          <cell r="A190" t="str">
            <v>Belmont-sur-Lausanne</v>
          </cell>
          <cell r="B190">
            <v>2017</v>
          </cell>
          <cell r="C190">
            <v>2018</v>
          </cell>
          <cell r="D190">
            <v>69.5</v>
          </cell>
          <cell r="E190" t="str">
            <v>-</v>
          </cell>
          <cell r="F190">
            <v>69.5</v>
          </cell>
        </row>
        <row r="191">
          <cell r="A191" t="str">
            <v>Bourg-en-Lavaux</v>
          </cell>
          <cell r="B191">
            <v>2017</v>
          </cell>
          <cell r="C191">
            <v>2018</v>
          </cell>
          <cell r="D191">
            <v>61</v>
          </cell>
          <cell r="E191" t="str">
            <v>-</v>
          </cell>
          <cell r="F191">
            <v>61</v>
          </cell>
        </row>
        <row r="192">
          <cell r="A192" t="str">
            <v>Chexbres</v>
          </cell>
          <cell r="B192">
            <v>2017</v>
          </cell>
          <cell r="C192">
            <v>2018</v>
          </cell>
          <cell r="D192">
            <v>69</v>
          </cell>
          <cell r="E192" t="str">
            <v>-</v>
          </cell>
          <cell r="F192">
            <v>69</v>
          </cell>
        </row>
        <row r="193">
          <cell r="A193" t="str">
            <v>Essertes</v>
          </cell>
          <cell r="B193">
            <v>2017</v>
          </cell>
          <cell r="C193">
            <v>2018</v>
          </cell>
          <cell r="D193">
            <v>72</v>
          </cell>
          <cell r="E193" t="str">
            <v>-</v>
          </cell>
          <cell r="F193">
            <v>72</v>
          </cell>
        </row>
        <row r="194">
          <cell r="A194" t="str">
            <v>Forel (Lavaux)</v>
          </cell>
          <cell r="B194">
            <v>2017</v>
          </cell>
          <cell r="C194">
            <v>2019</v>
          </cell>
          <cell r="D194">
            <v>70</v>
          </cell>
          <cell r="E194" t="str">
            <v>-</v>
          </cell>
          <cell r="F194">
            <v>70</v>
          </cell>
        </row>
        <row r="195">
          <cell r="A195" t="str">
            <v>Jorat-Mézières</v>
          </cell>
          <cell r="B195">
            <v>2017</v>
          </cell>
          <cell r="C195">
            <v>2018</v>
          </cell>
          <cell r="D195">
            <v>76</v>
          </cell>
          <cell r="E195" t="str">
            <v>-</v>
          </cell>
          <cell r="F195">
            <v>76</v>
          </cell>
        </row>
        <row r="196">
          <cell r="A196" t="str">
            <v>Lutry</v>
          </cell>
          <cell r="B196">
            <v>2017</v>
          </cell>
          <cell r="C196">
            <v>2018</v>
          </cell>
          <cell r="D196">
            <v>55.5</v>
          </cell>
          <cell r="E196" t="str">
            <v>-</v>
          </cell>
          <cell r="F196">
            <v>55.5</v>
          </cell>
        </row>
        <row r="197">
          <cell r="A197" t="str">
            <v>Maracon</v>
          </cell>
          <cell r="B197">
            <v>2017</v>
          </cell>
          <cell r="C197">
            <v>2018</v>
          </cell>
          <cell r="D197">
            <v>76</v>
          </cell>
          <cell r="E197" t="str">
            <v>-</v>
          </cell>
          <cell r="F197">
            <v>76</v>
          </cell>
        </row>
        <row r="198">
          <cell r="A198" t="str">
            <v>Montpreveyres</v>
          </cell>
          <cell r="B198">
            <v>2017</v>
          </cell>
          <cell r="C198">
            <v>2018</v>
          </cell>
          <cell r="D198">
            <v>77</v>
          </cell>
          <cell r="E198" t="str">
            <v>-</v>
          </cell>
          <cell r="F198">
            <v>77</v>
          </cell>
        </row>
        <row r="199">
          <cell r="A199" t="str">
            <v>Oron</v>
          </cell>
          <cell r="B199">
            <v>2017</v>
          </cell>
          <cell r="C199">
            <v>2019</v>
          </cell>
          <cell r="D199">
            <v>69</v>
          </cell>
          <cell r="E199" t="str">
            <v>-</v>
          </cell>
          <cell r="F199">
            <v>69</v>
          </cell>
        </row>
        <row r="200">
          <cell r="A200" t="str">
            <v>Paudex</v>
          </cell>
          <cell r="B200">
            <v>2017</v>
          </cell>
          <cell r="C200">
            <v>2018</v>
          </cell>
          <cell r="D200">
            <v>61.5</v>
          </cell>
          <cell r="E200" t="str">
            <v>-</v>
          </cell>
          <cell r="F200">
            <v>61.5</v>
          </cell>
        </row>
        <row r="201">
          <cell r="A201" t="str">
            <v>Puidoux</v>
          </cell>
          <cell r="B201">
            <v>2017</v>
          </cell>
          <cell r="C201">
            <v>2018</v>
          </cell>
          <cell r="D201">
            <v>70</v>
          </cell>
          <cell r="E201" t="str">
            <v>-</v>
          </cell>
          <cell r="F201">
            <v>70</v>
          </cell>
        </row>
        <row r="202">
          <cell r="A202" t="str">
            <v>Pully</v>
          </cell>
          <cell r="B202">
            <v>2017</v>
          </cell>
          <cell r="C202">
            <v>2018</v>
          </cell>
          <cell r="D202">
            <v>61</v>
          </cell>
          <cell r="E202" t="str">
            <v>-</v>
          </cell>
          <cell r="F202">
            <v>61</v>
          </cell>
        </row>
        <row r="203">
          <cell r="A203" t="str">
            <v>Rivaz</v>
          </cell>
          <cell r="B203">
            <v>2017</v>
          </cell>
          <cell r="C203">
            <v>2018</v>
          </cell>
          <cell r="D203">
            <v>63.5</v>
          </cell>
          <cell r="E203" t="str">
            <v>-</v>
          </cell>
          <cell r="F203">
            <v>63.5</v>
          </cell>
        </row>
        <row r="204">
          <cell r="A204" t="str">
            <v>Saint-Saphorin (Lavaux)</v>
          </cell>
          <cell r="B204">
            <v>2017</v>
          </cell>
          <cell r="C204">
            <v>2018</v>
          </cell>
          <cell r="D204">
            <v>70</v>
          </cell>
          <cell r="E204" t="str">
            <v>-</v>
          </cell>
          <cell r="F204">
            <v>70</v>
          </cell>
        </row>
        <row r="205">
          <cell r="A205" t="str">
            <v>Savigny</v>
          </cell>
          <cell r="B205">
            <v>2017</v>
          </cell>
          <cell r="C205">
            <v>2018</v>
          </cell>
          <cell r="D205">
            <v>69</v>
          </cell>
          <cell r="E205" t="str">
            <v>-</v>
          </cell>
          <cell r="F205">
            <v>69</v>
          </cell>
        </row>
        <row r="206">
          <cell r="A206" t="str">
            <v>Servion</v>
          </cell>
          <cell r="B206">
            <v>2017</v>
          </cell>
          <cell r="C206">
            <v>2018</v>
          </cell>
          <cell r="D206">
            <v>69</v>
          </cell>
          <cell r="E206" t="str">
            <v>-</v>
          </cell>
          <cell r="F206">
            <v>69</v>
          </cell>
        </row>
        <row r="208">
          <cell r="A208" t="str">
            <v>DISTRICT DE MORGES</v>
          </cell>
        </row>
        <row r="210">
          <cell r="A210" t="str">
            <v>Aclens</v>
          </cell>
          <cell r="B210">
            <v>2017</v>
          </cell>
          <cell r="C210">
            <v>2019</v>
          </cell>
          <cell r="D210">
            <v>62</v>
          </cell>
          <cell r="E210" t="str">
            <v>-</v>
          </cell>
          <cell r="F210">
            <v>62</v>
          </cell>
        </row>
        <row r="211">
          <cell r="A211" t="str">
            <v>Allaman</v>
          </cell>
          <cell r="B211">
            <v>2017</v>
          </cell>
          <cell r="C211">
            <v>2018</v>
          </cell>
          <cell r="D211">
            <v>62</v>
          </cell>
          <cell r="E211" t="str">
            <v>-</v>
          </cell>
          <cell r="F211">
            <v>62</v>
          </cell>
        </row>
        <row r="212">
          <cell r="A212" t="str">
            <v>Apples</v>
          </cell>
          <cell r="B212">
            <v>2017</v>
          </cell>
          <cell r="C212">
            <v>2018</v>
          </cell>
          <cell r="D212">
            <v>76</v>
          </cell>
          <cell r="E212" t="str">
            <v>-</v>
          </cell>
          <cell r="F212">
            <v>76</v>
          </cell>
        </row>
        <row r="213">
          <cell r="A213" t="str">
            <v>Aubonne</v>
          </cell>
          <cell r="B213">
            <v>2016</v>
          </cell>
          <cell r="C213">
            <v>2018</v>
          </cell>
          <cell r="D213">
            <v>68</v>
          </cell>
          <cell r="E213" t="str">
            <v>-</v>
          </cell>
          <cell r="F213">
            <v>68</v>
          </cell>
        </row>
        <row r="214">
          <cell r="A214" t="str">
            <v>Ballens</v>
          </cell>
          <cell r="B214">
            <v>2017</v>
          </cell>
          <cell r="C214">
            <v>2018</v>
          </cell>
          <cell r="D214">
            <v>73</v>
          </cell>
          <cell r="E214" t="str">
            <v>-</v>
          </cell>
          <cell r="F214">
            <v>73</v>
          </cell>
        </row>
        <row r="215">
          <cell r="A215" t="str">
            <v>Berolle</v>
          </cell>
          <cell r="B215">
            <v>2017</v>
          </cell>
          <cell r="C215">
            <v>2018</v>
          </cell>
          <cell r="D215">
            <v>77</v>
          </cell>
          <cell r="E215" t="str">
            <v>-</v>
          </cell>
          <cell r="F215">
            <v>77</v>
          </cell>
        </row>
        <row r="216">
          <cell r="A216" t="str">
            <v>Bière</v>
          </cell>
          <cell r="B216">
            <v>2017</v>
          </cell>
          <cell r="C216">
            <v>2018</v>
          </cell>
          <cell r="D216">
            <v>70</v>
          </cell>
          <cell r="E216" t="str">
            <v>-</v>
          </cell>
          <cell r="F216">
            <v>70</v>
          </cell>
        </row>
        <row r="217">
          <cell r="A217" t="str">
            <v>Bougy-Villars</v>
          </cell>
          <cell r="B217">
            <v>2017</v>
          </cell>
          <cell r="C217">
            <v>2019</v>
          </cell>
          <cell r="D217">
            <v>66</v>
          </cell>
          <cell r="E217" t="str">
            <v>-</v>
          </cell>
          <cell r="F217">
            <v>66</v>
          </cell>
        </row>
        <row r="218">
          <cell r="A218" t="str">
            <v>Bremblens</v>
          </cell>
          <cell r="B218">
            <v>2017</v>
          </cell>
          <cell r="C218">
            <v>2018</v>
          </cell>
          <cell r="D218">
            <v>66</v>
          </cell>
          <cell r="E218" t="str">
            <v>-</v>
          </cell>
          <cell r="F218">
            <v>66</v>
          </cell>
        </row>
        <row r="219">
          <cell r="A219" t="str">
            <v>Buchillon</v>
          </cell>
          <cell r="B219">
            <v>2017</v>
          </cell>
          <cell r="C219">
            <v>2018</v>
          </cell>
          <cell r="D219">
            <v>53</v>
          </cell>
          <cell r="E219" t="str">
            <v>-</v>
          </cell>
          <cell r="F219">
            <v>53</v>
          </cell>
        </row>
        <row r="220">
          <cell r="A220" t="str">
            <v>Bussy-Chardonney</v>
          </cell>
          <cell r="B220">
            <v>2017</v>
          </cell>
          <cell r="C220">
            <v>2018</v>
          </cell>
          <cell r="D220">
            <v>78</v>
          </cell>
          <cell r="E220" t="str">
            <v>-</v>
          </cell>
          <cell r="F220">
            <v>78</v>
          </cell>
        </row>
        <row r="221">
          <cell r="A221" t="str">
            <v>La Chaux (Cossonay)</v>
          </cell>
          <cell r="B221">
            <v>2017</v>
          </cell>
          <cell r="C221">
            <v>2021</v>
          </cell>
          <cell r="D221">
            <v>77</v>
          </cell>
          <cell r="E221" t="str">
            <v>-</v>
          </cell>
          <cell r="F221">
            <v>77</v>
          </cell>
        </row>
        <row r="222">
          <cell r="A222" t="str">
            <v>Chavannes-le-Veyron</v>
          </cell>
          <cell r="B222">
            <v>2017</v>
          </cell>
          <cell r="C222">
            <v>2021</v>
          </cell>
          <cell r="D222">
            <v>77</v>
          </cell>
          <cell r="E222" t="str">
            <v>-</v>
          </cell>
          <cell r="F222">
            <v>77</v>
          </cell>
        </row>
        <row r="223">
          <cell r="A223" t="str">
            <v>Chevilly</v>
          </cell>
          <cell r="B223">
            <v>2017</v>
          </cell>
          <cell r="C223">
            <v>2018</v>
          </cell>
          <cell r="D223">
            <v>74</v>
          </cell>
          <cell r="E223" t="str">
            <v>-</v>
          </cell>
          <cell r="F223">
            <v>74</v>
          </cell>
        </row>
        <row r="224">
          <cell r="A224" t="str">
            <v>Chigny</v>
          </cell>
          <cell r="B224">
            <v>2017</v>
          </cell>
          <cell r="C224">
            <v>2018</v>
          </cell>
          <cell r="D224">
            <v>62</v>
          </cell>
          <cell r="E224" t="str">
            <v>-</v>
          </cell>
          <cell r="F224">
            <v>62</v>
          </cell>
        </row>
        <row r="225">
          <cell r="A225" t="str">
            <v>Clarmont</v>
          </cell>
          <cell r="B225">
            <v>2016</v>
          </cell>
          <cell r="C225">
            <v>2021</v>
          </cell>
          <cell r="D225">
            <v>75</v>
          </cell>
          <cell r="E225" t="str">
            <v>-</v>
          </cell>
          <cell r="F225">
            <v>75</v>
          </cell>
        </row>
        <row r="226">
          <cell r="A226" t="str">
            <v>Cossonay</v>
          </cell>
          <cell r="B226">
            <v>2017</v>
          </cell>
          <cell r="C226">
            <v>2018</v>
          </cell>
          <cell r="D226">
            <v>71</v>
          </cell>
          <cell r="E226" t="str">
            <v>-</v>
          </cell>
          <cell r="F226">
            <v>71</v>
          </cell>
        </row>
        <row r="227">
          <cell r="A227" t="str">
            <v>Cottens</v>
          </cell>
          <cell r="B227">
            <v>2017</v>
          </cell>
          <cell r="C227">
            <v>2018</v>
          </cell>
          <cell r="D227">
            <v>74</v>
          </cell>
          <cell r="E227" t="str">
            <v>-</v>
          </cell>
          <cell r="F227">
            <v>74</v>
          </cell>
        </row>
        <row r="228">
          <cell r="A228" t="str">
            <v>Cuarnens</v>
          </cell>
          <cell r="B228">
            <v>2015</v>
          </cell>
          <cell r="C228">
            <v>2018</v>
          </cell>
          <cell r="D228">
            <v>77</v>
          </cell>
          <cell r="E228" t="str">
            <v>-</v>
          </cell>
          <cell r="F228">
            <v>77</v>
          </cell>
        </row>
        <row r="229">
          <cell r="A229" t="str">
            <v>Denens</v>
          </cell>
          <cell r="B229">
            <v>2016</v>
          </cell>
          <cell r="C229">
            <v>2018</v>
          </cell>
          <cell r="D229">
            <v>70</v>
          </cell>
          <cell r="E229" t="str">
            <v>-</v>
          </cell>
          <cell r="F229">
            <v>70</v>
          </cell>
        </row>
        <row r="230">
          <cell r="A230" t="str">
            <v>Denges</v>
          </cell>
          <cell r="B230">
            <v>2016</v>
          </cell>
          <cell r="C230">
            <v>2018</v>
          </cell>
          <cell r="D230">
            <v>62</v>
          </cell>
          <cell r="E230" t="str">
            <v>-</v>
          </cell>
          <cell r="F230">
            <v>62</v>
          </cell>
        </row>
        <row r="231">
          <cell r="A231" t="str">
            <v>Dizy</v>
          </cell>
          <cell r="B231">
            <v>2017</v>
          </cell>
          <cell r="C231">
            <v>2020</v>
          </cell>
          <cell r="D231">
            <v>79</v>
          </cell>
          <cell r="E231" t="str">
            <v>-</v>
          </cell>
          <cell r="F231">
            <v>79</v>
          </cell>
        </row>
        <row r="232">
          <cell r="A232" t="str">
            <v>Echandens</v>
          </cell>
          <cell r="B232">
            <v>2016</v>
          </cell>
          <cell r="C232">
            <v>2018</v>
          </cell>
          <cell r="D232">
            <v>62</v>
          </cell>
          <cell r="E232" t="str">
            <v>-</v>
          </cell>
          <cell r="F232">
            <v>62</v>
          </cell>
        </row>
        <row r="233">
          <cell r="A233" t="str">
            <v>Echichens</v>
          </cell>
          <cell r="B233">
            <v>2017</v>
          </cell>
          <cell r="C233">
            <v>2019</v>
          </cell>
          <cell r="D233">
            <v>68</v>
          </cell>
          <cell r="E233" t="str">
            <v>-</v>
          </cell>
          <cell r="F233">
            <v>68</v>
          </cell>
        </row>
        <row r="234">
          <cell r="A234" t="str">
            <v>Eclépens</v>
          </cell>
          <cell r="B234">
            <v>2016</v>
          </cell>
          <cell r="C234">
            <v>2018</v>
          </cell>
          <cell r="D234">
            <v>46</v>
          </cell>
          <cell r="E234" t="str">
            <v>-</v>
          </cell>
          <cell r="F234">
            <v>46</v>
          </cell>
        </row>
        <row r="235">
          <cell r="A235" t="str">
            <v>Etoy</v>
          </cell>
          <cell r="B235">
            <v>2017</v>
          </cell>
          <cell r="C235">
            <v>2018</v>
          </cell>
          <cell r="D235">
            <v>61</v>
          </cell>
          <cell r="E235" t="str">
            <v>-</v>
          </cell>
          <cell r="F235">
            <v>61</v>
          </cell>
        </row>
        <row r="236">
          <cell r="A236" t="str">
            <v>Féchy</v>
          </cell>
          <cell r="B236">
            <v>2017</v>
          </cell>
          <cell r="C236">
            <v>2018</v>
          </cell>
          <cell r="D236">
            <v>64</v>
          </cell>
          <cell r="E236" t="str">
            <v>-</v>
          </cell>
          <cell r="F236">
            <v>64</v>
          </cell>
        </row>
        <row r="237">
          <cell r="A237" t="str">
            <v>Ferreyres</v>
          </cell>
          <cell r="B237">
            <v>2016</v>
          </cell>
          <cell r="C237">
            <v>2018</v>
          </cell>
          <cell r="D237">
            <v>76</v>
          </cell>
          <cell r="E237" t="str">
            <v>-</v>
          </cell>
          <cell r="F237">
            <v>76</v>
          </cell>
        </row>
        <row r="238">
          <cell r="A238" t="str">
            <v>Gimel</v>
          </cell>
          <cell r="B238">
            <v>2017</v>
          </cell>
          <cell r="C238">
            <v>2018</v>
          </cell>
          <cell r="D238">
            <v>71.5</v>
          </cell>
          <cell r="E238" t="str">
            <v>-</v>
          </cell>
          <cell r="F238">
            <v>71.5</v>
          </cell>
        </row>
        <row r="239">
          <cell r="A239" t="str">
            <v>Gollion</v>
          </cell>
          <cell r="B239">
            <v>2017</v>
          </cell>
          <cell r="C239">
            <v>2018</v>
          </cell>
          <cell r="D239">
            <v>74</v>
          </cell>
          <cell r="E239" t="str">
            <v>-</v>
          </cell>
          <cell r="F239">
            <v>74</v>
          </cell>
        </row>
        <row r="240">
          <cell r="A240" t="str">
            <v>Grancy</v>
          </cell>
          <cell r="B240">
            <v>2016</v>
          </cell>
          <cell r="C240">
            <v>2021</v>
          </cell>
          <cell r="D240">
            <v>70</v>
          </cell>
          <cell r="E240" t="str">
            <v>-</v>
          </cell>
          <cell r="F240">
            <v>70</v>
          </cell>
        </row>
        <row r="241">
          <cell r="A241" t="str">
            <v>L'Isle</v>
          </cell>
          <cell r="B241">
            <v>2017</v>
          </cell>
          <cell r="C241">
            <v>2018</v>
          </cell>
          <cell r="D241">
            <v>76</v>
          </cell>
          <cell r="E241" t="str">
            <v>-</v>
          </cell>
          <cell r="F241">
            <v>76</v>
          </cell>
        </row>
        <row r="242">
          <cell r="A242" t="str">
            <v>Lavigny</v>
          </cell>
          <cell r="B242">
            <v>2017</v>
          </cell>
          <cell r="C242">
            <v>2018</v>
          </cell>
          <cell r="D242">
            <v>74.5</v>
          </cell>
          <cell r="E242" t="str">
            <v>-</v>
          </cell>
          <cell r="F242">
            <v>74.5</v>
          </cell>
        </row>
        <row r="243">
          <cell r="A243" t="str">
            <v>Lonay</v>
          </cell>
          <cell r="B243">
            <v>2017</v>
          </cell>
          <cell r="C243">
            <v>2018</v>
          </cell>
          <cell r="D243">
            <v>55</v>
          </cell>
          <cell r="E243" t="str">
            <v>-</v>
          </cell>
          <cell r="F243">
            <v>55</v>
          </cell>
        </row>
        <row r="244">
          <cell r="A244" t="str">
            <v>Lully</v>
          </cell>
          <cell r="B244">
            <v>2017</v>
          </cell>
          <cell r="C244">
            <v>2018</v>
          </cell>
          <cell r="D244">
            <v>61</v>
          </cell>
          <cell r="E244" t="str">
            <v>-</v>
          </cell>
          <cell r="F244">
            <v>61</v>
          </cell>
        </row>
        <row r="245">
          <cell r="A245" t="str">
            <v>Lussy-sur-Morges</v>
          </cell>
          <cell r="B245">
            <v>2017</v>
          </cell>
          <cell r="C245">
            <v>2018</v>
          </cell>
          <cell r="D245">
            <v>66</v>
          </cell>
          <cell r="E245" t="str">
            <v>-</v>
          </cell>
          <cell r="F245">
            <v>66</v>
          </cell>
        </row>
        <row r="246">
          <cell r="A246" t="str">
            <v>Mauraz</v>
          </cell>
          <cell r="B246">
            <v>2017</v>
          </cell>
          <cell r="C246">
            <v>2019</v>
          </cell>
          <cell r="D246">
            <v>78</v>
          </cell>
          <cell r="E246" t="str">
            <v>-</v>
          </cell>
          <cell r="F246">
            <v>78</v>
          </cell>
        </row>
        <row r="247">
          <cell r="A247" t="str">
            <v>Moiry</v>
          </cell>
          <cell r="B247">
            <v>2017</v>
          </cell>
          <cell r="C247">
            <v>2018</v>
          </cell>
          <cell r="D247">
            <v>80</v>
          </cell>
          <cell r="E247" t="str">
            <v>-</v>
          </cell>
          <cell r="F247">
            <v>80</v>
          </cell>
        </row>
        <row r="248">
          <cell r="A248" t="str">
            <v>Mollens</v>
          </cell>
          <cell r="B248">
            <v>2017</v>
          </cell>
          <cell r="C248">
            <v>2018</v>
          </cell>
          <cell r="D248">
            <v>74</v>
          </cell>
          <cell r="E248" t="str">
            <v>-</v>
          </cell>
          <cell r="F248">
            <v>74</v>
          </cell>
        </row>
        <row r="249">
          <cell r="A249" t="str">
            <v>Montherod</v>
          </cell>
          <cell r="B249">
            <v>2016</v>
          </cell>
          <cell r="C249">
            <v>2018</v>
          </cell>
          <cell r="D249">
            <v>78</v>
          </cell>
          <cell r="E249" t="str">
            <v>-</v>
          </cell>
          <cell r="F249">
            <v>78</v>
          </cell>
        </row>
        <row r="250">
          <cell r="A250" t="str">
            <v>Mont-la-Ville</v>
          </cell>
          <cell r="B250">
            <v>2017</v>
          </cell>
          <cell r="C250">
            <v>2018</v>
          </cell>
          <cell r="D250">
            <v>76</v>
          </cell>
          <cell r="E250" t="str">
            <v>-</v>
          </cell>
          <cell r="F250">
            <v>76</v>
          </cell>
        </row>
        <row r="251">
          <cell r="A251" t="str">
            <v>Montricher</v>
          </cell>
          <cell r="B251">
            <v>2015</v>
          </cell>
          <cell r="C251">
            <v>2017</v>
          </cell>
          <cell r="D251">
            <v>64</v>
          </cell>
          <cell r="E251" t="str">
            <v>-</v>
          </cell>
          <cell r="F251">
            <v>64</v>
          </cell>
        </row>
        <row r="252">
          <cell r="A252" t="str">
            <v>Morges</v>
          </cell>
          <cell r="B252">
            <v>2017</v>
          </cell>
          <cell r="C252">
            <v>2018</v>
          </cell>
          <cell r="D252">
            <v>68.5</v>
          </cell>
          <cell r="E252" t="str">
            <v>-</v>
          </cell>
          <cell r="F252">
            <v>68.5</v>
          </cell>
        </row>
        <row r="253">
          <cell r="A253" t="str">
            <v>Orny</v>
          </cell>
          <cell r="B253">
            <v>2016</v>
          </cell>
          <cell r="C253">
            <v>2018</v>
          </cell>
          <cell r="D253">
            <v>73</v>
          </cell>
          <cell r="E253" t="str">
            <v>-</v>
          </cell>
          <cell r="F253">
            <v>73</v>
          </cell>
        </row>
        <row r="254">
          <cell r="A254" t="str">
            <v>Pampigny</v>
          </cell>
          <cell r="B254">
            <v>2017</v>
          </cell>
          <cell r="C254">
            <v>2018</v>
          </cell>
          <cell r="D254">
            <v>75</v>
          </cell>
          <cell r="E254" t="str">
            <v>-</v>
          </cell>
          <cell r="F254">
            <v>75</v>
          </cell>
        </row>
        <row r="255">
          <cell r="A255" t="str">
            <v>Pompaples</v>
          </cell>
          <cell r="B255">
            <v>2017</v>
          </cell>
          <cell r="C255">
            <v>2021</v>
          </cell>
          <cell r="D255">
            <v>66</v>
          </cell>
          <cell r="E255" t="str">
            <v>-</v>
          </cell>
          <cell r="F255">
            <v>66</v>
          </cell>
        </row>
        <row r="256">
          <cell r="A256" t="str">
            <v>Préverenges</v>
          </cell>
          <cell r="B256">
            <v>2017</v>
          </cell>
          <cell r="C256">
            <v>2018</v>
          </cell>
          <cell r="D256">
            <v>64</v>
          </cell>
          <cell r="E256" t="str">
            <v>-</v>
          </cell>
          <cell r="F256">
            <v>64</v>
          </cell>
        </row>
        <row r="257">
          <cell r="A257" t="str">
            <v>Reverolle</v>
          </cell>
          <cell r="B257">
            <v>2017</v>
          </cell>
          <cell r="C257">
            <v>2018</v>
          </cell>
          <cell r="D257">
            <v>76</v>
          </cell>
          <cell r="E257" t="str">
            <v>-</v>
          </cell>
          <cell r="F257">
            <v>76</v>
          </cell>
        </row>
        <row r="258">
          <cell r="A258" t="str">
            <v>Romanel-sur-Morges</v>
          </cell>
          <cell r="B258">
            <v>2016</v>
          </cell>
          <cell r="C258">
            <v>2018</v>
          </cell>
          <cell r="D258">
            <v>56</v>
          </cell>
          <cell r="E258" t="str">
            <v>-</v>
          </cell>
          <cell r="F258">
            <v>56</v>
          </cell>
        </row>
        <row r="259">
          <cell r="A259" t="str">
            <v>Saint-Livres</v>
          </cell>
          <cell r="B259">
            <v>2016</v>
          </cell>
          <cell r="C259">
            <v>2018</v>
          </cell>
          <cell r="D259">
            <v>69</v>
          </cell>
          <cell r="E259" t="str">
            <v>-</v>
          </cell>
          <cell r="F259">
            <v>69</v>
          </cell>
        </row>
        <row r="260">
          <cell r="A260" t="str">
            <v>Saint-Oyens</v>
          </cell>
          <cell r="B260">
            <v>2017</v>
          </cell>
          <cell r="C260">
            <v>2018</v>
          </cell>
          <cell r="D260">
            <v>81</v>
          </cell>
          <cell r="E260" t="str">
            <v>-</v>
          </cell>
          <cell r="F260">
            <v>81</v>
          </cell>
        </row>
        <row r="261">
          <cell r="A261" t="str">
            <v>Saint-Prex</v>
          </cell>
          <cell r="B261">
            <v>2017</v>
          </cell>
          <cell r="C261">
            <v>2018</v>
          </cell>
          <cell r="D261">
            <v>55</v>
          </cell>
          <cell r="E261" t="str">
            <v>-</v>
          </cell>
          <cell r="F261">
            <v>55</v>
          </cell>
        </row>
        <row r="262">
          <cell r="A262" t="str">
            <v>La Sarraz</v>
          </cell>
          <cell r="B262">
            <v>2017</v>
          </cell>
          <cell r="C262">
            <v>2018</v>
          </cell>
          <cell r="D262">
            <v>66</v>
          </cell>
          <cell r="E262" t="str">
            <v>-</v>
          </cell>
          <cell r="F262">
            <v>66</v>
          </cell>
        </row>
        <row r="263">
          <cell r="A263" t="str">
            <v>Saubraz</v>
          </cell>
          <cell r="B263">
            <v>2017</v>
          </cell>
          <cell r="C263">
            <v>2018</v>
          </cell>
          <cell r="D263">
            <v>80</v>
          </cell>
          <cell r="E263" t="str">
            <v>-</v>
          </cell>
          <cell r="F263">
            <v>80</v>
          </cell>
        </row>
        <row r="264">
          <cell r="A264" t="str">
            <v>Senarclens</v>
          </cell>
          <cell r="B264">
            <v>2016</v>
          </cell>
          <cell r="C264">
            <v>2021</v>
          </cell>
          <cell r="D264">
            <v>68.5</v>
          </cell>
          <cell r="E264" t="str">
            <v>-</v>
          </cell>
          <cell r="F264">
            <v>68.5</v>
          </cell>
        </row>
        <row r="265">
          <cell r="A265" t="str">
            <v>Sévery</v>
          </cell>
          <cell r="B265">
            <v>2017</v>
          </cell>
          <cell r="C265">
            <v>2018</v>
          </cell>
          <cell r="D265">
            <v>75</v>
          </cell>
          <cell r="E265" t="str">
            <v>-</v>
          </cell>
          <cell r="F265">
            <v>75</v>
          </cell>
        </row>
        <row r="266">
          <cell r="A266" t="str">
            <v>Tolochenaz</v>
          </cell>
          <cell r="B266">
            <v>2016</v>
          </cell>
          <cell r="C266">
            <v>2018</v>
          </cell>
          <cell r="D266">
            <v>65</v>
          </cell>
          <cell r="E266" t="str">
            <v>-</v>
          </cell>
          <cell r="F266">
            <v>65</v>
          </cell>
        </row>
        <row r="267">
          <cell r="A267" t="str">
            <v>Vaux-sur-Morges</v>
          </cell>
          <cell r="B267">
            <v>2017</v>
          </cell>
          <cell r="C267">
            <v>2018</v>
          </cell>
          <cell r="D267">
            <v>56</v>
          </cell>
          <cell r="E267" t="str">
            <v>-</v>
          </cell>
          <cell r="F267">
            <v>56</v>
          </cell>
        </row>
        <row r="268">
          <cell r="A268" t="str">
            <v>Villars-sous-Yens</v>
          </cell>
          <cell r="B268">
            <v>2017</v>
          </cell>
          <cell r="C268">
            <v>2018</v>
          </cell>
          <cell r="D268">
            <v>76</v>
          </cell>
          <cell r="E268" t="str">
            <v>-</v>
          </cell>
          <cell r="F268">
            <v>76</v>
          </cell>
        </row>
        <row r="269">
          <cell r="A269" t="str">
            <v>Vufflens-le-Château</v>
          </cell>
          <cell r="B269">
            <v>2017</v>
          </cell>
          <cell r="C269">
            <v>2019</v>
          </cell>
          <cell r="D269">
            <v>55</v>
          </cell>
          <cell r="E269" t="str">
            <v>-</v>
          </cell>
          <cell r="F269">
            <v>55</v>
          </cell>
        </row>
        <row r="270">
          <cell r="A270" t="str">
            <v>Vullierens</v>
          </cell>
          <cell r="B270">
            <v>2016</v>
          </cell>
          <cell r="C270">
            <v>2021</v>
          </cell>
          <cell r="D270">
            <v>76</v>
          </cell>
          <cell r="E270" t="str">
            <v>-</v>
          </cell>
          <cell r="F270">
            <v>76</v>
          </cell>
        </row>
        <row r="271">
          <cell r="A271" t="str">
            <v>Yens</v>
          </cell>
          <cell r="B271">
            <v>2017</v>
          </cell>
          <cell r="C271">
            <v>2018</v>
          </cell>
          <cell r="D271">
            <v>73</v>
          </cell>
          <cell r="E271" t="str">
            <v>-</v>
          </cell>
          <cell r="F271">
            <v>73</v>
          </cell>
        </row>
        <row r="273">
          <cell r="A273" t="str">
            <v>DISTRICT DE NYON</v>
          </cell>
        </row>
        <row r="275">
          <cell r="A275" t="str">
            <v>Arnex-sur-Nyon</v>
          </cell>
          <cell r="B275">
            <v>2017</v>
          </cell>
          <cell r="C275">
            <v>2018</v>
          </cell>
          <cell r="D275">
            <v>70</v>
          </cell>
          <cell r="E275" t="str">
            <v>-</v>
          </cell>
          <cell r="F275">
            <v>70</v>
          </cell>
        </row>
        <row r="276">
          <cell r="A276" t="str">
            <v>Arzier-Le-Muids</v>
          </cell>
          <cell r="B276">
            <v>2017</v>
          </cell>
          <cell r="C276">
            <v>2018</v>
          </cell>
          <cell r="D276">
            <v>64</v>
          </cell>
          <cell r="E276" t="str">
            <v>-</v>
          </cell>
          <cell r="F276">
            <v>64</v>
          </cell>
        </row>
        <row r="277">
          <cell r="A277" t="str">
            <v>Bassins</v>
          </cell>
          <cell r="B277">
            <v>2017</v>
          </cell>
          <cell r="C277">
            <v>2018</v>
          </cell>
          <cell r="D277">
            <v>74</v>
          </cell>
          <cell r="E277" t="str">
            <v>-</v>
          </cell>
          <cell r="F277">
            <v>74</v>
          </cell>
        </row>
        <row r="278">
          <cell r="A278" t="str">
            <v>Begnins</v>
          </cell>
          <cell r="B278">
            <v>2017</v>
          </cell>
          <cell r="C278">
            <v>2018</v>
          </cell>
          <cell r="D278">
            <v>64</v>
          </cell>
          <cell r="E278" t="str">
            <v>-</v>
          </cell>
          <cell r="F278">
            <v>64</v>
          </cell>
        </row>
        <row r="279">
          <cell r="A279" t="str">
            <v>Bogis-Bossey</v>
          </cell>
          <cell r="B279">
            <v>2017</v>
          </cell>
          <cell r="C279">
            <v>2018</v>
          </cell>
          <cell r="D279">
            <v>70</v>
          </cell>
          <cell r="E279" t="str">
            <v>-</v>
          </cell>
          <cell r="F279">
            <v>70</v>
          </cell>
        </row>
        <row r="280">
          <cell r="A280" t="str">
            <v>Borex</v>
          </cell>
          <cell r="B280">
            <v>2017</v>
          </cell>
          <cell r="C280">
            <v>2018</v>
          </cell>
          <cell r="D280">
            <v>58</v>
          </cell>
          <cell r="E280" t="str">
            <v>-</v>
          </cell>
          <cell r="F280">
            <v>58</v>
          </cell>
        </row>
        <row r="281">
          <cell r="A281" t="str">
            <v>Bursinel</v>
          </cell>
          <cell r="B281">
            <v>2017</v>
          </cell>
          <cell r="C281">
            <v>2018</v>
          </cell>
          <cell r="D281">
            <v>65.5</v>
          </cell>
          <cell r="E281" t="str">
            <v>-</v>
          </cell>
          <cell r="F281">
            <v>65.5</v>
          </cell>
        </row>
        <row r="282">
          <cell r="A282" t="str">
            <v>Bursins</v>
          </cell>
          <cell r="B282">
            <v>2017</v>
          </cell>
          <cell r="C282">
            <v>2018</v>
          </cell>
          <cell r="D282">
            <v>71</v>
          </cell>
          <cell r="E282" t="str">
            <v>-</v>
          </cell>
          <cell r="F282">
            <v>71</v>
          </cell>
        </row>
        <row r="283">
          <cell r="A283" t="str">
            <v>Burtigny</v>
          </cell>
          <cell r="B283">
            <v>2017</v>
          </cell>
          <cell r="C283">
            <v>2018</v>
          </cell>
          <cell r="D283">
            <v>80</v>
          </cell>
          <cell r="E283" t="str">
            <v>-</v>
          </cell>
          <cell r="F283">
            <v>80</v>
          </cell>
        </row>
        <row r="284">
          <cell r="A284" t="str">
            <v>Chavannes-de-Bogis</v>
          </cell>
          <cell r="B284">
            <v>2017</v>
          </cell>
          <cell r="C284">
            <v>2018</v>
          </cell>
          <cell r="D284">
            <v>59</v>
          </cell>
          <cell r="E284" t="str">
            <v>-</v>
          </cell>
          <cell r="F284">
            <v>59</v>
          </cell>
        </row>
        <row r="285">
          <cell r="A285" t="str">
            <v>Chavannes-des-Bois</v>
          </cell>
          <cell r="B285">
            <v>2017</v>
          </cell>
          <cell r="C285">
            <v>2018</v>
          </cell>
          <cell r="D285">
            <v>63</v>
          </cell>
          <cell r="E285" t="str">
            <v>-</v>
          </cell>
          <cell r="F285">
            <v>63</v>
          </cell>
        </row>
        <row r="286">
          <cell r="A286" t="str">
            <v>Chéserex</v>
          </cell>
          <cell r="B286">
            <v>2017</v>
          </cell>
          <cell r="C286">
            <v>2018</v>
          </cell>
          <cell r="D286">
            <v>57</v>
          </cell>
          <cell r="E286" t="str">
            <v>-</v>
          </cell>
          <cell r="F286">
            <v>57</v>
          </cell>
        </row>
        <row r="287">
          <cell r="A287" t="str">
            <v>Coinsins</v>
          </cell>
          <cell r="B287">
            <v>2017</v>
          </cell>
          <cell r="C287">
            <v>2018</v>
          </cell>
          <cell r="D287">
            <v>51</v>
          </cell>
          <cell r="E287" t="str">
            <v>-</v>
          </cell>
          <cell r="F287">
            <v>51</v>
          </cell>
        </row>
        <row r="288">
          <cell r="A288" t="str">
            <v>Commugny</v>
          </cell>
          <cell r="B288">
            <v>2017</v>
          </cell>
          <cell r="C288">
            <v>2018</v>
          </cell>
          <cell r="D288">
            <v>57</v>
          </cell>
          <cell r="E288" t="str">
            <v>-</v>
          </cell>
          <cell r="F288">
            <v>57</v>
          </cell>
        </row>
        <row r="289">
          <cell r="A289" t="str">
            <v>Coppet</v>
          </cell>
          <cell r="B289">
            <v>2017</v>
          </cell>
          <cell r="C289">
            <v>2018</v>
          </cell>
          <cell r="D289">
            <v>53</v>
          </cell>
          <cell r="E289" t="str">
            <v>-</v>
          </cell>
          <cell r="F289">
            <v>53</v>
          </cell>
        </row>
        <row r="290">
          <cell r="A290" t="str">
            <v>Crans-près-Céligny</v>
          </cell>
          <cell r="B290">
            <v>2017</v>
          </cell>
          <cell r="C290">
            <v>2018</v>
          </cell>
          <cell r="D290">
            <v>53</v>
          </cell>
          <cell r="E290" t="str">
            <v>-</v>
          </cell>
          <cell r="F290">
            <v>53</v>
          </cell>
        </row>
        <row r="291">
          <cell r="A291" t="str">
            <v>Crassier</v>
          </cell>
          <cell r="B291">
            <v>2017</v>
          </cell>
          <cell r="C291">
            <v>2018</v>
          </cell>
          <cell r="D291">
            <v>64</v>
          </cell>
          <cell r="E291" t="str">
            <v>-</v>
          </cell>
          <cell r="F291">
            <v>64</v>
          </cell>
        </row>
        <row r="292">
          <cell r="A292" t="str">
            <v>Duillier</v>
          </cell>
          <cell r="B292">
            <v>2017</v>
          </cell>
          <cell r="C292">
            <v>2018</v>
          </cell>
          <cell r="D292">
            <v>66</v>
          </cell>
          <cell r="E292" t="str">
            <v>-</v>
          </cell>
          <cell r="F292">
            <v>66</v>
          </cell>
        </row>
        <row r="293">
          <cell r="A293" t="str">
            <v>Dully</v>
          </cell>
          <cell r="B293">
            <v>2017</v>
          </cell>
          <cell r="C293">
            <v>2018</v>
          </cell>
          <cell r="D293">
            <v>49</v>
          </cell>
          <cell r="E293" t="str">
            <v>-</v>
          </cell>
          <cell r="F293">
            <v>49</v>
          </cell>
        </row>
        <row r="294">
          <cell r="A294" t="str">
            <v>Essertines-sur-Rolle</v>
          </cell>
          <cell r="B294">
            <v>2017</v>
          </cell>
          <cell r="C294">
            <v>2018</v>
          </cell>
          <cell r="D294">
            <v>68</v>
          </cell>
          <cell r="E294" t="str">
            <v>-</v>
          </cell>
          <cell r="F294">
            <v>68</v>
          </cell>
        </row>
        <row r="295">
          <cell r="A295" t="str">
            <v>Eysins</v>
          </cell>
          <cell r="B295">
            <v>2017</v>
          </cell>
          <cell r="C295">
            <v>2018</v>
          </cell>
          <cell r="D295">
            <v>61</v>
          </cell>
          <cell r="E295" t="str">
            <v>-</v>
          </cell>
          <cell r="F295">
            <v>61</v>
          </cell>
        </row>
        <row r="296">
          <cell r="A296" t="str">
            <v>Founex</v>
          </cell>
          <cell r="B296">
            <v>2017</v>
          </cell>
          <cell r="C296">
            <v>2018</v>
          </cell>
          <cell r="D296">
            <v>57</v>
          </cell>
          <cell r="E296" t="str">
            <v>-</v>
          </cell>
          <cell r="F296">
            <v>57</v>
          </cell>
        </row>
        <row r="297">
          <cell r="A297" t="str">
            <v>Genolier</v>
          </cell>
          <cell r="B297">
            <v>2017</v>
          </cell>
          <cell r="C297">
            <v>2018</v>
          </cell>
          <cell r="D297">
            <v>55</v>
          </cell>
          <cell r="E297" t="str">
            <v>-</v>
          </cell>
          <cell r="F297">
            <v>55</v>
          </cell>
        </row>
        <row r="298">
          <cell r="A298" t="str">
            <v>Gilly</v>
          </cell>
          <cell r="B298">
            <v>2017</v>
          </cell>
          <cell r="C298">
            <v>2018</v>
          </cell>
          <cell r="D298">
            <v>66</v>
          </cell>
          <cell r="E298" t="str">
            <v>-</v>
          </cell>
          <cell r="F298">
            <v>66</v>
          </cell>
        </row>
        <row r="299">
          <cell r="A299" t="str">
            <v>Gingins</v>
          </cell>
          <cell r="B299">
            <v>2017</v>
          </cell>
          <cell r="C299">
            <v>2018</v>
          </cell>
          <cell r="D299">
            <v>57</v>
          </cell>
          <cell r="E299" t="str">
            <v>-</v>
          </cell>
          <cell r="F299">
            <v>57</v>
          </cell>
        </row>
        <row r="300">
          <cell r="A300" t="str">
            <v>Givrins</v>
          </cell>
          <cell r="B300">
            <v>2017</v>
          </cell>
          <cell r="C300">
            <v>2018</v>
          </cell>
          <cell r="D300">
            <v>67</v>
          </cell>
          <cell r="E300" t="str">
            <v>-</v>
          </cell>
          <cell r="F300">
            <v>67</v>
          </cell>
        </row>
        <row r="301">
          <cell r="A301" t="str">
            <v>Gland</v>
          </cell>
          <cell r="B301">
            <v>2017</v>
          </cell>
          <cell r="C301">
            <v>2018</v>
          </cell>
          <cell r="D301">
            <v>62.5</v>
          </cell>
          <cell r="E301" t="str">
            <v>-</v>
          </cell>
          <cell r="F301">
            <v>62.5</v>
          </cell>
        </row>
        <row r="302">
          <cell r="A302" t="str">
            <v>Grens</v>
          </cell>
          <cell r="B302">
            <v>2017</v>
          </cell>
          <cell r="C302">
            <v>2018</v>
          </cell>
          <cell r="D302">
            <v>62</v>
          </cell>
          <cell r="E302" t="str">
            <v>-</v>
          </cell>
          <cell r="F302">
            <v>62</v>
          </cell>
        </row>
        <row r="303">
          <cell r="A303" t="str">
            <v>Longirod</v>
          </cell>
          <cell r="B303">
            <v>2017</v>
          </cell>
          <cell r="C303">
            <v>2018</v>
          </cell>
          <cell r="D303">
            <v>81</v>
          </cell>
          <cell r="E303" t="str">
            <v>-</v>
          </cell>
          <cell r="F303">
            <v>81</v>
          </cell>
        </row>
        <row r="304">
          <cell r="A304" t="str">
            <v>Luins</v>
          </cell>
          <cell r="B304">
            <v>2017</v>
          </cell>
          <cell r="C304">
            <v>2018</v>
          </cell>
          <cell r="D304">
            <v>60</v>
          </cell>
          <cell r="E304" t="str">
            <v>-</v>
          </cell>
          <cell r="F304">
            <v>60</v>
          </cell>
        </row>
        <row r="305">
          <cell r="A305" t="str">
            <v>Marchissy</v>
          </cell>
          <cell r="B305">
            <v>2017</v>
          </cell>
          <cell r="C305">
            <v>2018</v>
          </cell>
          <cell r="D305">
            <v>79</v>
          </cell>
          <cell r="E305" t="str">
            <v>-</v>
          </cell>
          <cell r="F305">
            <v>79</v>
          </cell>
        </row>
        <row r="306">
          <cell r="A306" t="str">
            <v>Mies</v>
          </cell>
          <cell r="B306">
            <v>2017</v>
          </cell>
          <cell r="C306">
            <v>2018</v>
          </cell>
          <cell r="D306">
            <v>49</v>
          </cell>
          <cell r="E306" t="str">
            <v>-</v>
          </cell>
          <cell r="F306">
            <v>49</v>
          </cell>
        </row>
        <row r="307">
          <cell r="A307" t="str">
            <v>Mont-sur-Rolle</v>
          </cell>
          <cell r="B307">
            <v>2017</v>
          </cell>
          <cell r="C307">
            <v>2018</v>
          </cell>
          <cell r="D307">
            <v>65</v>
          </cell>
          <cell r="E307" t="str">
            <v>-</v>
          </cell>
          <cell r="F307">
            <v>65</v>
          </cell>
        </row>
        <row r="308">
          <cell r="A308" t="str">
            <v>Nyon</v>
          </cell>
          <cell r="B308">
            <v>2017</v>
          </cell>
          <cell r="C308">
            <v>2018</v>
          </cell>
          <cell r="D308">
            <v>61</v>
          </cell>
          <cell r="E308" t="str">
            <v>-</v>
          </cell>
          <cell r="F308">
            <v>61</v>
          </cell>
        </row>
        <row r="309">
          <cell r="A309" t="str">
            <v>Perroy</v>
          </cell>
          <cell r="B309">
            <v>2017</v>
          </cell>
          <cell r="C309">
            <v>2018</v>
          </cell>
          <cell r="D309">
            <v>60</v>
          </cell>
          <cell r="E309" t="str">
            <v>-</v>
          </cell>
          <cell r="F309">
            <v>60</v>
          </cell>
        </row>
        <row r="310">
          <cell r="A310" t="str">
            <v>Prangins</v>
          </cell>
          <cell r="B310">
            <v>2017</v>
          </cell>
          <cell r="C310">
            <v>2018</v>
          </cell>
          <cell r="D310">
            <v>56</v>
          </cell>
          <cell r="E310" t="str">
            <v>-</v>
          </cell>
          <cell r="F310">
            <v>56</v>
          </cell>
        </row>
        <row r="311">
          <cell r="A311" t="str">
            <v>La Rippe</v>
          </cell>
          <cell r="B311">
            <v>2017</v>
          </cell>
          <cell r="C311">
            <v>2018</v>
          </cell>
          <cell r="D311">
            <v>65</v>
          </cell>
          <cell r="E311" t="str">
            <v>-</v>
          </cell>
          <cell r="F311">
            <v>65</v>
          </cell>
        </row>
        <row r="312">
          <cell r="A312" t="str">
            <v>Rolle</v>
          </cell>
          <cell r="B312">
            <v>2017</v>
          </cell>
          <cell r="C312">
            <v>2018</v>
          </cell>
          <cell r="D312">
            <v>59.5</v>
          </cell>
          <cell r="E312" t="str">
            <v>-</v>
          </cell>
          <cell r="F312">
            <v>59.5</v>
          </cell>
        </row>
        <row r="313">
          <cell r="A313" t="str">
            <v>Saint-Cergue</v>
          </cell>
          <cell r="B313">
            <v>2017</v>
          </cell>
          <cell r="C313">
            <v>2018</v>
          </cell>
          <cell r="D313">
            <v>66</v>
          </cell>
          <cell r="E313" t="str">
            <v>-</v>
          </cell>
          <cell r="F313">
            <v>66</v>
          </cell>
        </row>
        <row r="314">
          <cell r="A314" t="str">
            <v>Saint-George</v>
          </cell>
          <cell r="B314">
            <v>2017</v>
          </cell>
          <cell r="C314">
            <v>2018</v>
          </cell>
          <cell r="D314">
            <v>71</v>
          </cell>
          <cell r="E314" t="str">
            <v>-</v>
          </cell>
          <cell r="F314">
            <v>71</v>
          </cell>
        </row>
        <row r="315">
          <cell r="A315" t="str">
            <v>Signy-Avenex</v>
          </cell>
          <cell r="B315">
            <v>2017</v>
          </cell>
          <cell r="C315">
            <v>2018</v>
          </cell>
          <cell r="D315">
            <v>58</v>
          </cell>
          <cell r="E315" t="str">
            <v>-</v>
          </cell>
          <cell r="F315">
            <v>58</v>
          </cell>
        </row>
        <row r="316">
          <cell r="A316" t="str">
            <v>Tannay</v>
          </cell>
          <cell r="B316">
            <v>2017</v>
          </cell>
          <cell r="C316">
            <v>2018</v>
          </cell>
          <cell r="D316">
            <v>61</v>
          </cell>
          <cell r="E316" t="str">
            <v>-</v>
          </cell>
          <cell r="F316">
            <v>61</v>
          </cell>
        </row>
        <row r="317">
          <cell r="A317" t="str">
            <v>Tartegnin</v>
          </cell>
          <cell r="B317">
            <v>2017</v>
          </cell>
          <cell r="C317">
            <v>2018</v>
          </cell>
          <cell r="D317">
            <v>81</v>
          </cell>
          <cell r="E317" t="str">
            <v>-</v>
          </cell>
          <cell r="F317">
            <v>81</v>
          </cell>
        </row>
        <row r="318">
          <cell r="A318" t="str">
            <v>Trélex</v>
          </cell>
          <cell r="B318">
            <v>2017</v>
          </cell>
          <cell r="C318">
            <v>2018</v>
          </cell>
          <cell r="D318">
            <v>57</v>
          </cell>
          <cell r="E318" t="str">
            <v>-</v>
          </cell>
          <cell r="F318">
            <v>57</v>
          </cell>
        </row>
        <row r="319">
          <cell r="A319" t="str">
            <v>Le Vaud</v>
          </cell>
          <cell r="B319">
            <v>2017</v>
          </cell>
          <cell r="C319">
            <v>2018</v>
          </cell>
          <cell r="D319">
            <v>75</v>
          </cell>
          <cell r="E319" t="str">
            <v>-</v>
          </cell>
          <cell r="F319">
            <v>75</v>
          </cell>
        </row>
        <row r="320">
          <cell r="A320" t="str">
            <v>Vich</v>
          </cell>
          <cell r="B320">
            <v>2017</v>
          </cell>
          <cell r="C320">
            <v>2018</v>
          </cell>
          <cell r="D320">
            <v>67</v>
          </cell>
          <cell r="E320" t="str">
            <v>-</v>
          </cell>
          <cell r="F320">
            <v>67</v>
          </cell>
        </row>
        <row r="321">
          <cell r="A321" t="str">
            <v>Vinzel</v>
          </cell>
          <cell r="B321">
            <v>2017</v>
          </cell>
          <cell r="C321">
            <v>2018</v>
          </cell>
          <cell r="D321">
            <v>67</v>
          </cell>
          <cell r="E321" t="str">
            <v>-</v>
          </cell>
          <cell r="F321">
            <v>67</v>
          </cell>
        </row>
        <row r="323">
          <cell r="A323" t="str">
            <v>DISTRICT DE L'OUEST LAUSANNOIS</v>
          </cell>
        </row>
        <row r="325">
          <cell r="A325" t="str">
            <v>Bussigny</v>
          </cell>
          <cell r="B325">
            <v>2017</v>
          </cell>
          <cell r="C325">
            <v>2018</v>
          </cell>
          <cell r="D325">
            <v>63</v>
          </cell>
          <cell r="E325" t="str">
            <v>-</v>
          </cell>
          <cell r="F325">
            <v>63</v>
          </cell>
        </row>
        <row r="326">
          <cell r="A326" t="str">
            <v>Chavannes-près-Renens</v>
          </cell>
          <cell r="B326">
            <v>2016</v>
          </cell>
          <cell r="C326">
            <v>2018</v>
          </cell>
          <cell r="D326">
            <v>79</v>
          </cell>
          <cell r="E326" t="str">
            <v>-</v>
          </cell>
          <cell r="F326">
            <v>79</v>
          </cell>
        </row>
        <row r="327">
          <cell r="A327" t="str">
            <v>Crissier</v>
          </cell>
          <cell r="B327">
            <v>2016</v>
          </cell>
          <cell r="C327">
            <v>2018</v>
          </cell>
          <cell r="D327">
            <v>65</v>
          </cell>
          <cell r="E327" t="str">
            <v>-</v>
          </cell>
          <cell r="F327">
            <v>65</v>
          </cell>
        </row>
        <row r="328">
          <cell r="A328" t="str">
            <v>Ecublens</v>
          </cell>
          <cell r="B328">
            <v>2017</v>
          </cell>
          <cell r="C328">
            <v>2018</v>
          </cell>
          <cell r="D328">
            <v>64</v>
          </cell>
          <cell r="E328" t="str">
            <v>-</v>
          </cell>
          <cell r="F328">
            <v>64</v>
          </cell>
        </row>
        <row r="329">
          <cell r="A329" t="str">
            <v>Prilly</v>
          </cell>
          <cell r="B329">
            <v>2016</v>
          </cell>
          <cell r="C329">
            <v>2018</v>
          </cell>
          <cell r="D329">
            <v>73.5</v>
          </cell>
          <cell r="E329" t="str">
            <v>-</v>
          </cell>
          <cell r="F329">
            <v>73.5</v>
          </cell>
        </row>
        <row r="330">
          <cell r="A330" t="str">
            <v>Renens</v>
          </cell>
          <cell r="B330">
            <v>2017</v>
          </cell>
          <cell r="C330">
            <v>2018</v>
          </cell>
          <cell r="D330">
            <v>78.5</v>
          </cell>
          <cell r="E330" t="str">
            <v>-</v>
          </cell>
          <cell r="F330">
            <v>78.5</v>
          </cell>
        </row>
        <row r="331">
          <cell r="A331" t="str">
            <v>Saint-Sulpice</v>
          </cell>
          <cell r="B331">
            <v>2017</v>
          </cell>
          <cell r="C331">
            <v>2018</v>
          </cell>
          <cell r="D331">
            <v>55</v>
          </cell>
          <cell r="E331" t="str">
            <v>-</v>
          </cell>
          <cell r="F331">
            <v>55</v>
          </cell>
        </row>
        <row r="332">
          <cell r="A332" t="str">
            <v>Villars-Sainte-Croix</v>
          </cell>
          <cell r="B332">
            <v>2016</v>
          </cell>
          <cell r="C332">
            <v>2018</v>
          </cell>
          <cell r="D332">
            <v>59</v>
          </cell>
          <cell r="E332" t="str">
            <v>-</v>
          </cell>
          <cell r="F332">
            <v>59</v>
          </cell>
        </row>
        <row r="334">
          <cell r="A334" t="str">
            <v>DISTRICT DE LA RIVIERA-PAYS-D'ENHAUT</v>
          </cell>
        </row>
        <row r="336">
          <cell r="A336" t="str">
            <v>Blonay</v>
          </cell>
          <cell r="B336">
            <v>2016</v>
          </cell>
          <cell r="C336">
            <v>2021</v>
          </cell>
          <cell r="D336">
            <v>70</v>
          </cell>
          <cell r="E336" t="str">
            <v>-</v>
          </cell>
          <cell r="F336">
            <v>70</v>
          </cell>
        </row>
        <row r="337">
          <cell r="A337" t="str">
            <v>Chardonne</v>
          </cell>
          <cell r="B337">
            <v>2017</v>
          </cell>
          <cell r="C337">
            <v>2018</v>
          </cell>
          <cell r="D337">
            <v>68</v>
          </cell>
          <cell r="E337" t="str">
            <v>-</v>
          </cell>
          <cell r="F337">
            <v>68</v>
          </cell>
        </row>
        <row r="338">
          <cell r="A338" t="str">
            <v>Château-d'Oex</v>
          </cell>
          <cell r="B338">
            <v>2016</v>
          </cell>
          <cell r="C338">
            <v>2018</v>
          </cell>
          <cell r="D338">
            <v>81</v>
          </cell>
          <cell r="E338">
            <v>2</v>
          </cell>
          <cell r="F338">
            <v>83</v>
          </cell>
        </row>
        <row r="339">
          <cell r="A339" t="str">
            <v>Corseaux</v>
          </cell>
          <cell r="B339">
            <v>2016</v>
          </cell>
          <cell r="C339">
            <v>2018</v>
          </cell>
          <cell r="D339">
            <v>69</v>
          </cell>
          <cell r="E339" t="str">
            <v>-</v>
          </cell>
          <cell r="F339">
            <v>69</v>
          </cell>
        </row>
        <row r="340">
          <cell r="A340" t="str">
            <v>Corsier-sur-Vevey</v>
          </cell>
          <cell r="B340">
            <v>2017</v>
          </cell>
          <cell r="C340">
            <v>2018</v>
          </cell>
          <cell r="D340">
            <v>66</v>
          </cell>
          <cell r="E340" t="str">
            <v>-</v>
          </cell>
          <cell r="F340">
            <v>66</v>
          </cell>
        </row>
        <row r="341">
          <cell r="A341" t="str">
            <v>Jongny</v>
          </cell>
          <cell r="B341">
            <v>2017</v>
          </cell>
          <cell r="C341">
            <v>2019</v>
          </cell>
          <cell r="D341">
            <v>71</v>
          </cell>
          <cell r="E341" t="str">
            <v>-</v>
          </cell>
          <cell r="F341">
            <v>71</v>
          </cell>
        </row>
        <row r="342">
          <cell r="A342" t="str">
            <v>Montreux</v>
          </cell>
          <cell r="B342">
            <v>2016</v>
          </cell>
          <cell r="C342">
            <v>2018</v>
          </cell>
          <cell r="D342">
            <v>65</v>
          </cell>
          <cell r="E342" t="str">
            <v>-</v>
          </cell>
          <cell r="F342">
            <v>65</v>
          </cell>
        </row>
        <row r="343">
          <cell r="A343" t="str">
            <v>Rossinière</v>
          </cell>
          <cell r="B343">
            <v>2016</v>
          </cell>
          <cell r="C343">
            <v>2018</v>
          </cell>
          <cell r="D343">
            <v>81</v>
          </cell>
          <cell r="E343" t="str">
            <v>-</v>
          </cell>
          <cell r="F343">
            <v>81</v>
          </cell>
        </row>
        <row r="344">
          <cell r="A344" t="str">
            <v>Rougemont</v>
          </cell>
          <cell r="B344">
            <v>2017</v>
          </cell>
          <cell r="C344">
            <v>2018</v>
          </cell>
          <cell r="D344">
            <v>74</v>
          </cell>
          <cell r="E344" t="str">
            <v>-</v>
          </cell>
          <cell r="F344">
            <v>74</v>
          </cell>
        </row>
        <row r="345">
          <cell r="A345" t="str">
            <v>Saint-Légier-La Chiésaz</v>
          </cell>
          <cell r="B345">
            <v>2017</v>
          </cell>
          <cell r="C345">
            <v>2021</v>
          </cell>
          <cell r="D345">
            <v>70</v>
          </cell>
          <cell r="E345" t="str">
            <v>-</v>
          </cell>
          <cell r="F345">
            <v>70</v>
          </cell>
        </row>
        <row r="346">
          <cell r="A346" t="str">
            <v>La Tour-de-Peilz</v>
          </cell>
          <cell r="B346">
            <v>2017</v>
          </cell>
          <cell r="C346">
            <v>2018</v>
          </cell>
          <cell r="D346">
            <v>64</v>
          </cell>
          <cell r="E346" t="str">
            <v>-</v>
          </cell>
          <cell r="F346">
            <v>64</v>
          </cell>
        </row>
        <row r="347">
          <cell r="A347" t="str">
            <v>Vevey</v>
          </cell>
          <cell r="B347">
            <v>2017</v>
          </cell>
          <cell r="C347">
            <v>2019</v>
          </cell>
          <cell r="D347">
            <v>76</v>
          </cell>
          <cell r="E347" t="str">
            <v>-</v>
          </cell>
          <cell r="F347">
            <v>76</v>
          </cell>
        </row>
        <row r="348">
          <cell r="A348" t="str">
            <v>Veytaux</v>
          </cell>
          <cell r="B348">
            <v>2017</v>
          </cell>
          <cell r="C348">
            <v>2018</v>
          </cell>
          <cell r="D348">
            <v>71</v>
          </cell>
          <cell r="E348" t="str">
            <v>-</v>
          </cell>
          <cell r="F348">
            <v>71</v>
          </cell>
        </row>
      </sheetData>
      <sheetData sheetId="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18"/>
      <sheetName val="2018 (2)"/>
    </sheetNames>
    <sheetDataSet>
      <sheetData sheetId="0"/>
      <sheetData sheetId="1">
        <row r="1">
          <cell r="B1">
            <v>5401</v>
          </cell>
          <cell r="C1" t="str">
            <v>Aigle</v>
          </cell>
          <cell r="D1">
            <v>10134</v>
          </cell>
        </row>
        <row r="2">
          <cell r="B2">
            <v>5402</v>
          </cell>
          <cell r="C2" t="str">
            <v>Bex</v>
          </cell>
          <cell r="D2">
            <v>7757</v>
          </cell>
        </row>
        <row r="3">
          <cell r="B3">
            <v>5403</v>
          </cell>
          <cell r="C3" t="str">
            <v>Chessel</v>
          </cell>
          <cell r="D3">
            <v>426</v>
          </cell>
        </row>
        <row r="4">
          <cell r="B4">
            <v>5404</v>
          </cell>
          <cell r="C4" t="str">
            <v>Corbeyrier</v>
          </cell>
          <cell r="D4">
            <v>438</v>
          </cell>
        </row>
        <row r="5">
          <cell r="B5">
            <v>5405</v>
          </cell>
          <cell r="C5" t="str">
            <v>Gryon</v>
          </cell>
          <cell r="D5">
            <v>1332</v>
          </cell>
        </row>
        <row r="6">
          <cell r="B6">
            <v>5406</v>
          </cell>
          <cell r="C6" t="str">
            <v>Lavey-Morcles</v>
          </cell>
          <cell r="D6">
            <v>946</v>
          </cell>
        </row>
        <row r="7">
          <cell r="B7">
            <v>5407</v>
          </cell>
          <cell r="C7" t="str">
            <v>Leysin</v>
          </cell>
          <cell r="D7">
            <v>3939</v>
          </cell>
        </row>
        <row r="8">
          <cell r="B8">
            <v>5408</v>
          </cell>
          <cell r="C8" t="str">
            <v>Noville</v>
          </cell>
          <cell r="D8">
            <v>1113</v>
          </cell>
        </row>
        <row r="9">
          <cell r="B9">
            <v>5409</v>
          </cell>
          <cell r="C9" t="str">
            <v>Ollon</v>
          </cell>
          <cell r="D9">
            <v>7461</v>
          </cell>
        </row>
        <row r="10">
          <cell r="B10">
            <v>5410</v>
          </cell>
          <cell r="C10" t="str">
            <v>Ormont-Dessous</v>
          </cell>
          <cell r="D10">
            <v>1121</v>
          </cell>
        </row>
        <row r="11">
          <cell r="B11">
            <v>5411</v>
          </cell>
          <cell r="C11" t="str">
            <v>Ormont-Dessus</v>
          </cell>
          <cell r="D11">
            <v>1446</v>
          </cell>
        </row>
        <row r="12">
          <cell r="B12">
            <v>5412</v>
          </cell>
          <cell r="C12" t="str">
            <v>Rennaz</v>
          </cell>
          <cell r="D12">
            <v>826</v>
          </cell>
        </row>
        <row r="13">
          <cell r="B13">
            <v>5413</v>
          </cell>
          <cell r="C13" t="str">
            <v>Roche</v>
          </cell>
          <cell r="D13">
            <v>1775</v>
          </cell>
        </row>
        <row r="14">
          <cell r="B14">
            <v>5414</v>
          </cell>
          <cell r="C14" t="str">
            <v>Villeneuve</v>
          </cell>
          <cell r="D14">
            <v>5771</v>
          </cell>
        </row>
        <row r="15">
          <cell r="B15">
            <v>5415</v>
          </cell>
          <cell r="C15" t="str">
            <v>Yvorne</v>
          </cell>
          <cell r="D15">
            <v>1066</v>
          </cell>
        </row>
        <row r="16">
          <cell r="D16">
            <v>43155</v>
          </cell>
        </row>
        <row r="17">
          <cell r="B17">
            <v>5451</v>
          </cell>
          <cell r="C17" t="str">
            <v>Avenches</v>
          </cell>
          <cell r="D17">
            <v>4282</v>
          </cell>
        </row>
        <row r="18">
          <cell r="B18">
            <v>5663</v>
          </cell>
          <cell r="C18" t="str">
            <v>Bussy-sur-Moudon</v>
          </cell>
          <cell r="D18">
            <v>214</v>
          </cell>
        </row>
        <row r="19">
          <cell r="B19">
            <v>5812</v>
          </cell>
          <cell r="C19" t="str">
            <v>Champtauroz</v>
          </cell>
          <cell r="D19">
            <v>122</v>
          </cell>
        </row>
        <row r="20">
          <cell r="B20">
            <v>5665</v>
          </cell>
          <cell r="C20" t="str">
            <v>Chavannes-sur-Moudon</v>
          </cell>
          <cell r="D20">
            <v>216</v>
          </cell>
        </row>
        <row r="21">
          <cell r="B21">
            <v>5813</v>
          </cell>
          <cell r="C21" t="str">
            <v>Chevroux</v>
          </cell>
          <cell r="D21">
            <v>480</v>
          </cell>
        </row>
        <row r="22">
          <cell r="B22">
            <v>5785</v>
          </cell>
          <cell r="C22" t="str">
            <v>Corcelles-le-Jorat</v>
          </cell>
          <cell r="D22">
            <v>445</v>
          </cell>
        </row>
        <row r="23">
          <cell r="B23">
            <v>5816</v>
          </cell>
          <cell r="C23" t="str">
            <v>Corcelles-près-Payerne</v>
          </cell>
          <cell r="D23">
            <v>2479</v>
          </cell>
        </row>
        <row r="24">
          <cell r="B24">
            <v>5456</v>
          </cell>
          <cell r="C24" t="str">
            <v>Cudrefin</v>
          </cell>
          <cell r="D24">
            <v>1633</v>
          </cell>
        </row>
        <row r="25">
          <cell r="B25">
            <v>5669</v>
          </cell>
          <cell r="C25" t="str">
            <v>Curtilles</v>
          </cell>
          <cell r="D25">
            <v>313</v>
          </cell>
        </row>
        <row r="26">
          <cell r="B26">
            <v>5671</v>
          </cell>
          <cell r="C26" t="str">
            <v>Dompierre</v>
          </cell>
          <cell r="D26">
            <v>239</v>
          </cell>
        </row>
        <row r="27">
          <cell r="B27">
            <v>5458</v>
          </cell>
          <cell r="C27" t="str">
            <v>Faoug</v>
          </cell>
          <cell r="D27">
            <v>904</v>
          </cell>
        </row>
        <row r="28">
          <cell r="B28">
            <v>5817</v>
          </cell>
          <cell r="C28" t="str">
            <v>Grandcour</v>
          </cell>
          <cell r="D28">
            <v>929</v>
          </cell>
        </row>
        <row r="29">
          <cell r="B29">
            <v>5819</v>
          </cell>
          <cell r="C29" t="str">
            <v>Henniez</v>
          </cell>
          <cell r="D29">
            <v>341</v>
          </cell>
        </row>
        <row r="30">
          <cell r="B30">
            <v>5673</v>
          </cell>
          <cell r="C30" t="str">
            <v>Hermenches</v>
          </cell>
          <cell r="D30">
            <v>364</v>
          </cell>
        </row>
        <row r="31">
          <cell r="B31">
            <v>5674</v>
          </cell>
          <cell r="C31" t="str">
            <v>Lovatens</v>
          </cell>
          <cell r="D31">
            <v>146</v>
          </cell>
        </row>
        <row r="32">
          <cell r="B32">
            <v>5675</v>
          </cell>
          <cell r="C32" t="str">
            <v>Lucens</v>
          </cell>
          <cell r="D32">
            <v>4199</v>
          </cell>
        </row>
        <row r="33">
          <cell r="B33">
            <v>5821</v>
          </cell>
          <cell r="C33" t="str">
            <v>Missy</v>
          </cell>
          <cell r="D33">
            <v>368</v>
          </cell>
        </row>
        <row r="34">
          <cell r="B34">
            <v>5678</v>
          </cell>
          <cell r="C34" t="str">
            <v>Moudon</v>
          </cell>
          <cell r="D34">
            <v>6135</v>
          </cell>
        </row>
        <row r="35">
          <cell r="B35">
            <v>5822</v>
          </cell>
          <cell r="C35" t="str">
            <v>Payerne</v>
          </cell>
          <cell r="D35">
            <v>9971</v>
          </cell>
        </row>
        <row r="36">
          <cell r="B36">
            <v>5683</v>
          </cell>
          <cell r="C36" t="str">
            <v>Prévonloup</v>
          </cell>
          <cell r="D36">
            <v>184</v>
          </cell>
        </row>
        <row r="37">
          <cell r="B37">
            <v>5798</v>
          </cell>
          <cell r="C37" t="str">
            <v>Ropraz</v>
          </cell>
          <cell r="D37">
            <v>494</v>
          </cell>
        </row>
        <row r="38">
          <cell r="B38">
            <v>5684</v>
          </cell>
          <cell r="C38" t="str">
            <v>Rossenges</v>
          </cell>
          <cell r="D38">
            <v>65</v>
          </cell>
        </row>
        <row r="39">
          <cell r="B39">
            <v>5688</v>
          </cell>
          <cell r="C39" t="str">
            <v>Syens</v>
          </cell>
          <cell r="D39">
            <v>159</v>
          </cell>
        </row>
        <row r="40">
          <cell r="B40">
            <v>5827</v>
          </cell>
          <cell r="C40" t="str">
            <v>Trey</v>
          </cell>
          <cell r="D40">
            <v>267</v>
          </cell>
        </row>
        <row r="41">
          <cell r="B41">
            <v>5828</v>
          </cell>
          <cell r="C41" t="str">
            <v>Treytorrens</v>
          </cell>
          <cell r="D41">
            <v>119</v>
          </cell>
        </row>
        <row r="42">
          <cell r="B42">
            <v>5831</v>
          </cell>
          <cell r="C42" t="str">
            <v>Valbroye</v>
          </cell>
          <cell r="D42">
            <v>3174</v>
          </cell>
        </row>
        <row r="43">
          <cell r="B43">
            <v>5690</v>
          </cell>
          <cell r="C43" t="str">
            <v>Villars-le-Comte</v>
          </cell>
          <cell r="D43">
            <v>132</v>
          </cell>
        </row>
        <row r="44">
          <cell r="B44">
            <v>5830</v>
          </cell>
          <cell r="C44" t="str">
            <v>Villarzel</v>
          </cell>
          <cell r="D44">
            <v>446</v>
          </cell>
        </row>
        <row r="45">
          <cell r="B45">
            <v>5692</v>
          </cell>
          <cell r="C45" t="str">
            <v>Vucherens</v>
          </cell>
          <cell r="D45">
            <v>577</v>
          </cell>
        </row>
        <row r="46">
          <cell r="B46">
            <v>5803</v>
          </cell>
          <cell r="C46" t="str">
            <v>Vulliens</v>
          </cell>
          <cell r="D46">
            <v>595</v>
          </cell>
        </row>
        <row r="47">
          <cell r="B47">
            <v>5464</v>
          </cell>
          <cell r="C47" t="str">
            <v>Vully-les-Lacs</v>
          </cell>
          <cell r="D47">
            <v>3163</v>
          </cell>
        </row>
        <row r="48">
          <cell r="D48">
            <v>45264</v>
          </cell>
        </row>
        <row r="49">
          <cell r="B49">
            <v>5511</v>
          </cell>
          <cell r="C49" t="str">
            <v>Assens</v>
          </cell>
          <cell r="D49">
            <v>1077</v>
          </cell>
        </row>
        <row r="50">
          <cell r="B50">
            <v>5512</v>
          </cell>
          <cell r="C50" t="str">
            <v>Bercher</v>
          </cell>
          <cell r="D50">
            <v>1239</v>
          </cell>
        </row>
        <row r="51">
          <cell r="B51">
            <v>5471</v>
          </cell>
          <cell r="C51" t="str">
            <v>Bettens</v>
          </cell>
          <cell r="D51">
            <v>592</v>
          </cell>
        </row>
        <row r="52">
          <cell r="B52">
            <v>5513</v>
          </cell>
          <cell r="C52" t="str">
            <v>Bioley-Orjulaz</v>
          </cell>
          <cell r="D52">
            <v>516</v>
          </cell>
        </row>
        <row r="53">
          <cell r="B53">
            <v>5514</v>
          </cell>
          <cell r="C53" t="str">
            <v>Bottens</v>
          </cell>
          <cell r="D53">
            <v>1298</v>
          </cell>
        </row>
        <row r="54">
          <cell r="B54">
            <v>5661</v>
          </cell>
          <cell r="C54" t="str">
            <v>Boulens</v>
          </cell>
          <cell r="D54">
            <v>384</v>
          </cell>
        </row>
        <row r="55">
          <cell r="B55">
            <v>5472</v>
          </cell>
          <cell r="C55" t="str">
            <v>Bournens</v>
          </cell>
          <cell r="D55">
            <v>404</v>
          </cell>
        </row>
        <row r="56">
          <cell r="B56">
            <v>5473</v>
          </cell>
          <cell r="C56" t="str">
            <v>Boussens</v>
          </cell>
          <cell r="D56">
            <v>968</v>
          </cell>
        </row>
        <row r="57">
          <cell r="B57">
            <v>5515</v>
          </cell>
          <cell r="C57" t="str">
            <v>Bretigny-sur-Morrens</v>
          </cell>
          <cell r="D57">
            <v>843</v>
          </cell>
        </row>
        <row r="58">
          <cell r="B58">
            <v>5516</v>
          </cell>
          <cell r="C58" t="str">
            <v>Cugy</v>
          </cell>
          <cell r="D58">
            <v>2742</v>
          </cell>
        </row>
        <row r="59">
          <cell r="B59">
            <v>5480</v>
          </cell>
          <cell r="C59" t="str">
            <v>Daillens</v>
          </cell>
          <cell r="D59">
            <v>1027</v>
          </cell>
        </row>
        <row r="60">
          <cell r="B60">
            <v>5518</v>
          </cell>
          <cell r="C60" t="str">
            <v>Echallens</v>
          </cell>
          <cell r="D60">
            <v>5742</v>
          </cell>
        </row>
        <row r="61">
          <cell r="B61">
            <v>5520</v>
          </cell>
          <cell r="C61" t="str">
            <v>Essertines-sur-Yverdon</v>
          </cell>
          <cell r="D61">
            <v>1024</v>
          </cell>
        </row>
        <row r="62">
          <cell r="B62">
            <v>5521</v>
          </cell>
          <cell r="C62" t="str">
            <v>Etagnières</v>
          </cell>
          <cell r="D62">
            <v>1118</v>
          </cell>
        </row>
        <row r="63">
          <cell r="B63">
            <v>5522</v>
          </cell>
          <cell r="C63" t="str">
            <v>Fey</v>
          </cell>
          <cell r="D63">
            <v>734</v>
          </cell>
        </row>
        <row r="64">
          <cell r="B64">
            <v>5523</v>
          </cell>
          <cell r="C64" t="str">
            <v>Froideville</v>
          </cell>
          <cell r="D64">
            <v>2576</v>
          </cell>
        </row>
        <row r="65">
          <cell r="B65">
            <v>5541</v>
          </cell>
          <cell r="C65" t="str">
            <v>Goumoëns</v>
          </cell>
          <cell r="D65">
            <v>1119</v>
          </cell>
        </row>
        <row r="66">
          <cell r="B66">
            <v>5804</v>
          </cell>
          <cell r="C66" t="str">
            <v>Jorat-Menthue</v>
          </cell>
          <cell r="D66">
            <v>1586</v>
          </cell>
        </row>
        <row r="67">
          <cell r="B67">
            <v>5487</v>
          </cell>
          <cell r="C67" t="str">
            <v>Lussery-Villars</v>
          </cell>
          <cell r="D67">
            <v>462</v>
          </cell>
        </row>
        <row r="68">
          <cell r="B68">
            <v>5489</v>
          </cell>
          <cell r="C68" t="str">
            <v>Mex</v>
          </cell>
          <cell r="D68">
            <v>725</v>
          </cell>
        </row>
        <row r="69">
          <cell r="B69">
            <v>5693</v>
          </cell>
          <cell r="C69" t="str">
            <v>Montanaire</v>
          </cell>
          <cell r="D69">
            <v>2685</v>
          </cell>
        </row>
        <row r="70">
          <cell r="B70">
            <v>5540</v>
          </cell>
          <cell r="C70" t="str">
            <v>Montilliez</v>
          </cell>
          <cell r="D70">
            <v>1781</v>
          </cell>
        </row>
        <row r="71">
          <cell r="B71">
            <v>5527</v>
          </cell>
          <cell r="C71" t="str">
            <v>Morrens</v>
          </cell>
          <cell r="D71">
            <v>1077</v>
          </cell>
        </row>
        <row r="72">
          <cell r="B72">
            <v>5680</v>
          </cell>
          <cell r="C72" t="str">
            <v>Ogens</v>
          </cell>
          <cell r="D72">
            <v>299</v>
          </cell>
        </row>
        <row r="73">
          <cell r="B73">
            <v>5923</v>
          </cell>
          <cell r="C73" t="str">
            <v>Oppens</v>
          </cell>
          <cell r="D73">
            <v>196</v>
          </cell>
        </row>
        <row r="74">
          <cell r="B74">
            <v>5529</v>
          </cell>
          <cell r="C74" t="str">
            <v>Oulens-sous-Echallens</v>
          </cell>
          <cell r="D74">
            <v>611</v>
          </cell>
        </row>
        <row r="75">
          <cell r="B75">
            <v>5530</v>
          </cell>
          <cell r="C75" t="str">
            <v>Pailly</v>
          </cell>
          <cell r="D75">
            <v>561</v>
          </cell>
        </row>
        <row r="76">
          <cell r="B76">
            <v>5495</v>
          </cell>
          <cell r="C76" t="str">
            <v>Penthalaz</v>
          </cell>
          <cell r="D76">
            <v>3283</v>
          </cell>
        </row>
        <row r="77">
          <cell r="B77">
            <v>5496</v>
          </cell>
          <cell r="C77" t="str">
            <v>Penthaz</v>
          </cell>
          <cell r="D77">
            <v>1747</v>
          </cell>
        </row>
        <row r="78">
          <cell r="B78">
            <v>5531</v>
          </cell>
          <cell r="C78" t="str">
            <v>Penthéréaz</v>
          </cell>
          <cell r="D78">
            <v>421</v>
          </cell>
        </row>
        <row r="79">
          <cell r="B79">
            <v>5533</v>
          </cell>
          <cell r="C79" t="str">
            <v>Poliez-Pittet</v>
          </cell>
          <cell r="D79">
            <v>846</v>
          </cell>
        </row>
        <row r="80">
          <cell r="B80">
            <v>5534</v>
          </cell>
          <cell r="C80" t="str">
            <v>Rueyres</v>
          </cell>
          <cell r="D80">
            <v>255</v>
          </cell>
        </row>
        <row r="81">
          <cell r="B81">
            <v>5535</v>
          </cell>
          <cell r="C81" t="str">
            <v>Saint-Barthélemy</v>
          </cell>
          <cell r="D81">
            <v>778</v>
          </cell>
        </row>
        <row r="82">
          <cell r="B82">
            <v>5501</v>
          </cell>
          <cell r="C82" t="str">
            <v>Sullens</v>
          </cell>
          <cell r="D82">
            <v>1036</v>
          </cell>
        </row>
        <row r="83">
          <cell r="B83">
            <v>5537</v>
          </cell>
          <cell r="C83" t="str">
            <v>Villars-le-Terroir</v>
          </cell>
          <cell r="D83">
            <v>1213</v>
          </cell>
        </row>
        <row r="84">
          <cell r="B84">
            <v>5539</v>
          </cell>
          <cell r="C84" t="str">
            <v>Vuarrens</v>
          </cell>
          <cell r="D84">
            <v>1001</v>
          </cell>
        </row>
        <row r="85">
          <cell r="B85">
            <v>5503</v>
          </cell>
          <cell r="C85" t="str">
            <v>Vufflens-la-Ville</v>
          </cell>
          <cell r="D85">
            <v>1298</v>
          </cell>
        </row>
        <row r="86">
          <cell r="D86">
            <v>92073</v>
          </cell>
        </row>
        <row r="87">
          <cell r="B87">
            <v>5871</v>
          </cell>
          <cell r="C87" t="str">
            <v>L'Abbaye</v>
          </cell>
          <cell r="D87">
            <v>1481</v>
          </cell>
        </row>
        <row r="88">
          <cell r="B88">
            <v>5741</v>
          </cell>
          <cell r="C88" t="str">
            <v>L'Abergement</v>
          </cell>
          <cell r="D88">
            <v>248</v>
          </cell>
        </row>
        <row r="89">
          <cell r="B89">
            <v>5742</v>
          </cell>
          <cell r="C89" t="str">
            <v>Agiez</v>
          </cell>
          <cell r="D89">
            <v>327</v>
          </cell>
        </row>
        <row r="90">
          <cell r="B90">
            <v>5743</v>
          </cell>
          <cell r="C90" t="str">
            <v>Arnex-sur-Orbe</v>
          </cell>
          <cell r="D90">
            <v>631</v>
          </cell>
        </row>
        <row r="91">
          <cell r="B91">
            <v>5744</v>
          </cell>
          <cell r="C91" t="str">
            <v>Ballaigues</v>
          </cell>
          <cell r="D91">
            <v>1075</v>
          </cell>
        </row>
        <row r="92">
          <cell r="B92">
            <v>5745</v>
          </cell>
          <cell r="C92" t="str">
            <v>Baulmes</v>
          </cell>
          <cell r="D92">
            <v>1027</v>
          </cell>
        </row>
        <row r="93">
          <cell r="B93">
            <v>5746</v>
          </cell>
          <cell r="C93" t="str">
            <v>Bavois</v>
          </cell>
          <cell r="D93">
            <v>942</v>
          </cell>
        </row>
        <row r="94">
          <cell r="B94">
            <v>5902</v>
          </cell>
          <cell r="C94" t="str">
            <v>Belmont-sur-Yverdon</v>
          </cell>
          <cell r="D94">
            <v>384</v>
          </cell>
        </row>
        <row r="95">
          <cell r="B95">
            <v>5903</v>
          </cell>
          <cell r="C95" t="str">
            <v>Bioley-Magnoux</v>
          </cell>
          <cell r="D95">
            <v>225</v>
          </cell>
        </row>
        <row r="96">
          <cell r="B96">
            <v>5747</v>
          </cell>
          <cell r="C96" t="str">
            <v>Bofflens</v>
          </cell>
          <cell r="D96">
            <v>196</v>
          </cell>
        </row>
        <row r="97">
          <cell r="B97">
            <v>5551</v>
          </cell>
          <cell r="C97" t="str">
            <v>Bonvillars</v>
          </cell>
          <cell r="D97">
            <v>505</v>
          </cell>
        </row>
        <row r="98">
          <cell r="B98">
            <v>5748</v>
          </cell>
          <cell r="C98" t="str">
            <v>Bretonnières</v>
          </cell>
          <cell r="D98">
            <v>265</v>
          </cell>
        </row>
        <row r="99">
          <cell r="B99">
            <v>5552</v>
          </cell>
          <cell r="C99" t="str">
            <v>Bullet</v>
          </cell>
          <cell r="D99">
            <v>655</v>
          </cell>
        </row>
        <row r="100">
          <cell r="B100">
            <v>5904</v>
          </cell>
          <cell r="C100" t="str">
            <v>Chamblon</v>
          </cell>
          <cell r="D100">
            <v>542</v>
          </cell>
        </row>
        <row r="101">
          <cell r="B101">
            <v>5553</v>
          </cell>
          <cell r="C101" t="str">
            <v>Champagne</v>
          </cell>
          <cell r="D101">
            <v>1034</v>
          </cell>
        </row>
        <row r="102">
          <cell r="B102">
            <v>5905</v>
          </cell>
          <cell r="C102" t="str">
            <v>Champvent</v>
          </cell>
          <cell r="D102">
            <v>685</v>
          </cell>
        </row>
        <row r="103">
          <cell r="B103">
            <v>5907</v>
          </cell>
          <cell r="C103" t="str">
            <v>Chavannes-le-Chêne</v>
          </cell>
          <cell r="D103">
            <v>308</v>
          </cell>
        </row>
        <row r="104">
          <cell r="B104">
            <v>5749</v>
          </cell>
          <cell r="C104" t="str">
            <v>Chavornay</v>
          </cell>
          <cell r="D104">
            <v>4996</v>
          </cell>
        </row>
        <row r="105">
          <cell r="B105">
            <v>5908</v>
          </cell>
          <cell r="C105" t="str">
            <v>Chêne-Pâquier</v>
          </cell>
          <cell r="D105">
            <v>141</v>
          </cell>
        </row>
        <row r="106">
          <cell r="B106">
            <v>5872</v>
          </cell>
          <cell r="C106" t="str">
            <v>Le Chenit</v>
          </cell>
          <cell r="D106">
            <v>4605</v>
          </cell>
        </row>
        <row r="107">
          <cell r="B107">
            <v>5909</v>
          </cell>
          <cell r="C107" t="str">
            <v>Cheseaux-Noréaz</v>
          </cell>
          <cell r="D107">
            <v>721</v>
          </cell>
        </row>
        <row r="108">
          <cell r="B108">
            <v>5750</v>
          </cell>
          <cell r="C108" t="str">
            <v>Les Clées</v>
          </cell>
          <cell r="D108">
            <v>185</v>
          </cell>
        </row>
        <row r="109">
          <cell r="B109">
            <v>5554</v>
          </cell>
          <cell r="C109" t="str">
            <v>Concise</v>
          </cell>
          <cell r="D109">
            <v>995</v>
          </cell>
        </row>
        <row r="110">
          <cell r="B110">
            <v>5555</v>
          </cell>
          <cell r="C110" t="str">
            <v>Corcelles-près-Concise</v>
          </cell>
          <cell r="D110">
            <v>401</v>
          </cell>
        </row>
        <row r="111">
          <cell r="B111">
            <v>5910</v>
          </cell>
          <cell r="C111" t="str">
            <v>Cronay</v>
          </cell>
          <cell r="D111">
            <v>385</v>
          </cell>
        </row>
        <row r="112">
          <cell r="B112">
            <v>5752</v>
          </cell>
          <cell r="C112" t="str">
            <v>Croy</v>
          </cell>
          <cell r="D112">
            <v>404</v>
          </cell>
        </row>
        <row r="113">
          <cell r="B113">
            <v>5911</v>
          </cell>
          <cell r="C113" t="str">
            <v>Cuarny</v>
          </cell>
          <cell r="D113">
            <v>243</v>
          </cell>
        </row>
        <row r="114">
          <cell r="B114">
            <v>5912</v>
          </cell>
          <cell r="C114" t="str">
            <v>Démoret</v>
          </cell>
          <cell r="D114">
            <v>141</v>
          </cell>
        </row>
        <row r="115">
          <cell r="B115">
            <v>5913</v>
          </cell>
          <cell r="C115" t="str">
            <v>Donneloye</v>
          </cell>
          <cell r="D115">
            <v>809</v>
          </cell>
        </row>
        <row r="116">
          <cell r="B116">
            <v>5914</v>
          </cell>
          <cell r="C116" t="str">
            <v>Ependes</v>
          </cell>
          <cell r="D116">
            <v>360</v>
          </cell>
        </row>
        <row r="117">
          <cell r="B117">
            <v>5556</v>
          </cell>
          <cell r="C117" t="str">
            <v>Fiez</v>
          </cell>
          <cell r="D117">
            <v>447</v>
          </cell>
        </row>
        <row r="118">
          <cell r="B118">
            <v>5557</v>
          </cell>
          <cell r="C118" t="str">
            <v>Fontaines-sur-Grandson</v>
          </cell>
          <cell r="D118">
            <v>218</v>
          </cell>
        </row>
        <row r="119">
          <cell r="B119">
            <v>5559</v>
          </cell>
          <cell r="C119" t="str">
            <v>Giez</v>
          </cell>
          <cell r="D119">
            <v>412</v>
          </cell>
        </row>
        <row r="120">
          <cell r="B120">
            <v>5560</v>
          </cell>
          <cell r="C120" t="str">
            <v>Grandevent</v>
          </cell>
          <cell r="D120">
            <v>238</v>
          </cell>
        </row>
        <row r="121">
          <cell r="B121">
            <v>5561</v>
          </cell>
          <cell r="C121" t="str">
            <v>Grandson</v>
          </cell>
          <cell r="D121">
            <v>3360</v>
          </cell>
        </row>
        <row r="122">
          <cell r="B122">
            <v>5754</v>
          </cell>
          <cell r="C122" t="str">
            <v>Juriens</v>
          </cell>
          <cell r="D122">
            <v>308</v>
          </cell>
        </row>
        <row r="123">
          <cell r="B123">
            <v>5873</v>
          </cell>
          <cell r="C123" t="str">
            <v>Le Lieu</v>
          </cell>
          <cell r="D123">
            <v>875</v>
          </cell>
        </row>
        <row r="124">
          <cell r="B124">
            <v>5755</v>
          </cell>
          <cell r="C124" t="str">
            <v>Lignerolle</v>
          </cell>
          <cell r="D124">
            <v>422</v>
          </cell>
        </row>
        <row r="125">
          <cell r="B125">
            <v>5919</v>
          </cell>
          <cell r="C125" t="str">
            <v>Mathod</v>
          </cell>
          <cell r="D125">
            <v>611</v>
          </cell>
        </row>
        <row r="126">
          <cell r="B126">
            <v>5562</v>
          </cell>
          <cell r="C126" t="str">
            <v>Mauborget</v>
          </cell>
          <cell r="D126">
            <v>122</v>
          </cell>
        </row>
        <row r="127">
          <cell r="B127">
            <v>5921</v>
          </cell>
          <cell r="C127" t="str">
            <v>Molondin</v>
          </cell>
          <cell r="D127">
            <v>235</v>
          </cell>
        </row>
        <row r="128">
          <cell r="B128">
            <v>5922</v>
          </cell>
          <cell r="C128" t="str">
            <v>Montagny-près-Yverdon</v>
          </cell>
          <cell r="D128">
            <v>738</v>
          </cell>
        </row>
        <row r="129">
          <cell r="B129">
            <v>5756</v>
          </cell>
          <cell r="C129" t="str">
            <v>Montcherand</v>
          </cell>
          <cell r="D129">
            <v>489</v>
          </cell>
        </row>
        <row r="130">
          <cell r="B130">
            <v>5563</v>
          </cell>
          <cell r="C130" t="str">
            <v>Mutrux</v>
          </cell>
          <cell r="D130">
            <v>158</v>
          </cell>
        </row>
        <row r="131">
          <cell r="B131">
            <v>5564</v>
          </cell>
          <cell r="C131" t="str">
            <v>Novalles</v>
          </cell>
          <cell r="D131">
            <v>101</v>
          </cell>
        </row>
        <row r="132">
          <cell r="B132">
            <v>5565</v>
          </cell>
          <cell r="C132" t="str">
            <v>Onnens</v>
          </cell>
          <cell r="D132">
            <v>494</v>
          </cell>
        </row>
        <row r="133">
          <cell r="B133">
            <v>5757</v>
          </cell>
          <cell r="C133" t="str">
            <v>Orbe</v>
          </cell>
          <cell r="D133">
            <v>6942</v>
          </cell>
        </row>
        <row r="134">
          <cell r="B134">
            <v>5924</v>
          </cell>
          <cell r="C134" t="str">
            <v>Orges</v>
          </cell>
          <cell r="D134">
            <v>332</v>
          </cell>
        </row>
        <row r="135">
          <cell r="B135">
            <v>5925</v>
          </cell>
          <cell r="C135" t="str">
            <v>Orzens</v>
          </cell>
          <cell r="D135">
            <v>196</v>
          </cell>
        </row>
        <row r="136">
          <cell r="B136">
            <v>5926</v>
          </cell>
          <cell r="C136" t="str">
            <v>Pomy</v>
          </cell>
          <cell r="D136">
            <v>780</v>
          </cell>
        </row>
        <row r="137">
          <cell r="B137">
            <v>5758</v>
          </cell>
          <cell r="C137" t="str">
            <v>La Praz</v>
          </cell>
          <cell r="D137">
            <v>165</v>
          </cell>
        </row>
        <row r="138">
          <cell r="B138">
            <v>5759</v>
          </cell>
          <cell r="C138" t="str">
            <v>Premier</v>
          </cell>
          <cell r="D138">
            <v>213</v>
          </cell>
        </row>
        <row r="139">
          <cell r="B139">
            <v>5566</v>
          </cell>
          <cell r="C139" t="str">
            <v>Provence</v>
          </cell>
          <cell r="D139">
            <v>373</v>
          </cell>
        </row>
        <row r="140">
          <cell r="B140">
            <v>5760</v>
          </cell>
          <cell r="C140" t="str">
            <v>Rances</v>
          </cell>
          <cell r="D140">
            <v>482</v>
          </cell>
        </row>
        <row r="141">
          <cell r="B141">
            <v>5761</v>
          </cell>
          <cell r="C141" t="str">
            <v>Romainmôtier-Envy</v>
          </cell>
          <cell r="D141">
            <v>540</v>
          </cell>
        </row>
        <row r="142">
          <cell r="B142">
            <v>5928</v>
          </cell>
          <cell r="C142" t="str">
            <v>Rovray</v>
          </cell>
          <cell r="D142">
            <v>180</v>
          </cell>
        </row>
        <row r="143">
          <cell r="B143">
            <v>5568</v>
          </cell>
          <cell r="C143" t="str">
            <v>Sainte-Croix</v>
          </cell>
          <cell r="D143">
            <v>4845</v>
          </cell>
        </row>
        <row r="144">
          <cell r="B144">
            <v>5762</v>
          </cell>
          <cell r="C144" t="str">
            <v>Sergey</v>
          </cell>
          <cell r="D144">
            <v>146</v>
          </cell>
        </row>
        <row r="145">
          <cell r="B145">
            <v>5929</v>
          </cell>
          <cell r="C145" t="str">
            <v>Suchy</v>
          </cell>
          <cell r="D145">
            <v>599</v>
          </cell>
        </row>
        <row r="146">
          <cell r="B146">
            <v>5930</v>
          </cell>
          <cell r="C146" t="str">
            <v>Suscévaz</v>
          </cell>
          <cell r="D146">
            <v>213</v>
          </cell>
        </row>
        <row r="147">
          <cell r="B147">
            <v>5571</v>
          </cell>
          <cell r="C147" t="str">
            <v>Tévenon</v>
          </cell>
          <cell r="D147">
            <v>877</v>
          </cell>
        </row>
        <row r="148">
          <cell r="B148">
            <v>5931</v>
          </cell>
          <cell r="C148" t="str">
            <v>Treycovagnes</v>
          </cell>
          <cell r="D148">
            <v>480</v>
          </cell>
        </row>
        <row r="149">
          <cell r="B149">
            <v>5932</v>
          </cell>
          <cell r="C149" t="str">
            <v>Ursins</v>
          </cell>
          <cell r="D149">
            <v>230</v>
          </cell>
        </row>
        <row r="150">
          <cell r="B150">
            <v>5933</v>
          </cell>
          <cell r="C150" t="str">
            <v>Valeyres-sous-Montagny</v>
          </cell>
          <cell r="D150">
            <v>708</v>
          </cell>
        </row>
        <row r="151">
          <cell r="B151">
            <v>5763</v>
          </cell>
          <cell r="C151" t="str">
            <v>Valeyres-sous-Rances</v>
          </cell>
          <cell r="D151">
            <v>622</v>
          </cell>
        </row>
        <row r="152">
          <cell r="B152">
            <v>5934</v>
          </cell>
          <cell r="C152" t="str">
            <v>Valeyres-sous-Ursins</v>
          </cell>
          <cell r="D152">
            <v>232</v>
          </cell>
        </row>
        <row r="153">
          <cell r="B153">
            <v>5764</v>
          </cell>
          <cell r="C153" t="str">
            <v>Vallorbe</v>
          </cell>
          <cell r="D153">
            <v>3852</v>
          </cell>
        </row>
        <row r="154">
          <cell r="B154">
            <v>5765</v>
          </cell>
          <cell r="C154" t="str">
            <v>Vaulion</v>
          </cell>
          <cell r="D154">
            <v>469</v>
          </cell>
        </row>
        <row r="155">
          <cell r="B155">
            <v>5935</v>
          </cell>
          <cell r="C155" t="str">
            <v>Villars-Epeney</v>
          </cell>
          <cell r="D155">
            <v>100</v>
          </cell>
        </row>
        <row r="156">
          <cell r="B156">
            <v>5937</v>
          </cell>
          <cell r="C156" t="str">
            <v>Vugelles-La Mothe</v>
          </cell>
          <cell r="D156">
            <v>132</v>
          </cell>
        </row>
        <row r="157">
          <cell r="B157">
            <v>5766</v>
          </cell>
          <cell r="C157" t="str">
            <v>Vuiteboeuf</v>
          </cell>
          <cell r="D157">
            <v>584</v>
          </cell>
        </row>
        <row r="158">
          <cell r="B158">
            <v>5938</v>
          </cell>
          <cell r="C158" t="str">
            <v>Yverdon-les-Bains</v>
          </cell>
          <cell r="D158">
            <v>30211</v>
          </cell>
        </row>
        <row r="159">
          <cell r="B159">
            <v>5939</v>
          </cell>
          <cell r="C159" t="str">
            <v>Yvonand</v>
          </cell>
          <cell r="D159">
            <v>3426</v>
          </cell>
        </row>
        <row r="160">
          <cell r="D160">
            <v>166980</v>
          </cell>
        </row>
        <row r="161">
          <cell r="B161">
            <v>5582</v>
          </cell>
          <cell r="C161" t="str">
            <v>Cheseaux-sur-Lausanne</v>
          </cell>
          <cell r="D161">
            <v>4338</v>
          </cell>
        </row>
        <row r="162">
          <cell r="B162">
            <v>5584</v>
          </cell>
          <cell r="C162" t="str">
            <v>Epalinges</v>
          </cell>
          <cell r="D162">
            <v>9624</v>
          </cell>
        </row>
        <row r="163">
          <cell r="B163">
            <v>5585</v>
          </cell>
          <cell r="C163" t="str">
            <v>Jouxtens-Mézery</v>
          </cell>
          <cell r="D163">
            <v>1471</v>
          </cell>
        </row>
        <row r="164">
          <cell r="B164">
            <v>5586</v>
          </cell>
          <cell r="C164" t="str">
            <v>Lausanne</v>
          </cell>
          <cell r="D164">
            <v>139720</v>
          </cell>
        </row>
        <row r="165">
          <cell r="B165">
            <v>5587</v>
          </cell>
          <cell r="C165" t="str">
            <v>Le Mont-sur-Lausanne</v>
          </cell>
          <cell r="D165">
            <v>8516</v>
          </cell>
        </row>
        <row r="166">
          <cell r="B166">
            <v>5592</v>
          </cell>
          <cell r="C166" t="str">
            <v>Romanel-sur-Lausanne</v>
          </cell>
          <cell r="D166">
            <v>3311</v>
          </cell>
        </row>
        <row r="167">
          <cell r="D167">
            <v>62350</v>
          </cell>
        </row>
        <row r="168">
          <cell r="B168">
            <v>5581</v>
          </cell>
          <cell r="C168" t="str">
            <v>Belmont-sur-Lausanne</v>
          </cell>
          <cell r="D168">
            <v>3732</v>
          </cell>
        </row>
        <row r="169">
          <cell r="B169">
            <v>5613</v>
          </cell>
          <cell r="C169" t="str">
            <v>Bourg-en-Lavaux</v>
          </cell>
          <cell r="D169">
            <v>5367</v>
          </cell>
        </row>
        <row r="170">
          <cell r="B170">
            <v>5601</v>
          </cell>
          <cell r="C170" t="str">
            <v>Chexbres</v>
          </cell>
          <cell r="D170">
            <v>2238</v>
          </cell>
        </row>
        <row r="171">
          <cell r="B171">
            <v>5788</v>
          </cell>
          <cell r="C171" t="str">
            <v>Essertes</v>
          </cell>
          <cell r="D171">
            <v>374</v>
          </cell>
        </row>
        <row r="172">
          <cell r="B172">
            <v>5604</v>
          </cell>
          <cell r="C172" t="str">
            <v>Forel (Lavaux)</v>
          </cell>
          <cell r="D172">
            <v>2082</v>
          </cell>
        </row>
        <row r="173">
          <cell r="B173">
            <v>5806</v>
          </cell>
          <cell r="C173" t="str">
            <v>Jorat-Mézières</v>
          </cell>
          <cell r="D173">
            <v>2869</v>
          </cell>
        </row>
        <row r="174">
          <cell r="B174">
            <v>5606</v>
          </cell>
          <cell r="C174" t="str">
            <v>Lutry</v>
          </cell>
          <cell r="D174">
            <v>10285</v>
          </cell>
        </row>
        <row r="175">
          <cell r="B175">
            <v>5790</v>
          </cell>
          <cell r="C175" t="str">
            <v>Maracon</v>
          </cell>
          <cell r="D175">
            <v>492</v>
          </cell>
        </row>
        <row r="176">
          <cell r="B176">
            <v>5792</v>
          </cell>
          <cell r="C176" t="str">
            <v>Montpreveyres</v>
          </cell>
          <cell r="D176">
            <v>643</v>
          </cell>
        </row>
        <row r="177">
          <cell r="B177">
            <v>5805</v>
          </cell>
          <cell r="C177" t="str">
            <v>Oron</v>
          </cell>
          <cell r="D177">
            <v>5501</v>
          </cell>
        </row>
        <row r="178">
          <cell r="B178">
            <v>5588</v>
          </cell>
          <cell r="C178" t="str">
            <v>Paudex</v>
          </cell>
          <cell r="D178">
            <v>1507</v>
          </cell>
        </row>
        <row r="179">
          <cell r="B179">
            <v>5607</v>
          </cell>
          <cell r="C179" t="str">
            <v>Puidoux</v>
          </cell>
          <cell r="D179">
            <v>2880</v>
          </cell>
        </row>
        <row r="180">
          <cell r="B180">
            <v>5590</v>
          </cell>
          <cell r="C180" t="str">
            <v>Pully</v>
          </cell>
          <cell r="D180">
            <v>18336</v>
          </cell>
        </row>
        <row r="181">
          <cell r="B181">
            <v>5609</v>
          </cell>
          <cell r="C181" t="str">
            <v>Rivaz</v>
          </cell>
          <cell r="D181">
            <v>358</v>
          </cell>
        </row>
        <row r="182">
          <cell r="B182">
            <v>5610</v>
          </cell>
          <cell r="C182" t="str">
            <v>St-Saphorin (Lavaux)</v>
          </cell>
          <cell r="D182">
            <v>391</v>
          </cell>
        </row>
        <row r="183">
          <cell r="B183">
            <v>5611</v>
          </cell>
          <cell r="C183" t="str">
            <v>Savigny</v>
          </cell>
          <cell r="D183">
            <v>3353</v>
          </cell>
        </row>
        <row r="184">
          <cell r="B184">
            <v>5799</v>
          </cell>
          <cell r="C184" t="str">
            <v>Servion</v>
          </cell>
          <cell r="D184">
            <v>1942</v>
          </cell>
        </row>
        <row r="185">
          <cell r="D185">
            <v>82632</v>
          </cell>
        </row>
        <row r="186">
          <cell r="B186">
            <v>5621</v>
          </cell>
          <cell r="C186" t="str">
            <v>Aclens</v>
          </cell>
          <cell r="D186">
            <v>535</v>
          </cell>
        </row>
        <row r="187">
          <cell r="B187">
            <v>5851</v>
          </cell>
          <cell r="C187" t="str">
            <v>Allaman</v>
          </cell>
          <cell r="D187">
            <v>434</v>
          </cell>
        </row>
        <row r="188">
          <cell r="B188">
            <v>5421</v>
          </cell>
          <cell r="C188" t="str">
            <v>Apples</v>
          </cell>
          <cell r="D188">
            <v>1469</v>
          </cell>
        </row>
        <row r="189">
          <cell r="B189">
            <v>5422</v>
          </cell>
          <cell r="C189" t="str">
            <v>Aubonne</v>
          </cell>
          <cell r="D189">
            <v>3242</v>
          </cell>
        </row>
        <row r="190">
          <cell r="B190">
            <v>5423</v>
          </cell>
          <cell r="C190" t="str">
            <v>Ballens</v>
          </cell>
          <cell r="D190">
            <v>536</v>
          </cell>
        </row>
        <row r="191">
          <cell r="B191">
            <v>5424</v>
          </cell>
          <cell r="C191" t="str">
            <v>Berolle</v>
          </cell>
          <cell r="D191">
            <v>307</v>
          </cell>
        </row>
        <row r="192">
          <cell r="B192">
            <v>5425</v>
          </cell>
          <cell r="C192" t="str">
            <v>Bière</v>
          </cell>
          <cell r="D192">
            <v>1595</v>
          </cell>
        </row>
        <row r="193">
          <cell r="B193">
            <v>5426</v>
          </cell>
          <cell r="C193" t="str">
            <v>Bougy-Villars</v>
          </cell>
          <cell r="D193">
            <v>490</v>
          </cell>
        </row>
        <row r="194">
          <cell r="B194">
            <v>5622</v>
          </cell>
          <cell r="C194" t="str">
            <v>Bremblens</v>
          </cell>
          <cell r="D194">
            <v>548</v>
          </cell>
        </row>
        <row r="195">
          <cell r="B195">
            <v>5623</v>
          </cell>
          <cell r="C195" t="str">
            <v>Buchillon</v>
          </cell>
          <cell r="D195">
            <v>650</v>
          </cell>
        </row>
        <row r="196">
          <cell r="B196">
            <v>5625</v>
          </cell>
          <cell r="C196" t="str">
            <v>Bussy-Chardonney</v>
          </cell>
          <cell r="D196">
            <v>376</v>
          </cell>
        </row>
        <row r="197">
          <cell r="B197">
            <v>5474</v>
          </cell>
          <cell r="C197" t="str">
            <v>La Chaux (Cossonay)</v>
          </cell>
          <cell r="D197">
            <v>410</v>
          </cell>
        </row>
        <row r="198">
          <cell r="B198">
            <v>5475</v>
          </cell>
          <cell r="C198" t="str">
            <v>Chavannes-le-Veyron</v>
          </cell>
          <cell r="D198">
            <v>142</v>
          </cell>
        </row>
        <row r="199">
          <cell r="B199">
            <v>5476</v>
          </cell>
          <cell r="C199" t="str">
            <v>Chevilly</v>
          </cell>
          <cell r="D199">
            <v>314</v>
          </cell>
        </row>
        <row r="200">
          <cell r="B200">
            <v>5628</v>
          </cell>
          <cell r="C200" t="str">
            <v>Chigny</v>
          </cell>
          <cell r="D200">
            <v>358</v>
          </cell>
        </row>
        <row r="201">
          <cell r="B201">
            <v>5629</v>
          </cell>
          <cell r="C201" t="str">
            <v>Clarmont</v>
          </cell>
          <cell r="D201">
            <v>190</v>
          </cell>
        </row>
        <row r="202">
          <cell r="B202">
            <v>5477</v>
          </cell>
          <cell r="C202" t="str">
            <v>Cossonay</v>
          </cell>
          <cell r="D202">
            <v>3871</v>
          </cell>
        </row>
        <row r="203">
          <cell r="B203">
            <v>5478</v>
          </cell>
          <cell r="C203" t="str">
            <v>Cottens</v>
          </cell>
          <cell r="D203">
            <v>486</v>
          </cell>
        </row>
        <row r="204">
          <cell r="B204">
            <v>5479</v>
          </cell>
          <cell r="C204" t="str">
            <v>Cuarnens</v>
          </cell>
          <cell r="D204">
            <v>479</v>
          </cell>
        </row>
        <row r="205">
          <cell r="B205">
            <v>5631</v>
          </cell>
          <cell r="C205" t="str">
            <v>Denens</v>
          </cell>
          <cell r="D205">
            <v>747</v>
          </cell>
        </row>
        <row r="206">
          <cell r="B206">
            <v>5632</v>
          </cell>
          <cell r="C206" t="str">
            <v>Denges</v>
          </cell>
          <cell r="D206">
            <v>1610</v>
          </cell>
        </row>
        <row r="207">
          <cell r="B207">
            <v>5481</v>
          </cell>
          <cell r="C207" t="str">
            <v>Dizy</v>
          </cell>
          <cell r="D207">
            <v>223</v>
          </cell>
        </row>
        <row r="208">
          <cell r="B208">
            <v>5633</v>
          </cell>
          <cell r="C208" t="str">
            <v>Echandens</v>
          </cell>
          <cell r="D208">
            <v>2789</v>
          </cell>
        </row>
        <row r="209">
          <cell r="B209">
            <v>5634</v>
          </cell>
          <cell r="C209" t="str">
            <v>Echichens</v>
          </cell>
          <cell r="D209">
            <v>3050</v>
          </cell>
        </row>
        <row r="210">
          <cell r="B210">
            <v>5482</v>
          </cell>
          <cell r="C210" t="str">
            <v>Eclépens</v>
          </cell>
          <cell r="D210">
            <v>1211</v>
          </cell>
        </row>
        <row r="211">
          <cell r="B211">
            <v>5636</v>
          </cell>
          <cell r="C211" t="str">
            <v>Etoy</v>
          </cell>
          <cell r="D211">
            <v>2905</v>
          </cell>
        </row>
        <row r="212">
          <cell r="B212">
            <v>5427</v>
          </cell>
          <cell r="C212" t="str">
            <v>Féchy</v>
          </cell>
          <cell r="D212">
            <v>860</v>
          </cell>
        </row>
        <row r="213">
          <cell r="B213">
            <v>5483</v>
          </cell>
          <cell r="C213" t="str">
            <v>Ferreyres</v>
          </cell>
          <cell r="D213">
            <v>310</v>
          </cell>
        </row>
        <row r="214">
          <cell r="B214">
            <v>5428</v>
          </cell>
          <cell r="C214" t="str">
            <v>Gimel</v>
          </cell>
          <cell r="D214">
            <v>2186</v>
          </cell>
        </row>
        <row r="215">
          <cell r="B215">
            <v>5484</v>
          </cell>
          <cell r="C215" t="str">
            <v>Gollion</v>
          </cell>
          <cell r="D215">
            <v>939</v>
          </cell>
        </row>
        <row r="216">
          <cell r="B216">
            <v>5485</v>
          </cell>
          <cell r="C216" t="str">
            <v>Grancy</v>
          </cell>
          <cell r="D216">
            <v>398</v>
          </cell>
        </row>
        <row r="217">
          <cell r="B217">
            <v>5486</v>
          </cell>
          <cell r="C217" t="str">
            <v>L'Isle</v>
          </cell>
          <cell r="D217">
            <v>1005</v>
          </cell>
        </row>
        <row r="218">
          <cell r="B218">
            <v>5637</v>
          </cell>
          <cell r="C218" t="str">
            <v>Lavigny</v>
          </cell>
          <cell r="D218">
            <v>999</v>
          </cell>
        </row>
        <row r="219">
          <cell r="B219">
            <v>5638</v>
          </cell>
          <cell r="C219" t="str">
            <v>Lonay</v>
          </cell>
          <cell r="D219">
            <v>2593</v>
          </cell>
        </row>
        <row r="220">
          <cell r="B220">
            <v>5639</v>
          </cell>
          <cell r="C220" t="str">
            <v>Lully</v>
          </cell>
          <cell r="D220">
            <v>790</v>
          </cell>
        </row>
        <row r="221">
          <cell r="B221">
            <v>5640</v>
          </cell>
          <cell r="C221" t="str">
            <v>Lussy-sur-Morges</v>
          </cell>
          <cell r="D221">
            <v>687</v>
          </cell>
        </row>
        <row r="222">
          <cell r="B222">
            <v>5488</v>
          </cell>
          <cell r="C222" t="str">
            <v>Mauraz</v>
          </cell>
          <cell r="D222">
            <v>59</v>
          </cell>
        </row>
        <row r="223">
          <cell r="B223">
            <v>5490</v>
          </cell>
          <cell r="C223" t="str">
            <v>Moiry</v>
          </cell>
          <cell r="D223">
            <v>310</v>
          </cell>
        </row>
        <row r="224">
          <cell r="B224">
            <v>5431</v>
          </cell>
          <cell r="C224" t="str">
            <v>Mollens</v>
          </cell>
          <cell r="D224">
            <v>283</v>
          </cell>
        </row>
        <row r="225">
          <cell r="B225">
            <v>5432</v>
          </cell>
          <cell r="C225" t="str">
            <v>Montherod</v>
          </cell>
          <cell r="D225">
            <v>536</v>
          </cell>
        </row>
        <row r="226">
          <cell r="B226">
            <v>5491</v>
          </cell>
          <cell r="C226" t="str">
            <v>Mont-la-Ville</v>
          </cell>
          <cell r="D226">
            <v>466</v>
          </cell>
        </row>
        <row r="227">
          <cell r="B227">
            <v>5492</v>
          </cell>
          <cell r="C227" t="str">
            <v>Montricher</v>
          </cell>
          <cell r="D227">
            <v>940</v>
          </cell>
        </row>
        <row r="228">
          <cell r="B228">
            <v>5642</v>
          </cell>
          <cell r="C228" t="str">
            <v>Morges</v>
          </cell>
          <cell r="D228">
            <v>15725</v>
          </cell>
        </row>
        <row r="229">
          <cell r="B229">
            <v>5493</v>
          </cell>
          <cell r="C229" t="str">
            <v>Orny</v>
          </cell>
          <cell r="D229">
            <v>368</v>
          </cell>
        </row>
        <row r="230">
          <cell r="B230">
            <v>5494</v>
          </cell>
          <cell r="C230" t="str">
            <v>Pampigny</v>
          </cell>
          <cell r="D230">
            <v>1113</v>
          </cell>
        </row>
        <row r="231">
          <cell r="B231">
            <v>5497</v>
          </cell>
          <cell r="C231" t="str">
            <v>Pompaples</v>
          </cell>
          <cell r="D231">
            <v>847</v>
          </cell>
        </row>
        <row r="232">
          <cell r="B232">
            <v>5643</v>
          </cell>
          <cell r="C232" t="str">
            <v>Préverenges</v>
          </cell>
          <cell r="D232">
            <v>5298</v>
          </cell>
        </row>
        <row r="233">
          <cell r="B233">
            <v>5644</v>
          </cell>
          <cell r="C233" t="str">
            <v>Reverolle</v>
          </cell>
          <cell r="D233">
            <v>399</v>
          </cell>
        </row>
        <row r="234">
          <cell r="B234">
            <v>5645</v>
          </cell>
          <cell r="C234" t="str">
            <v>Romanel-sur-Morges</v>
          </cell>
          <cell r="D234">
            <v>458</v>
          </cell>
        </row>
        <row r="235">
          <cell r="B235">
            <v>5435</v>
          </cell>
          <cell r="C235" t="str">
            <v>Saint-Livres</v>
          </cell>
          <cell r="D235">
            <v>690</v>
          </cell>
        </row>
        <row r="236">
          <cell r="B236">
            <v>5436</v>
          </cell>
          <cell r="C236" t="str">
            <v>Saint-Oyens</v>
          </cell>
          <cell r="D236">
            <v>448</v>
          </cell>
        </row>
        <row r="237">
          <cell r="B237">
            <v>5646</v>
          </cell>
          <cell r="C237" t="str">
            <v>Saint-Prex</v>
          </cell>
          <cell r="D237">
            <v>5684</v>
          </cell>
        </row>
        <row r="238">
          <cell r="B238">
            <v>5498</v>
          </cell>
          <cell r="C238" t="str">
            <v>La Sarraz</v>
          </cell>
          <cell r="D238">
            <v>2596</v>
          </cell>
        </row>
        <row r="239">
          <cell r="B239">
            <v>5437</v>
          </cell>
          <cell r="C239" t="str">
            <v>Saubraz</v>
          </cell>
          <cell r="D239">
            <v>418</v>
          </cell>
        </row>
        <row r="240">
          <cell r="B240">
            <v>5499</v>
          </cell>
          <cell r="C240" t="str">
            <v>Senarclens</v>
          </cell>
          <cell r="D240">
            <v>488</v>
          </cell>
        </row>
        <row r="241">
          <cell r="B241">
            <v>5500</v>
          </cell>
          <cell r="C241" t="str">
            <v>Sévery</v>
          </cell>
          <cell r="D241">
            <v>225</v>
          </cell>
        </row>
        <row r="242">
          <cell r="B242">
            <v>5649</v>
          </cell>
          <cell r="C242" t="str">
            <v>Tolochenaz</v>
          </cell>
          <cell r="D242">
            <v>1933</v>
          </cell>
        </row>
        <row r="243">
          <cell r="B243">
            <v>5650</v>
          </cell>
          <cell r="C243" t="str">
            <v>Vaux-sur-Morges</v>
          </cell>
          <cell r="D243">
            <v>184</v>
          </cell>
        </row>
        <row r="244">
          <cell r="B244">
            <v>5652</v>
          </cell>
          <cell r="C244" t="str">
            <v>Villars-sous-Yens</v>
          </cell>
          <cell r="D244">
            <v>608</v>
          </cell>
        </row>
        <row r="245">
          <cell r="B245">
            <v>5653</v>
          </cell>
          <cell r="C245" t="str">
            <v>Vufflens-le-Château</v>
          </cell>
          <cell r="D245">
            <v>886</v>
          </cell>
        </row>
        <row r="246">
          <cell r="B246">
            <v>5654</v>
          </cell>
          <cell r="C246" t="str">
            <v>Vullierens</v>
          </cell>
          <cell r="D246">
            <v>507</v>
          </cell>
        </row>
        <row r="247">
          <cell r="B247">
            <v>5655</v>
          </cell>
          <cell r="C247" t="str">
            <v>Yens</v>
          </cell>
          <cell r="D247">
            <v>1429</v>
          </cell>
        </row>
        <row r="248">
          <cell r="D248">
            <v>100761</v>
          </cell>
        </row>
        <row r="249">
          <cell r="B249">
            <v>5701</v>
          </cell>
          <cell r="C249" t="str">
            <v>Arnex-sur-Nyon</v>
          </cell>
          <cell r="D249">
            <v>235</v>
          </cell>
        </row>
        <row r="250">
          <cell r="B250">
            <v>5702</v>
          </cell>
          <cell r="C250" t="str">
            <v>Arzier-Le Muids</v>
          </cell>
          <cell r="D250">
            <v>2697</v>
          </cell>
        </row>
        <row r="251">
          <cell r="B251">
            <v>5703</v>
          </cell>
          <cell r="C251" t="str">
            <v>Bassins</v>
          </cell>
          <cell r="D251">
            <v>1347</v>
          </cell>
        </row>
        <row r="252">
          <cell r="B252">
            <v>5704</v>
          </cell>
          <cell r="C252" t="str">
            <v>Begnins</v>
          </cell>
          <cell r="D252">
            <v>1952</v>
          </cell>
        </row>
        <row r="253">
          <cell r="B253">
            <v>5705</v>
          </cell>
          <cell r="C253" t="str">
            <v>Bogis-Bossey</v>
          </cell>
          <cell r="D253">
            <v>867</v>
          </cell>
        </row>
        <row r="254">
          <cell r="B254">
            <v>5706</v>
          </cell>
          <cell r="C254" t="str">
            <v>Borex</v>
          </cell>
          <cell r="D254">
            <v>1140</v>
          </cell>
        </row>
        <row r="255">
          <cell r="B255">
            <v>5852</v>
          </cell>
          <cell r="C255" t="str">
            <v>Bursinel</v>
          </cell>
          <cell r="D255">
            <v>471</v>
          </cell>
        </row>
        <row r="256">
          <cell r="B256">
            <v>5853</v>
          </cell>
          <cell r="C256" t="str">
            <v>Bursins</v>
          </cell>
          <cell r="D256">
            <v>752</v>
          </cell>
        </row>
        <row r="257">
          <cell r="B257">
            <v>5854</v>
          </cell>
          <cell r="C257" t="str">
            <v>Burtigny</v>
          </cell>
          <cell r="D257">
            <v>391</v>
          </cell>
        </row>
        <row r="258">
          <cell r="B258">
            <v>5707</v>
          </cell>
          <cell r="C258" t="str">
            <v>Chavannes-de-Bogis</v>
          </cell>
          <cell r="D258">
            <v>1281</v>
          </cell>
        </row>
        <row r="259">
          <cell r="B259">
            <v>5708</v>
          </cell>
          <cell r="C259" t="str">
            <v>Chavannes-des-Bois</v>
          </cell>
          <cell r="D259">
            <v>964</v>
          </cell>
        </row>
        <row r="260">
          <cell r="B260">
            <v>5709</v>
          </cell>
          <cell r="C260" t="str">
            <v>Chéserex</v>
          </cell>
          <cell r="D260">
            <v>1227</v>
          </cell>
        </row>
        <row r="261">
          <cell r="B261">
            <v>5710</v>
          </cell>
          <cell r="C261" t="str">
            <v>Coinsins</v>
          </cell>
          <cell r="D261">
            <v>499</v>
          </cell>
        </row>
        <row r="262">
          <cell r="B262">
            <v>5711</v>
          </cell>
          <cell r="C262" t="str">
            <v>Commugny</v>
          </cell>
          <cell r="D262">
            <v>2877</v>
          </cell>
        </row>
        <row r="263">
          <cell r="B263">
            <v>5712</v>
          </cell>
          <cell r="C263" t="str">
            <v>Coppet</v>
          </cell>
          <cell r="D263">
            <v>3126</v>
          </cell>
        </row>
        <row r="264">
          <cell r="B264">
            <v>5713</v>
          </cell>
          <cell r="C264" t="str">
            <v>Crans-près-Céligny</v>
          </cell>
          <cell r="D264">
            <v>2193</v>
          </cell>
        </row>
        <row r="265">
          <cell r="B265">
            <v>5714</v>
          </cell>
          <cell r="C265" t="str">
            <v>Crassier</v>
          </cell>
          <cell r="D265">
            <v>1175</v>
          </cell>
        </row>
        <row r="266">
          <cell r="B266">
            <v>5715</v>
          </cell>
          <cell r="C266" t="str">
            <v>Duillier</v>
          </cell>
          <cell r="D266">
            <v>1085</v>
          </cell>
        </row>
        <row r="267">
          <cell r="B267">
            <v>5855</v>
          </cell>
          <cell r="C267" t="str">
            <v>Dully</v>
          </cell>
          <cell r="D267">
            <v>635</v>
          </cell>
        </row>
        <row r="268">
          <cell r="B268">
            <v>5856</v>
          </cell>
          <cell r="C268" t="str">
            <v>Essertines-sur-Rolle</v>
          </cell>
          <cell r="D268">
            <v>726</v>
          </cell>
        </row>
        <row r="269">
          <cell r="B269">
            <v>5716</v>
          </cell>
          <cell r="C269" t="str">
            <v>Eysins</v>
          </cell>
          <cell r="D269">
            <v>1618</v>
          </cell>
        </row>
        <row r="270">
          <cell r="B270">
            <v>5717</v>
          </cell>
          <cell r="C270" t="str">
            <v>Founex</v>
          </cell>
          <cell r="D270">
            <v>3790</v>
          </cell>
        </row>
        <row r="271">
          <cell r="B271">
            <v>5718</v>
          </cell>
          <cell r="C271" t="str">
            <v>Genolier</v>
          </cell>
          <cell r="D271">
            <v>1961</v>
          </cell>
        </row>
        <row r="272">
          <cell r="B272">
            <v>5857</v>
          </cell>
          <cell r="C272" t="str">
            <v>Gilly</v>
          </cell>
          <cell r="D272">
            <v>1324</v>
          </cell>
        </row>
        <row r="273">
          <cell r="B273">
            <v>5719</v>
          </cell>
          <cell r="C273" t="str">
            <v>Gingins</v>
          </cell>
          <cell r="D273">
            <v>1226</v>
          </cell>
        </row>
        <row r="274">
          <cell r="B274">
            <v>5720</v>
          </cell>
          <cell r="C274" t="str">
            <v>Givrins</v>
          </cell>
          <cell r="D274">
            <v>1033</v>
          </cell>
        </row>
        <row r="275">
          <cell r="B275">
            <v>5721</v>
          </cell>
          <cell r="C275" t="str">
            <v>Gland</v>
          </cell>
          <cell r="D275">
            <v>13101</v>
          </cell>
        </row>
        <row r="276">
          <cell r="B276">
            <v>5722</v>
          </cell>
          <cell r="C276" t="str">
            <v>Grens</v>
          </cell>
          <cell r="D276">
            <v>391</v>
          </cell>
        </row>
        <row r="277">
          <cell r="B277">
            <v>5429</v>
          </cell>
          <cell r="C277" t="str">
            <v>Longirod</v>
          </cell>
          <cell r="D277">
            <v>478</v>
          </cell>
        </row>
        <row r="278">
          <cell r="B278">
            <v>5858</v>
          </cell>
          <cell r="C278" t="str">
            <v>Luins</v>
          </cell>
          <cell r="D278">
            <v>613</v>
          </cell>
        </row>
        <row r="279">
          <cell r="B279">
            <v>5430</v>
          </cell>
          <cell r="C279" t="str">
            <v>Marchissy</v>
          </cell>
          <cell r="D279">
            <v>463</v>
          </cell>
        </row>
        <row r="280">
          <cell r="B280">
            <v>5723</v>
          </cell>
          <cell r="C280" t="str">
            <v>Mies</v>
          </cell>
          <cell r="D280">
            <v>2075</v>
          </cell>
        </row>
        <row r="281">
          <cell r="B281">
            <v>5859</v>
          </cell>
          <cell r="C281" t="str">
            <v>Mont-sur-Rolle</v>
          </cell>
          <cell r="D281">
            <v>2651</v>
          </cell>
        </row>
        <row r="282">
          <cell r="B282">
            <v>5724</v>
          </cell>
          <cell r="C282" t="str">
            <v>Nyon</v>
          </cell>
          <cell r="D282">
            <v>21239</v>
          </cell>
        </row>
        <row r="283">
          <cell r="B283">
            <v>5860</v>
          </cell>
          <cell r="C283" t="str">
            <v>Perroy</v>
          </cell>
          <cell r="D283">
            <v>1542</v>
          </cell>
        </row>
        <row r="284">
          <cell r="B284">
            <v>5725</v>
          </cell>
          <cell r="C284" t="str">
            <v>Prangins</v>
          </cell>
          <cell r="D284">
            <v>4040</v>
          </cell>
        </row>
        <row r="285">
          <cell r="B285">
            <v>5726</v>
          </cell>
          <cell r="C285" t="str">
            <v>La Rippe</v>
          </cell>
          <cell r="D285">
            <v>1161</v>
          </cell>
        </row>
        <row r="286">
          <cell r="B286">
            <v>5861</v>
          </cell>
          <cell r="C286" t="str">
            <v>Rolle</v>
          </cell>
          <cell r="D286">
            <v>6246</v>
          </cell>
        </row>
        <row r="287">
          <cell r="B287">
            <v>5727</v>
          </cell>
          <cell r="C287" t="str">
            <v>Saint-Cergue</v>
          </cell>
          <cell r="D287">
            <v>2583</v>
          </cell>
        </row>
        <row r="288">
          <cell r="B288">
            <v>5434</v>
          </cell>
          <cell r="C288" t="str">
            <v>Saint-George</v>
          </cell>
          <cell r="D288">
            <v>1031</v>
          </cell>
        </row>
        <row r="289">
          <cell r="B289">
            <v>5728</v>
          </cell>
          <cell r="C289" t="str">
            <v>Signy-Avenex</v>
          </cell>
          <cell r="D289">
            <v>592</v>
          </cell>
        </row>
        <row r="290">
          <cell r="B290">
            <v>5729</v>
          </cell>
          <cell r="C290" t="str">
            <v>Tannay</v>
          </cell>
          <cell r="D290">
            <v>1593</v>
          </cell>
        </row>
        <row r="291">
          <cell r="B291">
            <v>5862</v>
          </cell>
          <cell r="C291" t="str">
            <v>Tartegnin</v>
          </cell>
          <cell r="D291">
            <v>246</v>
          </cell>
        </row>
        <row r="292">
          <cell r="B292">
            <v>5730</v>
          </cell>
          <cell r="C292" t="str">
            <v>Trélex</v>
          </cell>
          <cell r="D292">
            <v>1408</v>
          </cell>
        </row>
        <row r="293">
          <cell r="B293">
            <v>5731</v>
          </cell>
          <cell r="C293" t="str">
            <v>Le Vaud</v>
          </cell>
          <cell r="D293">
            <v>1319</v>
          </cell>
        </row>
        <row r="294">
          <cell r="B294">
            <v>5732</v>
          </cell>
          <cell r="C294" t="str">
            <v>Vich</v>
          </cell>
          <cell r="D294">
            <v>1039</v>
          </cell>
        </row>
        <row r="295">
          <cell r="B295">
            <v>5863</v>
          </cell>
          <cell r="C295" t="str">
            <v>Vinzel</v>
          </cell>
          <cell r="D295">
            <v>358</v>
          </cell>
        </row>
        <row r="296">
          <cell r="D296">
            <v>76336</v>
          </cell>
        </row>
        <row r="297">
          <cell r="B297">
            <v>5624</v>
          </cell>
          <cell r="C297" t="str">
            <v>Bussigny</v>
          </cell>
          <cell r="D297">
            <v>8759</v>
          </cell>
        </row>
        <row r="298">
          <cell r="B298">
            <v>5627</v>
          </cell>
          <cell r="C298" t="str">
            <v>Chavannes-près-Renens</v>
          </cell>
          <cell r="D298">
            <v>7741</v>
          </cell>
        </row>
        <row r="299">
          <cell r="B299">
            <v>5583</v>
          </cell>
          <cell r="C299" t="str">
            <v>Crissier</v>
          </cell>
          <cell r="D299">
            <v>7905</v>
          </cell>
        </row>
        <row r="300">
          <cell r="B300">
            <v>5635</v>
          </cell>
          <cell r="C300" t="str">
            <v>Ecublens</v>
          </cell>
          <cell r="D300">
            <v>12939</v>
          </cell>
        </row>
        <row r="301">
          <cell r="B301">
            <v>5589</v>
          </cell>
          <cell r="C301" t="str">
            <v>Prilly</v>
          </cell>
          <cell r="D301">
            <v>12392</v>
          </cell>
        </row>
        <row r="302">
          <cell r="B302">
            <v>5591</v>
          </cell>
          <cell r="C302" t="str">
            <v>Renens</v>
          </cell>
          <cell r="D302">
            <v>20968</v>
          </cell>
        </row>
        <row r="303">
          <cell r="B303">
            <v>5648</v>
          </cell>
          <cell r="C303" t="str">
            <v>Saint-Sulpice</v>
          </cell>
          <cell r="D303">
            <v>4669</v>
          </cell>
        </row>
        <row r="304">
          <cell r="B304">
            <v>5651</v>
          </cell>
          <cell r="C304" t="str">
            <v>Villars-Sainte-Croix</v>
          </cell>
          <cell r="D304">
            <v>963</v>
          </cell>
        </row>
        <row r="305">
          <cell r="D305">
            <v>85060</v>
          </cell>
        </row>
        <row r="306">
          <cell r="B306">
            <v>5881</v>
          </cell>
          <cell r="C306" t="str">
            <v>Blonay</v>
          </cell>
          <cell r="D306">
            <v>6175</v>
          </cell>
        </row>
        <row r="307">
          <cell r="B307">
            <v>5882</v>
          </cell>
          <cell r="C307" t="str">
            <v>Chardonne</v>
          </cell>
          <cell r="D307">
            <v>2941</v>
          </cell>
        </row>
        <row r="308">
          <cell r="B308">
            <v>5841</v>
          </cell>
          <cell r="C308" t="str">
            <v>Château-d'Oex</v>
          </cell>
          <cell r="D308">
            <v>3460</v>
          </cell>
        </row>
        <row r="309">
          <cell r="B309">
            <v>5883</v>
          </cell>
          <cell r="C309" t="str">
            <v>Corseaux</v>
          </cell>
          <cell r="D309">
            <v>2282</v>
          </cell>
        </row>
        <row r="310">
          <cell r="B310">
            <v>5884</v>
          </cell>
          <cell r="C310" t="str">
            <v>Corsier-sur-Vevey</v>
          </cell>
          <cell r="D310">
            <v>3386</v>
          </cell>
        </row>
        <row r="311">
          <cell r="B311">
            <v>5885</v>
          </cell>
          <cell r="C311" t="str">
            <v>Jongny</v>
          </cell>
          <cell r="D311">
            <v>1536</v>
          </cell>
        </row>
        <row r="312">
          <cell r="B312">
            <v>5886</v>
          </cell>
          <cell r="C312" t="str">
            <v>Montreux</v>
          </cell>
          <cell r="D312">
            <v>26006</v>
          </cell>
        </row>
        <row r="313">
          <cell r="B313">
            <v>5842</v>
          </cell>
          <cell r="C313" t="str">
            <v>Rossinière</v>
          </cell>
          <cell r="D313">
            <v>548</v>
          </cell>
        </row>
        <row r="314">
          <cell r="B314">
            <v>5843</v>
          </cell>
          <cell r="C314" t="str">
            <v>Rougemont</v>
          </cell>
          <cell r="D314">
            <v>882</v>
          </cell>
        </row>
        <row r="315">
          <cell r="B315">
            <v>5888</v>
          </cell>
          <cell r="C315" t="str">
            <v>St-Légier-La Chiésaz</v>
          </cell>
          <cell r="D315">
            <v>5185</v>
          </cell>
        </row>
        <row r="316">
          <cell r="B316">
            <v>5889</v>
          </cell>
          <cell r="C316" t="str">
            <v>La Tour-de-Peilz</v>
          </cell>
          <cell r="D316">
            <v>11871</v>
          </cell>
        </row>
        <row r="317">
          <cell r="B317">
            <v>5890</v>
          </cell>
          <cell r="C317" t="str">
            <v>Vevey</v>
          </cell>
          <cell r="D317">
            <v>19904</v>
          </cell>
        </row>
        <row r="318">
          <cell r="B318">
            <v>5891</v>
          </cell>
          <cell r="C318" t="str">
            <v>Veytaux</v>
          </cell>
          <cell r="D318">
            <v>884</v>
          </cell>
        </row>
      </sheetData>
    </sheetDataSet>
  </externalBook>
</externalLink>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
    <tabColor rgb="FF00B0F0"/>
  </sheetPr>
  <dimension ref="A1:L545"/>
  <sheetViews>
    <sheetView zoomScaleNormal="100" workbookViewId="0">
      <selection activeCell="A27" sqref="A27"/>
    </sheetView>
  </sheetViews>
  <sheetFormatPr baseColWidth="10" defaultColWidth="10.75" defaultRowHeight="15" x14ac:dyDescent="0.25"/>
  <cols>
    <col min="1" max="1" width="48" style="166" bestFit="1" customWidth="1"/>
    <col min="2" max="2" width="13.75" style="166" customWidth="1"/>
    <col min="3" max="3" width="16.625" style="166" customWidth="1"/>
    <col min="4" max="4" width="12.25" style="166" customWidth="1"/>
    <col min="5" max="5" width="11" style="166" bestFit="1" customWidth="1"/>
    <col min="6" max="6" width="12.125" style="166" bestFit="1" customWidth="1"/>
    <col min="7" max="7" width="12.5" style="166" bestFit="1" customWidth="1"/>
    <col min="8" max="8" width="12" style="166" bestFit="1" customWidth="1"/>
    <col min="9" max="10" width="12.125" style="166" bestFit="1" customWidth="1"/>
    <col min="11" max="11" width="14.375" style="166" bestFit="1" customWidth="1"/>
    <col min="12" max="16384" width="10.75" style="166"/>
  </cols>
  <sheetData>
    <row r="1" spans="1:9" ht="31.5" x14ac:dyDescent="0.5">
      <c r="A1" s="206" t="s">
        <v>383</v>
      </c>
    </row>
    <row r="4" spans="1:9" ht="21" x14ac:dyDescent="0.35">
      <c r="A4" s="185" t="s">
        <v>471</v>
      </c>
    </row>
    <row r="5" spans="1:9" x14ac:dyDescent="0.25">
      <c r="A5" s="166" t="s">
        <v>463</v>
      </c>
      <c r="B5" s="369">
        <v>2018</v>
      </c>
    </row>
    <row r="6" spans="1:9" x14ac:dyDescent="0.25">
      <c r="A6" s="166" t="s">
        <v>518</v>
      </c>
      <c r="B6" s="369">
        <v>2017</v>
      </c>
    </row>
    <row r="7" spans="1:9" x14ac:dyDescent="0.25">
      <c r="A7" s="166" t="s">
        <v>514</v>
      </c>
      <c r="B7" s="186">
        <v>42003</v>
      </c>
    </row>
    <row r="8" spans="1:9" x14ac:dyDescent="0.25">
      <c r="A8" s="166" t="s">
        <v>515</v>
      </c>
      <c r="B8" s="239">
        <v>2018</v>
      </c>
    </row>
    <row r="10" spans="1:9" ht="21" x14ac:dyDescent="0.35">
      <c r="A10" s="185" t="s">
        <v>472</v>
      </c>
      <c r="C10" s="168"/>
      <c r="D10" s="168"/>
    </row>
    <row r="11" spans="1:9" x14ac:dyDescent="0.25">
      <c r="A11" s="166" t="s">
        <v>457</v>
      </c>
      <c r="B11" s="187">
        <v>0.5</v>
      </c>
      <c r="C11" s="176"/>
      <c r="D11" s="176"/>
    </row>
    <row r="12" spans="1:9" x14ac:dyDescent="0.25">
      <c r="A12" s="166" t="s">
        <v>523</v>
      </c>
      <c r="B12" s="187">
        <v>0.3</v>
      </c>
      <c r="C12" s="177"/>
      <c r="D12" s="177"/>
      <c r="F12" s="173"/>
    </row>
    <row r="14" spans="1:9" ht="21" x14ac:dyDescent="0.35">
      <c r="A14" s="185" t="s">
        <v>473</v>
      </c>
    </row>
    <row r="15" spans="1:9" x14ac:dyDescent="0.25">
      <c r="B15" s="178" t="s">
        <v>300</v>
      </c>
      <c r="C15" s="178" t="s">
        <v>297</v>
      </c>
      <c r="D15" s="178" t="s">
        <v>298</v>
      </c>
      <c r="E15" s="178" t="s">
        <v>415</v>
      </c>
      <c r="G15" s="486" t="s">
        <v>542</v>
      </c>
      <c r="H15" s="487"/>
      <c r="I15" s="488"/>
    </row>
    <row r="16" spans="1:9" x14ac:dyDescent="0.25">
      <c r="A16" s="166" t="s">
        <v>522</v>
      </c>
      <c r="B16" s="188">
        <v>0.36</v>
      </c>
      <c r="C16" s="188">
        <v>0.46</v>
      </c>
      <c r="D16" s="188">
        <v>0.56000000000000005</v>
      </c>
      <c r="E16" s="188">
        <v>0.66</v>
      </c>
      <c r="G16" s="489" t="s">
        <v>540</v>
      </c>
      <c r="H16" s="490"/>
      <c r="I16" s="491"/>
    </row>
    <row r="17" spans="1:12" x14ac:dyDescent="0.25">
      <c r="A17" s="166" t="s">
        <v>474</v>
      </c>
      <c r="B17" s="188">
        <v>1.2</v>
      </c>
      <c r="C17" s="188">
        <v>1.5</v>
      </c>
      <c r="D17" s="188">
        <v>2</v>
      </c>
      <c r="E17" s="272">
        <v>3</v>
      </c>
      <c r="F17" s="168"/>
      <c r="G17" s="492" t="s">
        <v>541</v>
      </c>
      <c r="H17" s="493"/>
      <c r="I17" s="494"/>
    </row>
    <row r="18" spans="1:12" x14ac:dyDescent="0.25">
      <c r="D18" s="168"/>
      <c r="F18" s="168"/>
      <c r="I18" s="168"/>
      <c r="J18" s="168"/>
      <c r="K18" s="168"/>
      <c r="L18" s="168"/>
    </row>
    <row r="19" spans="1:12" x14ac:dyDescent="0.25">
      <c r="B19" s="178" t="s">
        <v>536</v>
      </c>
      <c r="D19" s="273"/>
      <c r="E19" s="178" t="s">
        <v>538</v>
      </c>
      <c r="F19" s="273"/>
      <c r="I19" s="168"/>
      <c r="J19" s="168"/>
      <c r="K19" s="168"/>
      <c r="L19" s="168"/>
    </row>
    <row r="20" spans="1:12" x14ac:dyDescent="0.25">
      <c r="A20" s="166" t="s">
        <v>537</v>
      </c>
      <c r="B20" s="188">
        <v>0.5</v>
      </c>
      <c r="D20" s="273"/>
      <c r="E20" s="188">
        <v>0</v>
      </c>
      <c r="I20" s="168"/>
      <c r="J20" s="168"/>
      <c r="K20" s="168"/>
      <c r="L20" s="168"/>
    </row>
    <row r="21" spans="1:12" x14ac:dyDescent="0.25">
      <c r="D21" s="168"/>
      <c r="E21" s="166" t="s">
        <v>539</v>
      </c>
      <c r="F21" s="168"/>
      <c r="I21" s="168"/>
      <c r="J21" s="168"/>
      <c r="K21" s="168"/>
      <c r="L21" s="168"/>
    </row>
    <row r="22" spans="1:12" x14ac:dyDescent="0.25">
      <c r="F22" s="168"/>
      <c r="I22" s="168"/>
      <c r="J22" s="168"/>
      <c r="K22" s="168"/>
      <c r="L22" s="168"/>
    </row>
    <row r="23" spans="1:12" ht="21" x14ac:dyDescent="0.35">
      <c r="A23" s="185" t="s">
        <v>475</v>
      </c>
      <c r="B23" s="168"/>
      <c r="C23" s="168"/>
      <c r="D23" s="168"/>
      <c r="E23" s="179"/>
      <c r="F23" s="169"/>
      <c r="I23" s="168"/>
      <c r="J23" s="168"/>
      <c r="K23" s="168"/>
      <c r="L23" s="170"/>
    </row>
    <row r="24" spans="1:12" x14ac:dyDescent="0.25">
      <c r="A24" s="190" t="s">
        <v>519</v>
      </c>
      <c r="B24" s="194">
        <v>0</v>
      </c>
      <c r="C24" s="194">
        <v>1000</v>
      </c>
      <c r="D24" s="194">
        <v>3000</v>
      </c>
      <c r="E24" s="194">
        <v>5000</v>
      </c>
      <c r="F24" s="194">
        <v>9000</v>
      </c>
      <c r="G24" s="194">
        <v>12000</v>
      </c>
      <c r="H24" s="194">
        <v>15000</v>
      </c>
      <c r="I24" s="180"/>
      <c r="J24" s="495" t="s">
        <v>542</v>
      </c>
      <c r="K24" s="495"/>
      <c r="L24" s="168"/>
    </row>
    <row r="25" spans="1:12" x14ac:dyDescent="0.25">
      <c r="A25" s="190"/>
      <c r="B25" s="194">
        <v>1000</v>
      </c>
      <c r="C25" s="194">
        <v>3000</v>
      </c>
      <c r="D25" s="194">
        <v>5000</v>
      </c>
      <c r="E25" s="194">
        <v>9000</v>
      </c>
      <c r="F25" s="194">
        <v>12000</v>
      </c>
      <c r="G25" s="194">
        <v>15000</v>
      </c>
      <c r="H25" s="194"/>
      <c r="I25" s="180"/>
      <c r="J25" s="496" t="s">
        <v>543</v>
      </c>
      <c r="K25" s="497"/>
      <c r="L25" s="168"/>
    </row>
    <row r="26" spans="1:12" x14ac:dyDescent="0.25">
      <c r="A26" s="191" t="s">
        <v>476</v>
      </c>
      <c r="B26" s="247">
        <v>100</v>
      </c>
      <c r="C26" s="247">
        <v>350</v>
      </c>
      <c r="D26" s="247">
        <v>500</v>
      </c>
      <c r="E26" s="247">
        <v>600</v>
      </c>
      <c r="F26" s="247">
        <v>850</v>
      </c>
      <c r="G26" s="247">
        <v>1000</v>
      </c>
      <c r="H26" s="247">
        <v>1050</v>
      </c>
      <c r="I26" s="181"/>
      <c r="J26" s="498"/>
      <c r="K26" s="499"/>
      <c r="L26" s="168"/>
    </row>
    <row r="27" spans="1:12" x14ac:dyDescent="0.25">
      <c r="A27" s="168" t="s">
        <v>458</v>
      </c>
      <c r="B27" s="263">
        <v>99.4</v>
      </c>
      <c r="C27" s="189"/>
      <c r="D27" s="189"/>
      <c r="E27" s="189"/>
      <c r="F27" s="189"/>
      <c r="G27" s="189"/>
      <c r="H27" s="189"/>
      <c r="I27" s="168"/>
      <c r="J27" s="168"/>
      <c r="K27" s="168"/>
      <c r="L27" s="168"/>
    </row>
    <row r="28" spans="1:12" x14ac:dyDescent="0.25">
      <c r="A28" s="168" t="s">
        <v>459</v>
      </c>
      <c r="B28" s="247">
        <v>99.3</v>
      </c>
      <c r="C28" s="189"/>
      <c r="D28" s="189"/>
      <c r="E28" s="189"/>
      <c r="F28" s="189"/>
      <c r="G28" s="189"/>
      <c r="H28" s="189"/>
      <c r="I28" s="168"/>
      <c r="J28" s="168"/>
      <c r="K28" s="168"/>
      <c r="L28" s="168"/>
    </row>
    <row r="29" spans="1:12" x14ac:dyDescent="0.25">
      <c r="A29" s="168" t="s">
        <v>460</v>
      </c>
      <c r="B29" s="264">
        <f>+B26/$B$27*$B$28</f>
        <v>99.899396378269614</v>
      </c>
      <c r="C29" s="183">
        <f t="shared" ref="C29:H29" si="0">+C26/$B$27*$B$28</f>
        <v>349.64788732394362</v>
      </c>
      <c r="D29" s="183">
        <f t="shared" si="0"/>
        <v>499.49698189134801</v>
      </c>
      <c r="E29" s="183">
        <f t="shared" si="0"/>
        <v>599.39637826961768</v>
      </c>
      <c r="F29" s="183">
        <f t="shared" si="0"/>
        <v>849.14486921529169</v>
      </c>
      <c r="G29" s="183">
        <f t="shared" si="0"/>
        <v>998.99396378269603</v>
      </c>
      <c r="H29" s="183">
        <f t="shared" si="0"/>
        <v>1048.9436619718308</v>
      </c>
      <c r="I29" s="168"/>
      <c r="J29" s="168"/>
      <c r="K29" s="168"/>
      <c r="L29" s="168"/>
    </row>
    <row r="31" spans="1:12" ht="21" x14ac:dyDescent="0.35">
      <c r="A31" s="185" t="s">
        <v>477</v>
      </c>
    </row>
    <row r="32" spans="1:12" x14ac:dyDescent="0.25">
      <c r="A32" s="166" t="s">
        <v>520</v>
      </c>
      <c r="B32" s="195">
        <v>0.27</v>
      </c>
    </row>
    <row r="34" spans="1:12" ht="21" x14ac:dyDescent="0.35">
      <c r="A34" s="185" t="s">
        <v>478</v>
      </c>
    </row>
    <row r="35" spans="1:12" x14ac:dyDescent="0.25">
      <c r="A35" s="166" t="s">
        <v>385</v>
      </c>
      <c r="C35" s="171"/>
    </row>
    <row r="36" spans="1:12" x14ac:dyDescent="0.25">
      <c r="A36" s="166" t="s">
        <v>428</v>
      </c>
      <c r="B36" s="238">
        <v>-4246726.3435717737</v>
      </c>
      <c r="C36" s="104">
        <f>Synthèse!L315-Synthèse!F315</f>
        <v>450000</v>
      </c>
      <c r="D36" s="193">
        <f>+'J) Plafonnement effort'!I314+'K) Plafonnement aide'!J314+'L) Plafonnement taux'!Q315</f>
        <v>-4246726.3435719395</v>
      </c>
      <c r="L36" s="173"/>
    </row>
    <row r="37" spans="1:12" x14ac:dyDescent="0.25">
      <c r="A37" s="166" t="s">
        <v>521</v>
      </c>
      <c r="B37" s="238">
        <v>-450000</v>
      </c>
      <c r="C37" s="172"/>
      <c r="D37" s="173"/>
      <c r="L37" s="173"/>
    </row>
    <row r="38" spans="1:12" x14ac:dyDescent="0.25">
      <c r="G38" s="173"/>
      <c r="H38" s="174"/>
      <c r="L38" s="173"/>
    </row>
    <row r="39" spans="1:12" ht="21" x14ac:dyDescent="0.35">
      <c r="A39" s="185" t="s">
        <v>479</v>
      </c>
      <c r="G39" s="173"/>
      <c r="H39" s="174"/>
      <c r="L39" s="173"/>
    </row>
    <row r="40" spans="1:12" x14ac:dyDescent="0.25">
      <c r="A40" s="184"/>
      <c r="B40" s="197" t="s">
        <v>386</v>
      </c>
      <c r="C40" s="197" t="s">
        <v>384</v>
      </c>
      <c r="E40" s="182" t="s">
        <v>455</v>
      </c>
      <c r="F40" s="182"/>
      <c r="G40" s="199">
        <f>+'D) Ecrêtage'!M314</f>
        <v>36057927.800654255</v>
      </c>
      <c r="H40" s="201"/>
      <c r="I40" s="200" t="s">
        <v>456</v>
      </c>
      <c r="J40" s="182"/>
      <c r="K40" s="104">
        <f>+'I) Dépenses thématiques'!I314</f>
        <v>207965212.06128219</v>
      </c>
    </row>
    <row r="41" spans="1:12" x14ac:dyDescent="0.25">
      <c r="A41" s="166" t="s">
        <v>480</v>
      </c>
      <c r="B41" s="196">
        <v>8</v>
      </c>
      <c r="C41" s="178">
        <f>+H42</f>
        <v>0.66949064767504174</v>
      </c>
      <c r="E41" s="182" t="s">
        <v>544</v>
      </c>
      <c r="F41" s="182"/>
      <c r="G41" s="333">
        <v>4</v>
      </c>
      <c r="H41" s="299">
        <v>0.75</v>
      </c>
      <c r="I41" s="200" t="s">
        <v>220</v>
      </c>
      <c r="J41" s="182"/>
      <c r="K41" s="104">
        <f>+'I) Dépenses thématiques'!M314</f>
        <v>7469778.2608296722</v>
      </c>
    </row>
    <row r="42" spans="1:12" x14ac:dyDescent="0.25">
      <c r="A42" s="166" t="s">
        <v>524</v>
      </c>
      <c r="B42" s="196">
        <v>1</v>
      </c>
      <c r="C42" s="178">
        <f>+H42</f>
        <v>0.66949064767504174</v>
      </c>
      <c r="E42" s="182" t="s">
        <v>481</v>
      </c>
      <c r="F42" s="182"/>
      <c r="G42" s="198">
        <f>+G40*G41</f>
        <v>144231711.20261702</v>
      </c>
      <c r="H42" s="262">
        <f>IF((G42/K42)&gt;H41,H41,(G42/K42))</f>
        <v>0.66949064767504174</v>
      </c>
      <c r="I42" s="182" t="s">
        <v>143</v>
      </c>
      <c r="J42" s="182"/>
      <c r="K42" s="104">
        <f>SUM(K40:K41)</f>
        <v>215434990.32211185</v>
      </c>
    </row>
    <row r="43" spans="1:12" x14ac:dyDescent="0.25">
      <c r="E43" s="166" t="s">
        <v>545</v>
      </c>
    </row>
    <row r="44" spans="1:12" ht="21" x14ac:dyDescent="0.35">
      <c r="A44" s="185" t="s">
        <v>483</v>
      </c>
      <c r="H44" s="300"/>
    </row>
    <row r="46" spans="1:12" x14ac:dyDescent="0.25">
      <c r="A46" s="166" t="s">
        <v>548</v>
      </c>
      <c r="B46" s="270">
        <v>45</v>
      </c>
      <c r="E46" s="168"/>
      <c r="F46" s="168"/>
      <c r="H46" s="448"/>
    </row>
    <row r="47" spans="1:12" x14ac:dyDescent="0.25">
      <c r="A47" s="166" t="s">
        <v>657</v>
      </c>
      <c r="B47" s="269">
        <v>45</v>
      </c>
      <c r="C47" s="274" t="s">
        <v>656</v>
      </c>
      <c r="D47" s="334">
        <v>45</v>
      </c>
      <c r="E47" s="330"/>
      <c r="F47" s="168"/>
    </row>
    <row r="48" spans="1:12" x14ac:dyDescent="0.25">
      <c r="A48" s="166" t="s">
        <v>658</v>
      </c>
      <c r="B48" s="271">
        <v>-6.5</v>
      </c>
      <c r="C48" s="274" t="s">
        <v>656</v>
      </c>
      <c r="D48" s="334">
        <v>-8</v>
      </c>
      <c r="E48" s="330"/>
      <c r="F48" s="168"/>
    </row>
    <row r="49" spans="1:9" x14ac:dyDescent="0.25">
      <c r="A49" s="166" t="s">
        <v>549</v>
      </c>
      <c r="B49" s="331">
        <v>92</v>
      </c>
      <c r="C49" s="330"/>
      <c r="E49" s="330"/>
      <c r="F49" s="168"/>
    </row>
    <row r="50" spans="1:9" x14ac:dyDescent="0.25">
      <c r="A50" s="166" t="s">
        <v>646</v>
      </c>
      <c r="B50" s="269">
        <f>+B49+B63</f>
        <v>92.469503030152794</v>
      </c>
    </row>
    <row r="51" spans="1:9" x14ac:dyDescent="0.25">
      <c r="A51" s="166" t="s">
        <v>533</v>
      </c>
      <c r="B51" s="268">
        <v>50</v>
      </c>
      <c r="C51" s="166" t="s">
        <v>550</v>
      </c>
      <c r="I51" s="172"/>
    </row>
    <row r="52" spans="1:9" x14ac:dyDescent="0.25">
      <c r="A52" s="166" t="s">
        <v>534</v>
      </c>
      <c r="B52" s="268">
        <v>85</v>
      </c>
    </row>
    <row r="54" spans="1:9" x14ac:dyDescent="0.25">
      <c r="A54" s="175"/>
      <c r="B54" s="167"/>
    </row>
    <row r="55" spans="1:9" ht="21" x14ac:dyDescent="0.35">
      <c r="A55" s="207" t="s">
        <v>482</v>
      </c>
      <c r="B55" s="168"/>
      <c r="E55" s="168"/>
      <c r="F55" s="448"/>
    </row>
    <row r="56" spans="1:9" ht="45" x14ac:dyDescent="0.25">
      <c r="B56" s="205" t="s">
        <v>447</v>
      </c>
      <c r="C56" s="168"/>
      <c r="D56" s="168"/>
      <c r="E56" s="168"/>
    </row>
    <row r="57" spans="1:9" x14ac:dyDescent="0.25">
      <c r="A57" s="168" t="s">
        <v>590</v>
      </c>
      <c r="B57" s="192">
        <v>772630956</v>
      </c>
      <c r="C57" s="168"/>
      <c r="D57" s="168"/>
      <c r="E57" s="168"/>
    </row>
    <row r="58" spans="1:9" x14ac:dyDescent="0.25">
      <c r="A58" s="168" t="s">
        <v>647</v>
      </c>
      <c r="B58" s="192">
        <v>790010914</v>
      </c>
      <c r="C58" s="180"/>
      <c r="D58" s="168"/>
      <c r="E58" s="168"/>
    </row>
    <row r="59" spans="1:9" x14ac:dyDescent="0.25">
      <c r="A59" s="168" t="s">
        <v>591</v>
      </c>
      <c r="B59" s="192">
        <v>36767173.359367341</v>
      </c>
      <c r="C59" s="168"/>
      <c r="D59" s="168"/>
      <c r="E59" s="168"/>
    </row>
    <row r="60" spans="1:9" x14ac:dyDescent="0.25">
      <c r="A60" s="168" t="s">
        <v>648</v>
      </c>
      <c r="B60" s="192">
        <f>'B) D RI'!U316</f>
        <v>37017775.996768594</v>
      </c>
      <c r="C60" s="180"/>
      <c r="D60" s="168"/>
      <c r="E60" s="168"/>
    </row>
    <row r="61" spans="1:9" x14ac:dyDescent="0.25">
      <c r="A61" s="168" t="s">
        <v>448</v>
      </c>
      <c r="B61" s="203">
        <f>(B58-B57)*100/B57</f>
        <v>2.2494514185631465</v>
      </c>
      <c r="C61" s="168"/>
      <c r="D61" s="168"/>
      <c r="E61" s="168"/>
    </row>
    <row r="62" spans="1:9" x14ac:dyDescent="0.25">
      <c r="A62" s="168" t="s">
        <v>449</v>
      </c>
      <c r="B62" s="203">
        <f>(B60-B59)*100/B59</f>
        <v>0.68159342833301007</v>
      </c>
      <c r="C62" s="180"/>
      <c r="D62" s="168"/>
      <c r="E62" s="168"/>
    </row>
    <row r="63" spans="1:9" x14ac:dyDescent="0.25">
      <c r="A63" s="168" t="s">
        <v>450</v>
      </c>
      <c r="B63" s="204">
        <f>(B58-B57)/B60</f>
        <v>0.4695030301527881</v>
      </c>
      <c r="C63" s="202"/>
      <c r="D63" s="168"/>
      <c r="E63" s="168"/>
    </row>
    <row r="64" spans="1:9" x14ac:dyDescent="0.25">
      <c r="A64" s="168"/>
      <c r="B64" s="168"/>
      <c r="C64" s="168"/>
      <c r="D64" s="168"/>
      <c r="E64" s="168"/>
    </row>
    <row r="65" spans="1:7" ht="21" x14ac:dyDescent="0.35">
      <c r="A65" s="207" t="s">
        <v>508</v>
      </c>
      <c r="B65" s="168"/>
      <c r="C65" s="168"/>
      <c r="D65" s="168"/>
      <c r="E65" s="168"/>
    </row>
    <row r="66" spans="1:7" x14ac:dyDescent="0.25">
      <c r="A66" s="168" t="s">
        <v>509</v>
      </c>
      <c r="B66" s="229">
        <v>2</v>
      </c>
      <c r="C66" s="168"/>
      <c r="D66" s="246"/>
      <c r="F66" s="246"/>
      <c r="G66" s="287"/>
    </row>
    <row r="67" spans="1:7" x14ac:dyDescent="0.25">
      <c r="A67" s="168" t="s">
        <v>513</v>
      </c>
      <c r="B67" s="238">
        <v>66919050.938490741</v>
      </c>
      <c r="C67" s="168"/>
      <c r="D67" s="246"/>
      <c r="E67" s="168"/>
      <c r="F67" s="212"/>
    </row>
    <row r="68" spans="1:7" x14ac:dyDescent="0.25">
      <c r="A68" s="168"/>
      <c r="B68" s="168"/>
      <c r="C68" s="168"/>
      <c r="D68" s="246"/>
      <c r="E68" s="168"/>
      <c r="F68" s="212"/>
    </row>
    <row r="69" spans="1:7" ht="21" x14ac:dyDescent="0.35">
      <c r="A69" s="207" t="s">
        <v>487</v>
      </c>
    </row>
    <row r="70" spans="1:7" x14ac:dyDescent="0.25">
      <c r="A70" s="166" t="s">
        <v>410</v>
      </c>
      <c r="B70" s="166">
        <v>5621</v>
      </c>
    </row>
    <row r="71" spans="1:7" x14ac:dyDescent="0.25">
      <c r="A71" s="166" t="s">
        <v>333</v>
      </c>
      <c r="B71" s="166">
        <v>5742</v>
      </c>
    </row>
    <row r="72" spans="1:7" x14ac:dyDescent="0.25">
      <c r="A72" s="166" t="s">
        <v>266</v>
      </c>
      <c r="B72" s="166">
        <v>5401</v>
      </c>
    </row>
    <row r="73" spans="1:7" x14ac:dyDescent="0.25">
      <c r="A73" s="166" t="s">
        <v>20</v>
      </c>
      <c r="B73" s="166">
        <v>5851</v>
      </c>
    </row>
    <row r="74" spans="1:7" x14ac:dyDescent="0.25">
      <c r="A74" s="166" t="s">
        <v>78</v>
      </c>
      <c r="B74" s="166">
        <v>5421</v>
      </c>
    </row>
    <row r="75" spans="1:7" x14ac:dyDescent="0.25">
      <c r="A75" s="166" t="s">
        <v>115</v>
      </c>
      <c r="B75" s="166">
        <v>5701</v>
      </c>
    </row>
    <row r="76" spans="1:7" x14ac:dyDescent="0.25">
      <c r="A76" s="166" t="s">
        <v>270</v>
      </c>
      <c r="B76" s="166">
        <v>5743</v>
      </c>
    </row>
    <row r="77" spans="1:7" x14ac:dyDescent="0.25">
      <c r="A77" s="166" t="s">
        <v>453</v>
      </c>
      <c r="B77" s="166">
        <v>5702</v>
      </c>
    </row>
    <row r="78" spans="1:7" x14ac:dyDescent="0.25">
      <c r="A78" s="166" t="s">
        <v>181</v>
      </c>
      <c r="B78" s="166">
        <v>5511</v>
      </c>
    </row>
    <row r="79" spans="1:7" x14ac:dyDescent="0.25">
      <c r="A79" s="166" t="s">
        <v>79</v>
      </c>
      <c r="B79" s="166">
        <v>5422</v>
      </c>
    </row>
    <row r="80" spans="1:7" x14ac:dyDescent="0.25">
      <c r="A80" s="166" t="s">
        <v>353</v>
      </c>
      <c r="B80" s="166">
        <v>5451</v>
      </c>
    </row>
    <row r="81" spans="1:2" x14ac:dyDescent="0.25">
      <c r="A81" s="166" t="s">
        <v>271</v>
      </c>
      <c r="B81" s="166">
        <v>5744</v>
      </c>
    </row>
    <row r="82" spans="1:2" x14ac:dyDescent="0.25">
      <c r="A82" s="166" t="s">
        <v>80</v>
      </c>
      <c r="B82" s="166">
        <v>5423</v>
      </c>
    </row>
    <row r="83" spans="1:2" x14ac:dyDescent="0.25">
      <c r="A83" s="166" t="s">
        <v>116</v>
      </c>
      <c r="B83" s="166">
        <v>5703</v>
      </c>
    </row>
    <row r="84" spans="1:2" x14ac:dyDescent="0.25">
      <c r="A84" s="166" t="s">
        <v>272</v>
      </c>
      <c r="B84" s="166">
        <v>5745</v>
      </c>
    </row>
    <row r="85" spans="1:2" x14ac:dyDescent="0.25">
      <c r="A85" s="166" t="s">
        <v>273</v>
      </c>
      <c r="B85" s="166">
        <v>5746</v>
      </c>
    </row>
    <row r="86" spans="1:2" x14ac:dyDescent="0.25">
      <c r="A86" s="166" t="s">
        <v>226</v>
      </c>
      <c r="B86" s="166">
        <v>5704</v>
      </c>
    </row>
    <row r="87" spans="1:2" x14ac:dyDescent="0.25">
      <c r="A87" s="166" t="s">
        <v>394</v>
      </c>
      <c r="B87" s="166">
        <v>5581</v>
      </c>
    </row>
    <row r="88" spans="1:2" x14ac:dyDescent="0.25">
      <c r="A88" s="166" t="s">
        <v>59</v>
      </c>
      <c r="B88" s="166">
        <v>5902</v>
      </c>
    </row>
    <row r="89" spans="1:2" x14ac:dyDescent="0.25">
      <c r="A89" s="166" t="s">
        <v>182</v>
      </c>
      <c r="B89" s="166">
        <v>5512</v>
      </c>
    </row>
    <row r="90" spans="1:2" x14ac:dyDescent="0.25">
      <c r="A90" s="166" t="s">
        <v>81</v>
      </c>
      <c r="B90" s="166">
        <v>5424</v>
      </c>
    </row>
    <row r="91" spans="1:2" x14ac:dyDescent="0.25">
      <c r="A91" s="166" t="s">
        <v>356</v>
      </c>
      <c r="B91" s="166">
        <v>5471</v>
      </c>
    </row>
    <row r="92" spans="1:2" x14ac:dyDescent="0.25">
      <c r="A92" s="166" t="s">
        <v>267</v>
      </c>
      <c r="B92" s="166">
        <v>5402</v>
      </c>
    </row>
    <row r="93" spans="1:2" x14ac:dyDescent="0.25">
      <c r="A93" s="166" t="s">
        <v>82</v>
      </c>
      <c r="B93" s="166">
        <v>5425</v>
      </c>
    </row>
    <row r="94" spans="1:2" x14ac:dyDescent="0.25">
      <c r="A94" s="166" t="s">
        <v>60</v>
      </c>
      <c r="B94" s="166">
        <v>5903</v>
      </c>
    </row>
    <row r="95" spans="1:2" x14ac:dyDescent="0.25">
      <c r="A95" s="166" t="s">
        <v>183</v>
      </c>
      <c r="B95" s="166">
        <v>5513</v>
      </c>
    </row>
    <row r="96" spans="1:2" x14ac:dyDescent="0.25">
      <c r="A96" s="166" t="s">
        <v>211</v>
      </c>
      <c r="B96" s="166">
        <v>5881</v>
      </c>
    </row>
    <row r="97" spans="1:2" x14ac:dyDescent="0.25">
      <c r="A97" s="166" t="s">
        <v>274</v>
      </c>
      <c r="B97" s="166">
        <v>5747</v>
      </c>
    </row>
    <row r="98" spans="1:2" x14ac:dyDescent="0.25">
      <c r="A98" s="166" t="s">
        <v>227</v>
      </c>
      <c r="B98" s="166">
        <v>5705</v>
      </c>
    </row>
    <row r="99" spans="1:2" x14ac:dyDescent="0.25">
      <c r="A99" s="166" t="s">
        <v>37</v>
      </c>
      <c r="B99" s="166">
        <v>5551</v>
      </c>
    </row>
    <row r="100" spans="1:2" x14ac:dyDescent="0.25">
      <c r="A100" s="166" t="s">
        <v>228</v>
      </c>
      <c r="B100" s="166">
        <v>5706</v>
      </c>
    </row>
    <row r="101" spans="1:2" x14ac:dyDescent="0.25">
      <c r="A101" s="166" t="s">
        <v>184</v>
      </c>
      <c r="B101" s="166">
        <v>5514</v>
      </c>
    </row>
    <row r="102" spans="1:2" x14ac:dyDescent="0.25">
      <c r="A102" s="166" t="s">
        <v>76</v>
      </c>
      <c r="B102" s="166">
        <v>5426</v>
      </c>
    </row>
    <row r="103" spans="1:2" x14ac:dyDescent="0.25">
      <c r="A103" s="166" t="s">
        <v>207</v>
      </c>
      <c r="B103" s="166">
        <v>5661</v>
      </c>
    </row>
    <row r="104" spans="1:2" x14ac:dyDescent="0.25">
      <c r="A104" s="166" t="s">
        <v>437</v>
      </c>
      <c r="B104" s="166">
        <v>5613</v>
      </c>
    </row>
    <row r="105" spans="1:2" x14ac:dyDescent="0.25">
      <c r="A105" s="166" t="s">
        <v>357</v>
      </c>
      <c r="B105" s="166">
        <v>5472</v>
      </c>
    </row>
    <row r="106" spans="1:2" x14ac:dyDescent="0.25">
      <c r="A106" s="166" t="s">
        <v>214</v>
      </c>
      <c r="B106" s="166">
        <v>5473</v>
      </c>
    </row>
    <row r="107" spans="1:2" x14ac:dyDescent="0.25">
      <c r="A107" s="166" t="s">
        <v>152</v>
      </c>
      <c r="B107" s="166">
        <v>5622</v>
      </c>
    </row>
    <row r="108" spans="1:2" x14ac:dyDescent="0.25">
      <c r="A108" s="166" t="s">
        <v>185</v>
      </c>
      <c r="B108" s="166">
        <v>5515</v>
      </c>
    </row>
    <row r="109" spans="1:2" x14ac:dyDescent="0.25">
      <c r="A109" s="166" t="s">
        <v>275</v>
      </c>
      <c r="B109" s="166">
        <v>5748</v>
      </c>
    </row>
    <row r="110" spans="1:2" x14ac:dyDescent="0.25">
      <c r="A110" s="166" t="s">
        <v>153</v>
      </c>
      <c r="B110" s="166">
        <v>5623</v>
      </c>
    </row>
    <row r="111" spans="1:2" x14ac:dyDescent="0.25">
      <c r="A111" s="166" t="s">
        <v>38</v>
      </c>
      <c r="B111" s="166">
        <v>5552</v>
      </c>
    </row>
    <row r="112" spans="1:2" x14ac:dyDescent="0.25">
      <c r="A112" s="166" t="s">
        <v>21</v>
      </c>
      <c r="B112" s="166">
        <v>5852</v>
      </c>
    </row>
    <row r="113" spans="1:2" x14ac:dyDescent="0.25">
      <c r="A113" s="166" t="s">
        <v>22</v>
      </c>
      <c r="B113" s="166">
        <v>5853</v>
      </c>
    </row>
    <row r="114" spans="1:2" x14ac:dyDescent="0.25">
      <c r="A114" s="166" t="s">
        <v>23</v>
      </c>
      <c r="B114" s="166">
        <v>5854</v>
      </c>
    </row>
    <row r="115" spans="1:2" x14ac:dyDescent="0.25">
      <c r="A115" s="166" t="s">
        <v>452</v>
      </c>
      <c r="B115" s="166">
        <v>5624</v>
      </c>
    </row>
    <row r="116" spans="1:2" x14ac:dyDescent="0.25">
      <c r="A116" s="166" t="s">
        <v>307</v>
      </c>
      <c r="B116" s="166">
        <v>5625</v>
      </c>
    </row>
    <row r="117" spans="1:2" x14ac:dyDescent="0.25">
      <c r="A117" s="166" t="s">
        <v>208</v>
      </c>
      <c r="B117" s="166">
        <v>5663</v>
      </c>
    </row>
    <row r="118" spans="1:2" x14ac:dyDescent="0.25">
      <c r="A118" s="166" t="s">
        <v>61</v>
      </c>
      <c r="B118" s="166">
        <v>5904</v>
      </c>
    </row>
    <row r="119" spans="1:2" x14ac:dyDescent="0.25">
      <c r="A119" s="166" t="s">
        <v>39</v>
      </c>
      <c r="B119" s="166">
        <v>5553</v>
      </c>
    </row>
    <row r="120" spans="1:2" x14ac:dyDescent="0.25">
      <c r="A120" s="166" t="s">
        <v>392</v>
      </c>
      <c r="B120" s="166">
        <v>5812</v>
      </c>
    </row>
    <row r="121" spans="1:2" x14ac:dyDescent="0.25">
      <c r="A121" s="166" t="s">
        <v>62</v>
      </c>
      <c r="B121" s="166">
        <v>5905</v>
      </c>
    </row>
    <row r="122" spans="1:2" x14ac:dyDescent="0.25">
      <c r="A122" s="166" t="s">
        <v>212</v>
      </c>
      <c r="B122" s="166">
        <v>5882</v>
      </c>
    </row>
    <row r="123" spans="1:2" x14ac:dyDescent="0.25">
      <c r="A123" s="166" t="s">
        <v>17</v>
      </c>
      <c r="B123" s="166">
        <v>5841</v>
      </c>
    </row>
    <row r="124" spans="1:2" x14ac:dyDescent="0.25">
      <c r="A124" s="166" t="s">
        <v>229</v>
      </c>
      <c r="B124" s="166">
        <v>5707</v>
      </c>
    </row>
    <row r="125" spans="1:2" x14ac:dyDescent="0.25">
      <c r="A125" s="166" t="s">
        <v>230</v>
      </c>
      <c r="B125" s="166">
        <v>5708</v>
      </c>
    </row>
    <row r="126" spans="1:2" x14ac:dyDescent="0.25">
      <c r="A126" s="166" t="s">
        <v>63</v>
      </c>
      <c r="B126" s="166">
        <v>5907</v>
      </c>
    </row>
    <row r="127" spans="1:2" x14ac:dyDescent="0.25">
      <c r="A127" s="166" t="s">
        <v>378</v>
      </c>
      <c r="B127" s="166">
        <v>5475</v>
      </c>
    </row>
    <row r="128" spans="1:2" x14ac:dyDescent="0.25">
      <c r="A128" s="166" t="s">
        <v>260</v>
      </c>
      <c r="B128" s="166">
        <v>5627</v>
      </c>
    </row>
    <row r="129" spans="1:2" x14ac:dyDescent="0.25">
      <c r="A129" s="166" t="s">
        <v>102</v>
      </c>
      <c r="B129" s="166">
        <v>5665</v>
      </c>
    </row>
    <row r="130" spans="1:2" x14ac:dyDescent="0.25">
      <c r="A130" s="166" t="s">
        <v>276</v>
      </c>
      <c r="B130" s="166">
        <v>5749</v>
      </c>
    </row>
    <row r="131" spans="1:2" x14ac:dyDescent="0.25">
      <c r="A131" s="166" t="s">
        <v>64</v>
      </c>
      <c r="B131" s="166">
        <v>5908</v>
      </c>
    </row>
    <row r="132" spans="1:2" x14ac:dyDescent="0.25">
      <c r="A132" s="166" t="s">
        <v>65</v>
      </c>
      <c r="B132" s="166">
        <v>5909</v>
      </c>
    </row>
    <row r="133" spans="1:2" x14ac:dyDescent="0.25">
      <c r="A133" s="166" t="s">
        <v>395</v>
      </c>
      <c r="B133" s="166">
        <v>5582</v>
      </c>
    </row>
    <row r="134" spans="1:2" x14ac:dyDescent="0.25">
      <c r="A134" s="166" t="s">
        <v>231</v>
      </c>
      <c r="B134" s="166">
        <v>5709</v>
      </c>
    </row>
    <row r="135" spans="1:2" x14ac:dyDescent="0.25">
      <c r="A135" s="166" t="s">
        <v>117</v>
      </c>
      <c r="B135" s="166">
        <v>5403</v>
      </c>
    </row>
    <row r="136" spans="1:2" x14ac:dyDescent="0.25">
      <c r="A136" s="166" t="s">
        <v>379</v>
      </c>
      <c r="B136" s="166">
        <v>5476</v>
      </c>
    </row>
    <row r="137" spans="1:2" x14ac:dyDescent="0.25">
      <c r="A137" s="166" t="s">
        <v>393</v>
      </c>
      <c r="B137" s="166">
        <v>5813</v>
      </c>
    </row>
    <row r="138" spans="1:2" x14ac:dyDescent="0.25">
      <c r="A138" s="166" t="s">
        <v>304</v>
      </c>
      <c r="B138" s="166">
        <v>5601</v>
      </c>
    </row>
    <row r="139" spans="1:2" x14ac:dyDescent="0.25">
      <c r="A139" s="166" t="s">
        <v>261</v>
      </c>
      <c r="B139" s="166">
        <v>5628</v>
      </c>
    </row>
    <row r="140" spans="1:2" x14ac:dyDescent="0.25">
      <c r="A140" s="166" t="s">
        <v>156</v>
      </c>
      <c r="B140" s="166">
        <v>5629</v>
      </c>
    </row>
    <row r="141" spans="1:2" x14ac:dyDescent="0.25">
      <c r="A141" s="166" t="s">
        <v>232</v>
      </c>
      <c r="B141" s="166">
        <v>5710</v>
      </c>
    </row>
    <row r="142" spans="1:2" x14ac:dyDescent="0.25">
      <c r="A142" s="166" t="s">
        <v>233</v>
      </c>
      <c r="B142" s="166">
        <v>5711</v>
      </c>
    </row>
    <row r="143" spans="1:2" x14ac:dyDescent="0.25">
      <c r="A143" s="166" t="s">
        <v>40</v>
      </c>
      <c r="B143" s="166">
        <v>5554</v>
      </c>
    </row>
    <row r="144" spans="1:2" x14ac:dyDescent="0.25">
      <c r="A144" s="166" t="s">
        <v>234</v>
      </c>
      <c r="B144" s="166">
        <v>5712</v>
      </c>
    </row>
    <row r="145" spans="1:2" x14ac:dyDescent="0.25">
      <c r="A145" s="166" t="s">
        <v>118</v>
      </c>
      <c r="B145" s="166">
        <v>5404</v>
      </c>
    </row>
    <row r="146" spans="1:2" x14ac:dyDescent="0.25">
      <c r="A146" s="166" t="s">
        <v>284</v>
      </c>
      <c r="B146" s="166">
        <v>5785</v>
      </c>
    </row>
    <row r="147" spans="1:2" x14ac:dyDescent="0.25">
      <c r="A147" s="166" t="s">
        <v>41</v>
      </c>
      <c r="B147" s="166">
        <v>5555</v>
      </c>
    </row>
    <row r="148" spans="1:2" x14ac:dyDescent="0.25">
      <c r="A148" s="166" t="s">
        <v>10</v>
      </c>
      <c r="B148" s="166">
        <v>5816</v>
      </c>
    </row>
    <row r="149" spans="1:2" x14ac:dyDescent="0.25">
      <c r="A149" s="166" t="s">
        <v>213</v>
      </c>
      <c r="B149" s="166">
        <v>5883</v>
      </c>
    </row>
    <row r="150" spans="1:2" x14ac:dyDescent="0.25">
      <c r="A150" s="166" t="s">
        <v>53</v>
      </c>
      <c r="B150" s="166">
        <v>5884</v>
      </c>
    </row>
    <row r="151" spans="1:2" x14ac:dyDescent="0.25">
      <c r="A151" s="166" t="s">
        <v>380</v>
      </c>
      <c r="B151" s="166">
        <v>5477</v>
      </c>
    </row>
    <row r="152" spans="1:2" x14ac:dyDescent="0.25">
      <c r="A152" s="166" t="s">
        <v>246</v>
      </c>
      <c r="B152" s="166">
        <v>5478</v>
      </c>
    </row>
    <row r="153" spans="1:2" x14ac:dyDescent="0.25">
      <c r="A153" s="166" t="s">
        <v>235</v>
      </c>
      <c r="B153" s="166">
        <v>5713</v>
      </c>
    </row>
    <row r="154" spans="1:2" x14ac:dyDescent="0.25">
      <c r="A154" s="166" t="s">
        <v>236</v>
      </c>
      <c r="B154" s="166">
        <v>5714</v>
      </c>
    </row>
    <row r="155" spans="1:2" x14ac:dyDescent="0.25">
      <c r="A155" s="166" t="s">
        <v>396</v>
      </c>
      <c r="B155" s="166">
        <v>5583</v>
      </c>
    </row>
    <row r="156" spans="1:2" x14ac:dyDescent="0.25">
      <c r="A156" s="166" t="s">
        <v>66</v>
      </c>
      <c r="B156" s="166">
        <v>5910</v>
      </c>
    </row>
    <row r="157" spans="1:2" x14ac:dyDescent="0.25">
      <c r="A157" s="166" t="s">
        <v>338</v>
      </c>
      <c r="B157" s="166">
        <v>5752</v>
      </c>
    </row>
    <row r="158" spans="1:2" x14ac:dyDescent="0.25">
      <c r="A158" s="166" t="s">
        <v>247</v>
      </c>
      <c r="B158" s="166">
        <v>5479</v>
      </c>
    </row>
    <row r="159" spans="1:2" x14ac:dyDescent="0.25">
      <c r="A159" s="166" t="s">
        <v>67</v>
      </c>
      <c r="B159" s="166">
        <v>5911</v>
      </c>
    </row>
    <row r="160" spans="1:2" x14ac:dyDescent="0.25">
      <c r="A160" s="166" t="s">
        <v>354</v>
      </c>
      <c r="B160" s="166">
        <v>5456</v>
      </c>
    </row>
    <row r="161" spans="1:2" x14ac:dyDescent="0.25">
      <c r="A161" s="166" t="s">
        <v>186</v>
      </c>
      <c r="B161" s="166">
        <v>5516</v>
      </c>
    </row>
    <row r="162" spans="1:2" x14ac:dyDescent="0.25">
      <c r="A162" s="166" t="s">
        <v>103</v>
      </c>
      <c r="B162" s="166">
        <v>5669</v>
      </c>
    </row>
    <row r="163" spans="1:2" x14ac:dyDescent="0.25">
      <c r="A163" s="166" t="s">
        <v>248</v>
      </c>
      <c r="B163" s="166">
        <v>5480</v>
      </c>
    </row>
    <row r="164" spans="1:2" x14ac:dyDescent="0.25">
      <c r="A164" s="166" t="s">
        <v>68</v>
      </c>
      <c r="B164" s="166">
        <v>5912</v>
      </c>
    </row>
    <row r="165" spans="1:2" x14ac:dyDescent="0.25">
      <c r="A165" s="166" t="s">
        <v>157</v>
      </c>
      <c r="B165" s="166">
        <v>5631</v>
      </c>
    </row>
    <row r="166" spans="1:2" x14ac:dyDescent="0.25">
      <c r="A166" s="166" t="s">
        <v>158</v>
      </c>
      <c r="B166" s="166">
        <v>5632</v>
      </c>
    </row>
    <row r="167" spans="1:2" x14ac:dyDescent="0.25">
      <c r="A167" s="166" t="s">
        <v>249</v>
      </c>
      <c r="B167" s="166">
        <v>5481</v>
      </c>
    </row>
    <row r="168" spans="1:2" x14ac:dyDescent="0.25">
      <c r="A168" s="166" t="s">
        <v>104</v>
      </c>
      <c r="B168" s="166">
        <v>5671</v>
      </c>
    </row>
    <row r="169" spans="1:2" x14ac:dyDescent="0.25">
      <c r="A169" s="166" t="s">
        <v>69</v>
      </c>
      <c r="B169" s="166">
        <v>5913</v>
      </c>
    </row>
    <row r="170" spans="1:2" x14ac:dyDescent="0.25">
      <c r="A170" s="166" t="s">
        <v>237</v>
      </c>
      <c r="B170" s="166">
        <v>5715</v>
      </c>
    </row>
    <row r="171" spans="1:2" x14ac:dyDescent="0.25">
      <c r="A171" s="166" t="s">
        <v>24</v>
      </c>
      <c r="B171" s="166">
        <v>5855</v>
      </c>
    </row>
    <row r="172" spans="1:2" x14ac:dyDescent="0.25">
      <c r="A172" s="166" t="s">
        <v>187</v>
      </c>
      <c r="B172" s="166">
        <v>5518</v>
      </c>
    </row>
    <row r="173" spans="1:2" x14ac:dyDescent="0.25">
      <c r="A173" s="166" t="s">
        <v>159</v>
      </c>
      <c r="B173" s="166">
        <v>5633</v>
      </c>
    </row>
    <row r="174" spans="1:2" x14ac:dyDescent="0.25">
      <c r="A174" s="166" t="s">
        <v>160</v>
      </c>
      <c r="B174" s="166">
        <v>5634</v>
      </c>
    </row>
    <row r="175" spans="1:2" x14ac:dyDescent="0.25">
      <c r="A175" s="166" t="s">
        <v>250</v>
      </c>
      <c r="B175" s="166">
        <v>5482</v>
      </c>
    </row>
    <row r="176" spans="1:2" x14ac:dyDescent="0.25">
      <c r="A176" s="166" t="s">
        <v>161</v>
      </c>
      <c r="B176" s="166">
        <v>5635</v>
      </c>
    </row>
    <row r="177" spans="1:2" x14ac:dyDescent="0.25">
      <c r="A177" s="166" t="s">
        <v>397</v>
      </c>
      <c r="B177" s="166">
        <v>5584</v>
      </c>
    </row>
    <row r="178" spans="1:2" x14ac:dyDescent="0.25">
      <c r="A178" s="166" t="s">
        <v>70</v>
      </c>
      <c r="B178" s="166">
        <v>5914</v>
      </c>
    </row>
    <row r="179" spans="1:2" x14ac:dyDescent="0.25">
      <c r="A179" s="166" t="s">
        <v>285</v>
      </c>
      <c r="B179" s="166">
        <v>5788</v>
      </c>
    </row>
    <row r="180" spans="1:2" x14ac:dyDescent="0.25">
      <c r="A180" s="166" t="s">
        <v>25</v>
      </c>
      <c r="B180" s="166">
        <v>5856</v>
      </c>
    </row>
    <row r="181" spans="1:2" x14ac:dyDescent="0.25">
      <c r="A181" s="166" t="s">
        <v>188</v>
      </c>
      <c r="B181" s="166">
        <v>5520</v>
      </c>
    </row>
    <row r="182" spans="1:2" x14ac:dyDescent="0.25">
      <c r="A182" s="166" t="s">
        <v>189</v>
      </c>
      <c r="B182" s="166">
        <v>5521</v>
      </c>
    </row>
    <row r="183" spans="1:2" x14ac:dyDescent="0.25">
      <c r="A183" s="166" t="s">
        <v>162</v>
      </c>
      <c r="B183" s="166">
        <v>5636</v>
      </c>
    </row>
    <row r="184" spans="1:2" x14ac:dyDescent="0.25">
      <c r="A184" s="166" t="s">
        <v>238</v>
      </c>
      <c r="B184" s="166">
        <v>5716</v>
      </c>
    </row>
    <row r="185" spans="1:2" x14ac:dyDescent="0.25">
      <c r="A185" s="166" t="s">
        <v>355</v>
      </c>
      <c r="B185" s="166">
        <v>5458</v>
      </c>
    </row>
    <row r="186" spans="1:2" x14ac:dyDescent="0.25">
      <c r="A186" s="166" t="s">
        <v>348</v>
      </c>
      <c r="B186" s="166">
        <v>5427</v>
      </c>
    </row>
    <row r="187" spans="1:2" x14ac:dyDescent="0.25">
      <c r="A187" s="166" t="s">
        <v>145</v>
      </c>
      <c r="B187" s="166">
        <v>5483</v>
      </c>
    </row>
    <row r="188" spans="1:2" x14ac:dyDescent="0.25">
      <c r="A188" s="166" t="s">
        <v>190</v>
      </c>
      <c r="B188" s="166">
        <v>5522</v>
      </c>
    </row>
    <row r="189" spans="1:2" x14ac:dyDescent="0.25">
      <c r="A189" s="166" t="s">
        <v>42</v>
      </c>
      <c r="B189" s="166">
        <v>5556</v>
      </c>
    </row>
    <row r="190" spans="1:2" x14ac:dyDescent="0.25">
      <c r="A190" s="166" t="s">
        <v>43</v>
      </c>
      <c r="B190" s="166">
        <v>5557</v>
      </c>
    </row>
    <row r="191" spans="1:2" x14ac:dyDescent="0.25">
      <c r="A191" s="166" t="s">
        <v>148</v>
      </c>
      <c r="B191" s="166">
        <v>5604</v>
      </c>
    </row>
    <row r="192" spans="1:2" x14ac:dyDescent="0.25">
      <c r="A192" s="166" t="s">
        <v>239</v>
      </c>
      <c r="B192" s="166">
        <v>5717</v>
      </c>
    </row>
    <row r="193" spans="1:2" x14ac:dyDescent="0.25">
      <c r="A193" s="166" t="s">
        <v>191</v>
      </c>
      <c r="B193" s="166">
        <v>5523</v>
      </c>
    </row>
    <row r="194" spans="1:2" x14ac:dyDescent="0.25">
      <c r="A194" s="166" t="s">
        <v>240</v>
      </c>
      <c r="B194" s="166">
        <v>5718</v>
      </c>
    </row>
    <row r="195" spans="1:2" x14ac:dyDescent="0.25">
      <c r="A195" s="166" t="s">
        <v>44</v>
      </c>
      <c r="B195" s="166">
        <v>5559</v>
      </c>
    </row>
    <row r="196" spans="1:2" x14ac:dyDescent="0.25">
      <c r="A196" s="166" t="s">
        <v>26</v>
      </c>
      <c r="B196" s="166">
        <v>5857</v>
      </c>
    </row>
    <row r="197" spans="1:2" x14ac:dyDescent="0.25">
      <c r="A197" s="166" t="s">
        <v>349</v>
      </c>
      <c r="B197" s="166">
        <v>5428</v>
      </c>
    </row>
    <row r="198" spans="1:2" x14ac:dyDescent="0.25">
      <c r="A198" s="166" t="s">
        <v>241</v>
      </c>
      <c r="B198" s="166">
        <v>5719</v>
      </c>
    </row>
    <row r="199" spans="1:2" x14ac:dyDescent="0.25">
      <c r="A199" s="166" t="s">
        <v>242</v>
      </c>
      <c r="B199" s="166">
        <v>5720</v>
      </c>
    </row>
    <row r="200" spans="1:2" x14ac:dyDescent="0.25">
      <c r="A200" s="166" t="s">
        <v>243</v>
      </c>
      <c r="B200" s="166">
        <v>5721</v>
      </c>
    </row>
    <row r="201" spans="1:2" x14ac:dyDescent="0.25">
      <c r="A201" s="166" t="s">
        <v>146</v>
      </c>
      <c r="B201" s="166">
        <v>5484</v>
      </c>
    </row>
    <row r="202" spans="1:2" x14ac:dyDescent="0.25">
      <c r="A202" s="166" t="s">
        <v>440</v>
      </c>
      <c r="B202" s="166">
        <v>5541</v>
      </c>
    </row>
    <row r="203" spans="1:2" x14ac:dyDescent="0.25">
      <c r="A203" s="166" t="s">
        <v>147</v>
      </c>
      <c r="B203" s="166">
        <v>5485</v>
      </c>
    </row>
    <row r="204" spans="1:2" x14ac:dyDescent="0.25">
      <c r="A204" s="166" t="s">
        <v>11</v>
      </c>
      <c r="B204" s="166">
        <v>5817</v>
      </c>
    </row>
    <row r="205" spans="1:2" x14ac:dyDescent="0.25">
      <c r="A205" s="166" t="s">
        <v>45</v>
      </c>
      <c r="B205" s="166">
        <v>5560</v>
      </c>
    </row>
    <row r="206" spans="1:2" x14ac:dyDescent="0.25">
      <c r="A206" s="166" t="s">
        <v>46</v>
      </c>
      <c r="B206" s="166">
        <v>5561</v>
      </c>
    </row>
    <row r="207" spans="1:2" x14ac:dyDescent="0.25">
      <c r="A207" s="166" t="s">
        <v>244</v>
      </c>
      <c r="B207" s="166">
        <v>5722</v>
      </c>
    </row>
    <row r="208" spans="1:2" x14ac:dyDescent="0.25">
      <c r="A208" s="166" t="s">
        <v>119</v>
      </c>
      <c r="B208" s="166">
        <v>5405</v>
      </c>
    </row>
    <row r="209" spans="1:2" x14ac:dyDescent="0.25">
      <c r="A209" s="166" t="s">
        <v>12</v>
      </c>
      <c r="B209" s="166">
        <v>5819</v>
      </c>
    </row>
    <row r="210" spans="1:2" x14ac:dyDescent="0.25">
      <c r="A210" s="166" t="s">
        <v>105</v>
      </c>
      <c r="B210" s="166">
        <v>5673</v>
      </c>
    </row>
    <row r="211" spans="1:2" x14ac:dyDescent="0.25">
      <c r="A211" s="166" t="s">
        <v>54</v>
      </c>
      <c r="B211" s="166">
        <v>5885</v>
      </c>
    </row>
    <row r="212" spans="1:2" x14ac:dyDescent="0.25">
      <c r="A212" s="166" t="s">
        <v>442</v>
      </c>
      <c r="B212" s="166">
        <v>5804</v>
      </c>
    </row>
    <row r="213" spans="1:2" x14ac:dyDescent="0.25">
      <c r="A213" s="166" t="s">
        <v>546</v>
      </c>
      <c r="B213" s="166">
        <v>5806</v>
      </c>
    </row>
    <row r="214" spans="1:2" x14ac:dyDescent="0.25">
      <c r="A214" s="166" t="s">
        <v>398</v>
      </c>
      <c r="B214" s="166">
        <v>5585</v>
      </c>
    </row>
    <row r="215" spans="1:2" x14ac:dyDescent="0.25">
      <c r="A215" s="166" t="s">
        <v>339</v>
      </c>
      <c r="B215" s="166">
        <v>5754</v>
      </c>
    </row>
    <row r="216" spans="1:2" x14ac:dyDescent="0.25">
      <c r="A216" s="166" t="s">
        <v>215</v>
      </c>
      <c r="B216" s="166">
        <v>5474</v>
      </c>
    </row>
    <row r="217" spans="1:2" x14ac:dyDescent="0.25">
      <c r="A217" s="166" t="s">
        <v>222</v>
      </c>
      <c r="B217" s="166">
        <v>5758</v>
      </c>
    </row>
    <row r="218" spans="1:2" x14ac:dyDescent="0.25">
      <c r="A218" s="166" t="s">
        <v>325</v>
      </c>
      <c r="B218" s="166">
        <v>5726</v>
      </c>
    </row>
    <row r="219" spans="1:2" x14ac:dyDescent="0.25">
      <c r="A219" s="166" t="s">
        <v>176</v>
      </c>
      <c r="B219" s="166">
        <v>5498</v>
      </c>
    </row>
    <row r="220" spans="1:2" x14ac:dyDescent="0.25">
      <c r="A220" s="166" t="s">
        <v>56</v>
      </c>
      <c r="B220" s="166">
        <v>5889</v>
      </c>
    </row>
    <row r="221" spans="1:2" x14ac:dyDescent="0.25">
      <c r="A221" s="166" t="s">
        <v>33</v>
      </c>
      <c r="B221" s="166">
        <v>5871</v>
      </c>
    </row>
    <row r="222" spans="1:2" x14ac:dyDescent="0.25">
      <c r="A222" s="166" t="s">
        <v>332</v>
      </c>
      <c r="B222" s="166">
        <v>5741</v>
      </c>
    </row>
    <row r="223" spans="1:2" x14ac:dyDescent="0.25">
      <c r="A223" s="166" t="s">
        <v>125</v>
      </c>
      <c r="B223" s="166">
        <v>5586</v>
      </c>
    </row>
    <row r="224" spans="1:2" x14ac:dyDescent="0.25">
      <c r="A224" s="166" t="s">
        <v>120</v>
      </c>
      <c r="B224" s="166">
        <v>5406</v>
      </c>
    </row>
    <row r="225" spans="1:2" x14ac:dyDescent="0.25">
      <c r="A225" s="166" t="s">
        <v>163</v>
      </c>
      <c r="B225" s="166">
        <v>5637</v>
      </c>
    </row>
    <row r="226" spans="1:2" x14ac:dyDescent="0.25">
      <c r="A226" s="166" t="s">
        <v>209</v>
      </c>
      <c r="B226" s="166">
        <v>5872</v>
      </c>
    </row>
    <row r="227" spans="1:2" x14ac:dyDescent="0.25">
      <c r="A227" s="166" t="s">
        <v>210</v>
      </c>
      <c r="B227" s="166">
        <v>5873</v>
      </c>
    </row>
    <row r="228" spans="1:2" x14ac:dyDescent="0.25">
      <c r="A228" s="166" t="s">
        <v>126</v>
      </c>
      <c r="B228" s="166">
        <v>5587</v>
      </c>
    </row>
    <row r="229" spans="1:2" x14ac:dyDescent="0.25">
      <c r="A229" s="166" t="s">
        <v>330</v>
      </c>
      <c r="B229" s="166">
        <v>5731</v>
      </c>
    </row>
    <row r="230" spans="1:2" x14ac:dyDescent="0.25">
      <c r="A230" s="166" t="s">
        <v>277</v>
      </c>
      <c r="B230" s="166">
        <v>5750</v>
      </c>
    </row>
    <row r="231" spans="1:2" x14ac:dyDescent="0.25">
      <c r="A231" s="166" t="s">
        <v>121</v>
      </c>
      <c r="B231" s="166">
        <v>5407</v>
      </c>
    </row>
    <row r="232" spans="1:2" x14ac:dyDescent="0.25">
      <c r="A232" s="166" t="s">
        <v>340</v>
      </c>
      <c r="B232" s="166">
        <v>5755</v>
      </c>
    </row>
    <row r="233" spans="1:2" x14ac:dyDescent="0.25">
      <c r="A233" s="166" t="s">
        <v>5</v>
      </c>
      <c r="B233" s="166">
        <v>5486</v>
      </c>
    </row>
    <row r="234" spans="1:2" x14ac:dyDescent="0.25">
      <c r="A234" s="166" t="s">
        <v>164</v>
      </c>
      <c r="B234" s="166">
        <v>5638</v>
      </c>
    </row>
    <row r="235" spans="1:2" x14ac:dyDescent="0.25">
      <c r="A235" s="166" t="s">
        <v>368</v>
      </c>
      <c r="B235" s="166">
        <v>5429</v>
      </c>
    </row>
    <row r="236" spans="1:2" x14ac:dyDescent="0.25">
      <c r="A236" s="166" t="s">
        <v>106</v>
      </c>
      <c r="B236" s="166">
        <v>5674</v>
      </c>
    </row>
    <row r="237" spans="1:2" x14ac:dyDescent="0.25">
      <c r="A237" s="166" t="s">
        <v>107</v>
      </c>
      <c r="B237" s="166">
        <v>5675</v>
      </c>
    </row>
    <row r="238" spans="1:2" x14ac:dyDescent="0.25">
      <c r="A238" s="166" t="s">
        <v>27</v>
      </c>
      <c r="B238" s="166">
        <v>5858</v>
      </c>
    </row>
    <row r="239" spans="1:2" x14ac:dyDescent="0.25">
      <c r="A239" s="166" t="s">
        <v>165</v>
      </c>
      <c r="B239" s="166">
        <v>5639</v>
      </c>
    </row>
    <row r="240" spans="1:2" x14ac:dyDescent="0.25">
      <c r="A240" s="166" t="s">
        <v>6</v>
      </c>
      <c r="B240" s="166">
        <v>5487</v>
      </c>
    </row>
    <row r="241" spans="1:2" x14ac:dyDescent="0.25">
      <c r="A241" s="166" t="s">
        <v>166</v>
      </c>
      <c r="B241" s="166">
        <v>5640</v>
      </c>
    </row>
    <row r="242" spans="1:2" x14ac:dyDescent="0.25">
      <c r="A242" s="166" t="s">
        <v>149</v>
      </c>
      <c r="B242" s="166">
        <v>5606</v>
      </c>
    </row>
    <row r="243" spans="1:2" x14ac:dyDescent="0.25">
      <c r="A243" s="166" t="s">
        <v>286</v>
      </c>
      <c r="B243" s="166">
        <v>5790</v>
      </c>
    </row>
    <row r="244" spans="1:2" x14ac:dyDescent="0.25">
      <c r="A244" s="166" t="s">
        <v>369</v>
      </c>
      <c r="B244" s="166">
        <v>5430</v>
      </c>
    </row>
    <row r="245" spans="1:2" x14ac:dyDescent="0.25">
      <c r="A245" s="166" t="s">
        <v>399</v>
      </c>
      <c r="B245" s="166">
        <v>5919</v>
      </c>
    </row>
    <row r="246" spans="1:2" x14ac:dyDescent="0.25">
      <c r="A246" s="166" t="s">
        <v>47</v>
      </c>
      <c r="B246" s="166">
        <v>5562</v>
      </c>
    </row>
    <row r="247" spans="1:2" x14ac:dyDescent="0.25">
      <c r="A247" s="166" t="s">
        <v>7</v>
      </c>
      <c r="B247" s="166">
        <v>5488</v>
      </c>
    </row>
    <row r="248" spans="1:2" x14ac:dyDescent="0.25">
      <c r="A248" s="166" t="s">
        <v>8</v>
      </c>
      <c r="B248" s="166">
        <v>5489</v>
      </c>
    </row>
    <row r="249" spans="1:2" x14ac:dyDescent="0.25">
      <c r="A249" s="166" t="s">
        <v>245</v>
      </c>
      <c r="B249" s="166">
        <v>5723</v>
      </c>
    </row>
    <row r="250" spans="1:2" x14ac:dyDescent="0.25">
      <c r="A250" s="166" t="s">
        <v>13</v>
      </c>
      <c r="B250" s="166">
        <v>5821</v>
      </c>
    </row>
    <row r="251" spans="1:2" x14ac:dyDescent="0.25">
      <c r="A251" s="166" t="s">
        <v>9</v>
      </c>
      <c r="B251" s="166">
        <v>5490</v>
      </c>
    </row>
    <row r="252" spans="1:2" x14ac:dyDescent="0.25">
      <c r="A252" s="166" t="s">
        <v>370</v>
      </c>
      <c r="B252" s="166">
        <v>5431</v>
      </c>
    </row>
    <row r="253" spans="1:2" x14ac:dyDescent="0.25">
      <c r="A253" s="166" t="s">
        <v>400</v>
      </c>
      <c r="B253" s="166">
        <v>5921</v>
      </c>
    </row>
    <row r="254" spans="1:2" x14ac:dyDescent="0.25">
      <c r="A254" s="166" t="s">
        <v>278</v>
      </c>
      <c r="B254" s="166">
        <v>5922</v>
      </c>
    </row>
    <row r="255" spans="1:2" x14ac:dyDescent="0.25">
      <c r="A255" s="166" t="s">
        <v>454</v>
      </c>
      <c r="B255" s="166">
        <v>5693</v>
      </c>
    </row>
    <row r="256" spans="1:2" x14ac:dyDescent="0.25">
      <c r="A256" s="166" t="s">
        <v>341</v>
      </c>
      <c r="B256" s="166">
        <v>5756</v>
      </c>
    </row>
    <row r="257" spans="1:2" x14ac:dyDescent="0.25">
      <c r="A257" s="166" t="s">
        <v>371</v>
      </c>
      <c r="B257" s="166">
        <v>5432</v>
      </c>
    </row>
    <row r="258" spans="1:2" x14ac:dyDescent="0.25">
      <c r="A258" s="166" t="s">
        <v>441</v>
      </c>
      <c r="B258" s="166">
        <v>5540</v>
      </c>
    </row>
    <row r="259" spans="1:2" x14ac:dyDescent="0.25">
      <c r="A259" s="166" t="s">
        <v>169</v>
      </c>
      <c r="B259" s="166">
        <v>5491</v>
      </c>
    </row>
    <row r="260" spans="1:2" x14ac:dyDescent="0.25">
      <c r="A260" s="166" t="s">
        <v>287</v>
      </c>
      <c r="B260" s="166">
        <v>5792</v>
      </c>
    </row>
    <row r="261" spans="1:2" x14ac:dyDescent="0.25">
      <c r="A261" s="166" t="s">
        <v>55</v>
      </c>
      <c r="B261" s="166">
        <v>5886</v>
      </c>
    </row>
    <row r="262" spans="1:2" x14ac:dyDescent="0.25">
      <c r="A262" s="166" t="s">
        <v>170</v>
      </c>
      <c r="B262" s="166">
        <v>5492</v>
      </c>
    </row>
    <row r="263" spans="1:2" x14ac:dyDescent="0.25">
      <c r="A263" s="166" t="s">
        <v>28</v>
      </c>
      <c r="B263" s="166">
        <v>5859</v>
      </c>
    </row>
    <row r="264" spans="1:2" x14ac:dyDescent="0.25">
      <c r="A264" s="166" t="s">
        <v>167</v>
      </c>
      <c r="B264" s="166">
        <v>5642</v>
      </c>
    </row>
    <row r="265" spans="1:2" x14ac:dyDescent="0.25">
      <c r="A265" s="166" t="s">
        <v>192</v>
      </c>
      <c r="B265" s="166">
        <v>5527</v>
      </c>
    </row>
    <row r="266" spans="1:2" x14ac:dyDescent="0.25">
      <c r="A266" s="166" t="s">
        <v>108</v>
      </c>
      <c r="B266" s="166">
        <v>5678</v>
      </c>
    </row>
    <row r="267" spans="1:2" x14ac:dyDescent="0.25">
      <c r="A267" s="166" t="s">
        <v>290</v>
      </c>
      <c r="B267" s="166">
        <v>5563</v>
      </c>
    </row>
    <row r="268" spans="1:2" x14ac:dyDescent="0.25">
      <c r="A268" s="166" t="s">
        <v>291</v>
      </c>
      <c r="B268" s="166">
        <v>5564</v>
      </c>
    </row>
    <row r="269" spans="1:2" x14ac:dyDescent="0.25">
      <c r="A269" s="166" t="s">
        <v>122</v>
      </c>
      <c r="B269" s="166">
        <v>5408</v>
      </c>
    </row>
    <row r="270" spans="1:2" x14ac:dyDescent="0.25">
      <c r="A270" s="166" t="s">
        <v>74</v>
      </c>
      <c r="B270" s="166">
        <v>5724</v>
      </c>
    </row>
    <row r="271" spans="1:2" x14ac:dyDescent="0.25">
      <c r="A271" s="166" t="s">
        <v>109</v>
      </c>
      <c r="B271" s="166">
        <v>5680</v>
      </c>
    </row>
    <row r="272" spans="1:2" x14ac:dyDescent="0.25">
      <c r="A272" s="166" t="s">
        <v>123</v>
      </c>
      <c r="B272" s="166">
        <v>5409</v>
      </c>
    </row>
    <row r="273" spans="1:2" x14ac:dyDescent="0.25">
      <c r="A273" s="166" t="s">
        <v>292</v>
      </c>
      <c r="B273" s="166">
        <v>5565</v>
      </c>
    </row>
    <row r="274" spans="1:2" x14ac:dyDescent="0.25">
      <c r="A274" s="166" t="s">
        <v>279</v>
      </c>
      <c r="B274" s="166">
        <v>5923</v>
      </c>
    </row>
    <row r="275" spans="1:2" x14ac:dyDescent="0.25">
      <c r="A275" s="166" t="s">
        <v>342</v>
      </c>
      <c r="B275" s="166">
        <v>5757</v>
      </c>
    </row>
    <row r="276" spans="1:2" x14ac:dyDescent="0.25">
      <c r="A276" s="166" t="s">
        <v>280</v>
      </c>
      <c r="B276" s="166">
        <v>5924</v>
      </c>
    </row>
    <row r="277" spans="1:2" x14ac:dyDescent="0.25">
      <c r="A277" s="166" t="s">
        <v>135</v>
      </c>
      <c r="B277" s="166">
        <v>5410</v>
      </c>
    </row>
    <row r="278" spans="1:2" x14ac:dyDescent="0.25">
      <c r="A278" s="166" t="s">
        <v>136</v>
      </c>
      <c r="B278" s="166">
        <v>5411</v>
      </c>
    </row>
    <row r="279" spans="1:2" x14ac:dyDescent="0.25">
      <c r="A279" s="166" t="s">
        <v>171</v>
      </c>
      <c r="B279" s="166">
        <v>5493</v>
      </c>
    </row>
    <row r="280" spans="1:2" x14ac:dyDescent="0.25">
      <c r="A280" s="166" t="s">
        <v>444</v>
      </c>
      <c r="B280" s="166">
        <v>5805</v>
      </c>
    </row>
    <row r="281" spans="1:2" x14ac:dyDescent="0.25">
      <c r="A281" s="166" t="s">
        <v>404</v>
      </c>
      <c r="B281" s="166">
        <v>5925</v>
      </c>
    </row>
    <row r="282" spans="1:2" x14ac:dyDescent="0.25">
      <c r="A282" s="166" t="s">
        <v>193</v>
      </c>
      <c r="B282" s="166">
        <v>5529</v>
      </c>
    </row>
    <row r="283" spans="1:2" x14ac:dyDescent="0.25">
      <c r="A283" s="166" t="s">
        <v>194</v>
      </c>
      <c r="B283" s="166">
        <v>5530</v>
      </c>
    </row>
    <row r="284" spans="1:2" x14ac:dyDescent="0.25">
      <c r="A284" s="166" t="s">
        <v>172</v>
      </c>
      <c r="B284" s="166">
        <v>5494</v>
      </c>
    </row>
    <row r="285" spans="1:2" x14ac:dyDescent="0.25">
      <c r="A285" s="166" t="s">
        <v>127</v>
      </c>
      <c r="B285" s="166">
        <v>5588</v>
      </c>
    </row>
    <row r="286" spans="1:2" x14ac:dyDescent="0.25">
      <c r="A286" s="166" t="s">
        <v>14</v>
      </c>
      <c r="B286" s="166">
        <v>5822</v>
      </c>
    </row>
    <row r="287" spans="1:2" x14ac:dyDescent="0.25">
      <c r="A287" s="166" t="s">
        <v>173</v>
      </c>
      <c r="B287" s="166">
        <v>5495</v>
      </c>
    </row>
    <row r="288" spans="1:2" x14ac:dyDescent="0.25">
      <c r="A288" s="166" t="s">
        <v>174</v>
      </c>
      <c r="B288" s="166">
        <v>5496</v>
      </c>
    </row>
    <row r="289" spans="1:2" x14ac:dyDescent="0.25">
      <c r="A289" s="166" t="s">
        <v>195</v>
      </c>
      <c r="B289" s="166">
        <v>5531</v>
      </c>
    </row>
    <row r="290" spans="1:2" x14ac:dyDescent="0.25">
      <c r="A290" s="166" t="s">
        <v>29</v>
      </c>
      <c r="B290" s="166">
        <v>5860</v>
      </c>
    </row>
    <row r="291" spans="1:2" x14ac:dyDescent="0.25">
      <c r="A291" s="166" t="s">
        <v>196</v>
      </c>
      <c r="B291" s="166">
        <v>5533</v>
      </c>
    </row>
    <row r="292" spans="1:2" x14ac:dyDescent="0.25">
      <c r="A292" s="166" t="s">
        <v>175</v>
      </c>
      <c r="B292" s="166">
        <v>5497</v>
      </c>
    </row>
    <row r="293" spans="1:2" x14ac:dyDescent="0.25">
      <c r="A293" s="166" t="s">
        <v>405</v>
      </c>
      <c r="B293" s="166">
        <v>5926</v>
      </c>
    </row>
    <row r="294" spans="1:2" x14ac:dyDescent="0.25">
      <c r="A294" s="166" t="s">
        <v>75</v>
      </c>
      <c r="B294" s="166">
        <v>5725</v>
      </c>
    </row>
    <row r="295" spans="1:2" x14ac:dyDescent="0.25">
      <c r="A295" s="166" t="s">
        <v>223</v>
      </c>
      <c r="B295" s="166">
        <v>5759</v>
      </c>
    </row>
    <row r="296" spans="1:2" x14ac:dyDescent="0.25">
      <c r="A296" s="166" t="s">
        <v>168</v>
      </c>
      <c r="B296" s="166">
        <v>5643</v>
      </c>
    </row>
    <row r="297" spans="1:2" x14ac:dyDescent="0.25">
      <c r="A297" s="166" t="s">
        <v>110</v>
      </c>
      <c r="B297" s="166">
        <v>5683</v>
      </c>
    </row>
    <row r="298" spans="1:2" x14ac:dyDescent="0.25">
      <c r="A298" s="166" t="s">
        <v>128</v>
      </c>
      <c r="B298" s="166">
        <v>5589</v>
      </c>
    </row>
    <row r="299" spans="1:2" x14ac:dyDescent="0.25">
      <c r="A299" s="166" t="s">
        <v>293</v>
      </c>
      <c r="B299" s="166">
        <v>5566</v>
      </c>
    </row>
    <row r="300" spans="1:2" x14ac:dyDescent="0.25">
      <c r="A300" s="166" t="s">
        <v>306</v>
      </c>
      <c r="B300" s="166">
        <v>5607</v>
      </c>
    </row>
    <row r="301" spans="1:2" x14ac:dyDescent="0.25">
      <c r="A301" s="166" t="s">
        <v>129</v>
      </c>
      <c r="B301" s="166">
        <v>5590</v>
      </c>
    </row>
    <row r="302" spans="1:2" x14ac:dyDescent="0.25">
      <c r="A302" s="166" t="s">
        <v>224</v>
      </c>
      <c r="B302" s="166">
        <v>5760</v>
      </c>
    </row>
    <row r="303" spans="1:2" x14ac:dyDescent="0.25">
      <c r="A303" s="166" t="s">
        <v>401</v>
      </c>
      <c r="B303" s="166">
        <v>5591</v>
      </c>
    </row>
    <row r="304" spans="1:2" x14ac:dyDescent="0.25">
      <c r="A304" s="166" t="s">
        <v>137</v>
      </c>
      <c r="B304" s="166">
        <v>5412</v>
      </c>
    </row>
    <row r="305" spans="1:2" x14ac:dyDescent="0.25">
      <c r="A305" s="166" t="s">
        <v>318</v>
      </c>
      <c r="B305" s="166">
        <v>5644</v>
      </c>
    </row>
    <row r="306" spans="1:2" x14ac:dyDescent="0.25">
      <c r="A306" s="166" t="s">
        <v>133</v>
      </c>
      <c r="B306" s="166">
        <v>5609</v>
      </c>
    </row>
    <row r="307" spans="1:2" x14ac:dyDescent="0.25">
      <c r="A307" s="166" t="s">
        <v>138</v>
      </c>
      <c r="B307" s="166">
        <v>5413</v>
      </c>
    </row>
    <row r="308" spans="1:2" x14ac:dyDescent="0.25">
      <c r="A308" s="166" t="s">
        <v>30</v>
      </c>
      <c r="B308" s="166">
        <v>5861</v>
      </c>
    </row>
    <row r="309" spans="1:2" x14ac:dyDescent="0.25">
      <c r="A309" s="166" t="s">
        <v>140</v>
      </c>
      <c r="B309" s="166">
        <v>5761</v>
      </c>
    </row>
    <row r="310" spans="1:2" x14ac:dyDescent="0.25">
      <c r="A310" s="166" t="s">
        <v>221</v>
      </c>
      <c r="B310" s="166">
        <v>5592</v>
      </c>
    </row>
    <row r="311" spans="1:2" x14ac:dyDescent="0.25">
      <c r="A311" s="166" t="s">
        <v>319</v>
      </c>
      <c r="B311" s="166">
        <v>5645</v>
      </c>
    </row>
    <row r="312" spans="1:2" x14ac:dyDescent="0.25">
      <c r="A312" s="166" t="s">
        <v>288</v>
      </c>
      <c r="B312" s="166">
        <v>5798</v>
      </c>
    </row>
    <row r="313" spans="1:2" x14ac:dyDescent="0.25">
      <c r="A313" s="166" t="s">
        <v>111</v>
      </c>
      <c r="B313" s="166">
        <v>5684</v>
      </c>
    </row>
    <row r="314" spans="1:2" x14ac:dyDescent="0.25">
      <c r="A314" s="166" t="s">
        <v>18</v>
      </c>
      <c r="B314" s="166">
        <v>5842</v>
      </c>
    </row>
    <row r="315" spans="1:2" x14ac:dyDescent="0.25">
      <c r="A315" s="166" t="s">
        <v>19</v>
      </c>
      <c r="B315" s="166">
        <v>5843</v>
      </c>
    </row>
    <row r="316" spans="1:2" x14ac:dyDescent="0.25">
      <c r="A316" s="166" t="s">
        <v>406</v>
      </c>
      <c r="B316" s="166">
        <v>5928</v>
      </c>
    </row>
    <row r="317" spans="1:2" x14ac:dyDescent="0.25">
      <c r="A317" s="166" t="s">
        <v>197</v>
      </c>
      <c r="B317" s="166">
        <v>5534</v>
      </c>
    </row>
    <row r="318" spans="1:2" x14ac:dyDescent="0.25">
      <c r="A318" s="166" t="s">
        <v>34</v>
      </c>
      <c r="B318" s="166">
        <v>5535</v>
      </c>
    </row>
    <row r="319" spans="1:2" x14ac:dyDescent="0.25">
      <c r="A319" s="166" t="s">
        <v>326</v>
      </c>
      <c r="B319" s="166">
        <v>5727</v>
      </c>
    </row>
    <row r="320" spans="1:2" x14ac:dyDescent="0.25">
      <c r="A320" s="166" t="s">
        <v>124</v>
      </c>
      <c r="B320" s="166">
        <v>5568</v>
      </c>
    </row>
    <row r="321" spans="1:2" x14ac:dyDescent="0.25">
      <c r="A321" s="166" t="s">
        <v>372</v>
      </c>
      <c r="B321" s="166">
        <v>5434</v>
      </c>
    </row>
    <row r="322" spans="1:2" x14ac:dyDescent="0.25">
      <c r="A322" s="166" t="s">
        <v>531</v>
      </c>
      <c r="B322" s="166">
        <v>5888</v>
      </c>
    </row>
    <row r="323" spans="1:2" x14ac:dyDescent="0.25">
      <c r="A323" s="166" t="s">
        <v>350</v>
      </c>
      <c r="B323" s="166">
        <v>5435</v>
      </c>
    </row>
    <row r="324" spans="1:2" x14ac:dyDescent="0.25">
      <c r="A324" s="166" t="s">
        <v>351</v>
      </c>
      <c r="B324" s="166">
        <v>5436</v>
      </c>
    </row>
    <row r="325" spans="1:2" x14ac:dyDescent="0.25">
      <c r="A325" s="166" t="s">
        <v>320</v>
      </c>
      <c r="B325" s="166">
        <v>5646</v>
      </c>
    </row>
    <row r="326" spans="1:2" x14ac:dyDescent="0.25">
      <c r="A326" s="166" t="s">
        <v>321</v>
      </c>
      <c r="B326" s="166">
        <v>5648</v>
      </c>
    </row>
    <row r="327" spans="1:2" x14ac:dyDescent="0.25">
      <c r="A327" s="166" t="s">
        <v>352</v>
      </c>
      <c r="B327" s="166">
        <v>5437</v>
      </c>
    </row>
    <row r="328" spans="1:2" x14ac:dyDescent="0.25">
      <c r="A328" s="166" t="s">
        <v>303</v>
      </c>
      <c r="B328" s="166">
        <v>5611</v>
      </c>
    </row>
    <row r="329" spans="1:2" x14ac:dyDescent="0.25">
      <c r="A329" s="166" t="s">
        <v>177</v>
      </c>
      <c r="B329" s="166">
        <v>5499</v>
      </c>
    </row>
    <row r="330" spans="1:2" x14ac:dyDescent="0.25">
      <c r="A330" s="166" t="s">
        <v>141</v>
      </c>
      <c r="B330" s="166">
        <v>5762</v>
      </c>
    </row>
    <row r="331" spans="1:2" x14ac:dyDescent="0.25">
      <c r="A331" s="166" t="s">
        <v>289</v>
      </c>
      <c r="B331" s="166">
        <v>5799</v>
      </c>
    </row>
    <row r="332" spans="1:2" x14ac:dyDescent="0.25">
      <c r="A332" s="166" t="s">
        <v>178</v>
      </c>
      <c r="B332" s="166">
        <v>5500</v>
      </c>
    </row>
    <row r="333" spans="1:2" x14ac:dyDescent="0.25">
      <c r="A333" s="166" t="s">
        <v>327</v>
      </c>
      <c r="B333" s="166">
        <v>5728</v>
      </c>
    </row>
    <row r="334" spans="1:2" x14ac:dyDescent="0.25">
      <c r="A334" s="166" t="s">
        <v>134</v>
      </c>
      <c r="B334" s="166">
        <v>5610</v>
      </c>
    </row>
    <row r="335" spans="1:2" x14ac:dyDescent="0.25">
      <c r="A335" s="166" t="s">
        <v>407</v>
      </c>
      <c r="B335" s="166">
        <v>5929</v>
      </c>
    </row>
    <row r="336" spans="1:2" x14ac:dyDescent="0.25">
      <c r="A336" s="166" t="s">
        <v>179</v>
      </c>
      <c r="B336" s="166">
        <v>5501</v>
      </c>
    </row>
    <row r="337" spans="1:2" x14ac:dyDescent="0.25">
      <c r="A337" s="166" t="s">
        <v>408</v>
      </c>
      <c r="B337" s="166">
        <v>5930</v>
      </c>
    </row>
    <row r="338" spans="1:2" x14ac:dyDescent="0.25">
      <c r="A338" s="166" t="s">
        <v>112</v>
      </c>
      <c r="B338" s="166">
        <v>5688</v>
      </c>
    </row>
    <row r="339" spans="1:2" x14ac:dyDescent="0.25">
      <c r="A339" s="166" t="s">
        <v>328</v>
      </c>
      <c r="B339" s="166">
        <v>5729</v>
      </c>
    </row>
    <row r="340" spans="1:2" x14ac:dyDescent="0.25">
      <c r="A340" s="166" t="s">
        <v>31</v>
      </c>
      <c r="B340" s="166">
        <v>5862</v>
      </c>
    </row>
    <row r="341" spans="1:2" x14ac:dyDescent="0.25">
      <c r="A341" s="166" t="s">
        <v>438</v>
      </c>
      <c r="B341" s="166">
        <v>5571</v>
      </c>
    </row>
    <row r="342" spans="1:2" x14ac:dyDescent="0.25">
      <c r="A342" s="166" t="s">
        <v>322</v>
      </c>
      <c r="B342" s="166">
        <v>5649</v>
      </c>
    </row>
    <row r="343" spans="1:2" x14ac:dyDescent="0.25">
      <c r="A343" s="166" t="s">
        <v>329</v>
      </c>
      <c r="B343" s="166">
        <v>5730</v>
      </c>
    </row>
    <row r="344" spans="1:2" x14ac:dyDescent="0.25">
      <c r="A344" s="166" t="s">
        <v>15</v>
      </c>
      <c r="B344" s="166">
        <v>5827</v>
      </c>
    </row>
    <row r="345" spans="1:2" x14ac:dyDescent="0.25">
      <c r="A345" s="166" t="s">
        <v>409</v>
      </c>
      <c r="B345" s="166">
        <v>5931</v>
      </c>
    </row>
    <row r="346" spans="1:2" x14ac:dyDescent="0.25">
      <c r="A346" s="166" t="s">
        <v>530</v>
      </c>
      <c r="B346" s="166">
        <v>5828</v>
      </c>
    </row>
    <row r="347" spans="1:2" x14ac:dyDescent="0.25">
      <c r="A347" s="166" t="s">
        <v>281</v>
      </c>
      <c r="B347" s="166">
        <v>5932</v>
      </c>
    </row>
    <row r="348" spans="1:2" x14ac:dyDescent="0.25">
      <c r="A348" s="166" t="s">
        <v>443</v>
      </c>
      <c r="B348" s="166">
        <v>5831</v>
      </c>
    </row>
    <row r="349" spans="1:2" x14ac:dyDescent="0.25">
      <c r="A349" s="166" t="s">
        <v>402</v>
      </c>
      <c r="B349" s="166">
        <v>5933</v>
      </c>
    </row>
    <row r="350" spans="1:2" x14ac:dyDescent="0.25">
      <c r="A350" s="166" t="s">
        <v>142</v>
      </c>
      <c r="B350" s="166">
        <v>5763</v>
      </c>
    </row>
    <row r="351" spans="1:2" x14ac:dyDescent="0.25">
      <c r="A351" s="166" t="s">
        <v>403</v>
      </c>
      <c r="B351" s="166">
        <v>5934</v>
      </c>
    </row>
    <row r="352" spans="1:2" x14ac:dyDescent="0.25">
      <c r="A352" s="166" t="s">
        <v>343</v>
      </c>
      <c r="B352" s="166">
        <v>5764</v>
      </c>
    </row>
    <row r="353" spans="1:2" x14ac:dyDescent="0.25">
      <c r="A353" s="166" t="s">
        <v>344</v>
      </c>
      <c r="B353" s="166">
        <v>5765</v>
      </c>
    </row>
    <row r="354" spans="1:2" x14ac:dyDescent="0.25">
      <c r="A354" s="166" t="s">
        <v>323</v>
      </c>
      <c r="B354" s="166">
        <v>5650</v>
      </c>
    </row>
    <row r="355" spans="1:2" x14ac:dyDescent="0.25">
      <c r="A355" s="166" t="s">
        <v>57</v>
      </c>
      <c r="B355" s="166">
        <v>5890</v>
      </c>
    </row>
    <row r="356" spans="1:2" x14ac:dyDescent="0.25">
      <c r="A356" s="166" t="s">
        <v>58</v>
      </c>
      <c r="B356" s="166">
        <v>5891</v>
      </c>
    </row>
    <row r="357" spans="1:2" x14ac:dyDescent="0.25">
      <c r="A357" s="166" t="s">
        <v>331</v>
      </c>
      <c r="B357" s="166">
        <v>5732</v>
      </c>
    </row>
    <row r="358" spans="1:2" x14ac:dyDescent="0.25">
      <c r="A358" s="166" t="s">
        <v>305</v>
      </c>
      <c r="B358" s="166">
        <v>5935</v>
      </c>
    </row>
    <row r="359" spans="1:2" x14ac:dyDescent="0.25">
      <c r="A359" s="166" t="s">
        <v>113</v>
      </c>
      <c r="B359" s="166">
        <v>5690</v>
      </c>
    </row>
    <row r="360" spans="1:2" x14ac:dyDescent="0.25">
      <c r="A360" s="166" t="s">
        <v>35</v>
      </c>
      <c r="B360" s="166">
        <v>5537</v>
      </c>
    </row>
    <row r="361" spans="1:2" x14ac:dyDescent="0.25">
      <c r="A361" s="166" t="s">
        <v>324</v>
      </c>
      <c r="B361" s="166">
        <v>5651</v>
      </c>
    </row>
    <row r="362" spans="1:2" x14ac:dyDescent="0.25">
      <c r="A362" s="166" t="s">
        <v>203</v>
      </c>
      <c r="B362" s="166">
        <v>5652</v>
      </c>
    </row>
    <row r="363" spans="1:2" x14ac:dyDescent="0.25">
      <c r="A363" s="166" t="s">
        <v>16</v>
      </c>
      <c r="B363" s="166">
        <v>5830</v>
      </c>
    </row>
    <row r="364" spans="1:2" x14ac:dyDescent="0.25">
      <c r="A364" s="166" t="s">
        <v>139</v>
      </c>
      <c r="B364" s="166">
        <v>5414</v>
      </c>
    </row>
    <row r="365" spans="1:2" x14ac:dyDescent="0.25">
      <c r="A365" s="166" t="s">
        <v>32</v>
      </c>
      <c r="B365" s="166">
        <v>5863</v>
      </c>
    </row>
    <row r="366" spans="1:2" x14ac:dyDescent="0.25">
      <c r="A366" s="166" t="s">
        <v>36</v>
      </c>
      <c r="B366" s="166">
        <v>5539</v>
      </c>
    </row>
    <row r="367" spans="1:2" x14ac:dyDescent="0.25">
      <c r="A367" s="166" t="s">
        <v>114</v>
      </c>
      <c r="B367" s="166">
        <v>5692</v>
      </c>
    </row>
    <row r="368" spans="1:2" x14ac:dyDescent="0.25">
      <c r="A368" s="166" t="s">
        <v>180</v>
      </c>
      <c r="B368" s="166">
        <v>5503</v>
      </c>
    </row>
    <row r="369" spans="1:2" x14ac:dyDescent="0.25">
      <c r="A369" s="166" t="s">
        <v>204</v>
      </c>
      <c r="B369" s="166">
        <v>5653</v>
      </c>
    </row>
    <row r="370" spans="1:2" x14ac:dyDescent="0.25">
      <c r="A370" s="166" t="s">
        <v>282</v>
      </c>
      <c r="B370" s="166">
        <v>5937</v>
      </c>
    </row>
    <row r="371" spans="1:2" x14ac:dyDescent="0.25">
      <c r="A371" s="166" t="s">
        <v>345</v>
      </c>
      <c r="B371" s="166">
        <v>5766</v>
      </c>
    </row>
    <row r="372" spans="1:2" x14ac:dyDescent="0.25">
      <c r="A372" s="166" t="s">
        <v>391</v>
      </c>
      <c r="B372" s="166">
        <v>5803</v>
      </c>
    </row>
    <row r="373" spans="1:2" x14ac:dyDescent="0.25">
      <c r="A373" s="166" t="s">
        <v>205</v>
      </c>
      <c r="B373" s="166">
        <v>5654</v>
      </c>
    </row>
    <row r="374" spans="1:2" x14ac:dyDescent="0.25">
      <c r="A374" s="166" t="s">
        <v>439</v>
      </c>
      <c r="B374" s="166">
        <v>5464</v>
      </c>
    </row>
    <row r="375" spans="1:2" x14ac:dyDescent="0.25">
      <c r="A375" s="166" t="s">
        <v>206</v>
      </c>
      <c r="B375" s="166">
        <v>5655</v>
      </c>
    </row>
    <row r="376" spans="1:2" x14ac:dyDescent="0.25">
      <c r="A376" s="166" t="s">
        <v>155</v>
      </c>
      <c r="B376" s="166">
        <v>5938</v>
      </c>
    </row>
    <row r="377" spans="1:2" x14ac:dyDescent="0.25">
      <c r="A377" s="166" t="s">
        <v>154</v>
      </c>
      <c r="B377" s="166">
        <v>5939</v>
      </c>
    </row>
    <row r="378" spans="1:2" x14ac:dyDescent="0.25">
      <c r="A378" s="166" t="s">
        <v>77</v>
      </c>
      <c r="B378" s="166">
        <v>5415</v>
      </c>
    </row>
    <row r="379" spans="1:2" x14ac:dyDescent="0.25">
      <c r="B379" s="168"/>
    </row>
    <row r="380" spans="1:2" x14ac:dyDescent="0.25">
      <c r="B380" s="168"/>
    </row>
    <row r="381" spans="1:2" x14ac:dyDescent="0.25">
      <c r="B381" s="168"/>
    </row>
    <row r="382" spans="1:2" x14ac:dyDescent="0.25">
      <c r="B382" s="168"/>
    </row>
    <row r="383" spans="1:2" x14ac:dyDescent="0.25">
      <c r="B383" s="168"/>
    </row>
    <row r="384" spans="1:2" x14ac:dyDescent="0.25">
      <c r="B384" s="168"/>
    </row>
    <row r="385" spans="2:2" x14ac:dyDescent="0.25">
      <c r="B385" s="168"/>
    </row>
    <row r="386" spans="2:2" x14ac:dyDescent="0.25">
      <c r="B386" s="168"/>
    </row>
    <row r="387" spans="2:2" x14ac:dyDescent="0.25">
      <c r="B387" s="168"/>
    </row>
    <row r="388" spans="2:2" x14ac:dyDescent="0.25">
      <c r="B388" s="168"/>
    </row>
    <row r="389" spans="2:2" x14ac:dyDescent="0.25">
      <c r="B389" s="168"/>
    </row>
    <row r="390" spans="2:2" x14ac:dyDescent="0.25">
      <c r="B390" s="168"/>
    </row>
    <row r="391" spans="2:2" x14ac:dyDescent="0.25">
      <c r="B391" s="168"/>
    </row>
    <row r="392" spans="2:2" x14ac:dyDescent="0.25">
      <c r="B392" s="168"/>
    </row>
    <row r="393" spans="2:2" x14ac:dyDescent="0.25">
      <c r="B393" s="168"/>
    </row>
    <row r="394" spans="2:2" x14ac:dyDescent="0.25">
      <c r="B394" s="168"/>
    </row>
    <row r="395" spans="2:2" x14ac:dyDescent="0.25">
      <c r="B395" s="168"/>
    </row>
    <row r="396" spans="2:2" x14ac:dyDescent="0.25">
      <c r="B396" s="168"/>
    </row>
    <row r="397" spans="2:2" x14ac:dyDescent="0.25">
      <c r="B397" s="168"/>
    </row>
    <row r="398" spans="2:2" x14ac:dyDescent="0.25">
      <c r="B398" s="168"/>
    </row>
    <row r="399" spans="2:2" x14ac:dyDescent="0.25">
      <c r="B399" s="168"/>
    </row>
    <row r="400" spans="2:2" x14ac:dyDescent="0.25">
      <c r="B400" s="168"/>
    </row>
    <row r="401" spans="2:2" x14ac:dyDescent="0.25">
      <c r="B401" s="168"/>
    </row>
    <row r="402" spans="2:2" x14ac:dyDescent="0.25">
      <c r="B402" s="168"/>
    </row>
    <row r="403" spans="2:2" x14ac:dyDescent="0.25">
      <c r="B403" s="168"/>
    </row>
    <row r="404" spans="2:2" x14ac:dyDescent="0.25">
      <c r="B404" s="168"/>
    </row>
    <row r="405" spans="2:2" x14ac:dyDescent="0.25">
      <c r="B405" s="168"/>
    </row>
    <row r="406" spans="2:2" x14ac:dyDescent="0.25">
      <c r="B406" s="168"/>
    </row>
    <row r="407" spans="2:2" x14ac:dyDescent="0.25">
      <c r="B407" s="168"/>
    </row>
    <row r="408" spans="2:2" x14ac:dyDescent="0.25">
      <c r="B408" s="168"/>
    </row>
    <row r="409" spans="2:2" x14ac:dyDescent="0.25">
      <c r="B409" s="168"/>
    </row>
    <row r="410" spans="2:2" x14ac:dyDescent="0.25">
      <c r="B410" s="168"/>
    </row>
    <row r="411" spans="2:2" x14ac:dyDescent="0.25">
      <c r="B411" s="168"/>
    </row>
    <row r="412" spans="2:2" x14ac:dyDescent="0.25">
      <c r="B412" s="168"/>
    </row>
    <row r="413" spans="2:2" x14ac:dyDescent="0.25">
      <c r="B413" s="168"/>
    </row>
    <row r="414" spans="2:2" x14ac:dyDescent="0.25">
      <c r="B414" s="168"/>
    </row>
    <row r="415" spans="2:2" x14ac:dyDescent="0.25">
      <c r="B415" s="168"/>
    </row>
    <row r="416" spans="2:2" x14ac:dyDescent="0.25">
      <c r="B416" s="168"/>
    </row>
    <row r="417" spans="2:2" x14ac:dyDescent="0.25">
      <c r="B417" s="168"/>
    </row>
    <row r="418" spans="2:2" x14ac:dyDescent="0.25">
      <c r="B418" s="168"/>
    </row>
    <row r="419" spans="2:2" x14ac:dyDescent="0.25">
      <c r="B419" s="168"/>
    </row>
    <row r="420" spans="2:2" x14ac:dyDescent="0.25">
      <c r="B420" s="168"/>
    </row>
    <row r="421" spans="2:2" x14ac:dyDescent="0.25">
      <c r="B421" s="168"/>
    </row>
    <row r="422" spans="2:2" x14ac:dyDescent="0.25">
      <c r="B422" s="168"/>
    </row>
    <row r="423" spans="2:2" x14ac:dyDescent="0.25">
      <c r="B423" s="168"/>
    </row>
    <row r="424" spans="2:2" x14ac:dyDescent="0.25">
      <c r="B424" s="168"/>
    </row>
    <row r="425" spans="2:2" x14ac:dyDescent="0.25">
      <c r="B425" s="168"/>
    </row>
    <row r="426" spans="2:2" x14ac:dyDescent="0.25">
      <c r="B426" s="168"/>
    </row>
    <row r="427" spans="2:2" x14ac:dyDescent="0.25">
      <c r="B427" s="168"/>
    </row>
    <row r="428" spans="2:2" x14ac:dyDescent="0.25">
      <c r="B428" s="168"/>
    </row>
    <row r="429" spans="2:2" x14ac:dyDescent="0.25">
      <c r="B429" s="168"/>
    </row>
    <row r="430" spans="2:2" x14ac:dyDescent="0.25">
      <c r="B430" s="168"/>
    </row>
    <row r="431" spans="2:2" x14ac:dyDescent="0.25">
      <c r="B431" s="168"/>
    </row>
    <row r="432" spans="2:2" x14ac:dyDescent="0.25">
      <c r="B432" s="168"/>
    </row>
    <row r="433" spans="2:2" x14ac:dyDescent="0.25">
      <c r="B433" s="168"/>
    </row>
    <row r="434" spans="2:2" x14ac:dyDescent="0.25">
      <c r="B434" s="168"/>
    </row>
    <row r="435" spans="2:2" x14ac:dyDescent="0.25">
      <c r="B435" s="168"/>
    </row>
    <row r="436" spans="2:2" x14ac:dyDescent="0.25">
      <c r="B436" s="168"/>
    </row>
    <row r="437" spans="2:2" x14ac:dyDescent="0.25">
      <c r="B437" s="168"/>
    </row>
    <row r="438" spans="2:2" x14ac:dyDescent="0.25">
      <c r="B438" s="168"/>
    </row>
    <row r="439" spans="2:2" x14ac:dyDescent="0.25">
      <c r="B439" s="168"/>
    </row>
    <row r="440" spans="2:2" x14ac:dyDescent="0.25">
      <c r="B440" s="168"/>
    </row>
    <row r="441" spans="2:2" x14ac:dyDescent="0.25">
      <c r="B441" s="168"/>
    </row>
    <row r="442" spans="2:2" x14ac:dyDescent="0.25">
      <c r="B442" s="168"/>
    </row>
    <row r="443" spans="2:2" x14ac:dyDescent="0.25">
      <c r="B443" s="168"/>
    </row>
    <row r="444" spans="2:2" x14ac:dyDescent="0.25">
      <c r="B444" s="168"/>
    </row>
    <row r="445" spans="2:2" x14ac:dyDescent="0.25">
      <c r="B445" s="168"/>
    </row>
    <row r="446" spans="2:2" x14ac:dyDescent="0.25">
      <c r="B446" s="168"/>
    </row>
    <row r="447" spans="2:2" x14ac:dyDescent="0.25">
      <c r="B447" s="168"/>
    </row>
    <row r="448" spans="2:2" x14ac:dyDescent="0.25">
      <c r="B448" s="168"/>
    </row>
    <row r="449" spans="2:2" x14ac:dyDescent="0.25">
      <c r="B449" s="168"/>
    </row>
    <row r="450" spans="2:2" x14ac:dyDescent="0.25">
      <c r="B450" s="168"/>
    </row>
    <row r="451" spans="2:2" x14ac:dyDescent="0.25">
      <c r="B451" s="168"/>
    </row>
    <row r="452" spans="2:2" x14ac:dyDescent="0.25">
      <c r="B452" s="168"/>
    </row>
    <row r="453" spans="2:2" x14ac:dyDescent="0.25">
      <c r="B453" s="168"/>
    </row>
    <row r="454" spans="2:2" x14ac:dyDescent="0.25">
      <c r="B454" s="168"/>
    </row>
    <row r="455" spans="2:2" x14ac:dyDescent="0.25">
      <c r="B455" s="168"/>
    </row>
    <row r="456" spans="2:2" x14ac:dyDescent="0.25">
      <c r="B456" s="168"/>
    </row>
    <row r="457" spans="2:2" x14ac:dyDescent="0.25">
      <c r="B457" s="168"/>
    </row>
    <row r="458" spans="2:2" x14ac:dyDescent="0.25">
      <c r="B458" s="168"/>
    </row>
    <row r="459" spans="2:2" x14ac:dyDescent="0.25">
      <c r="B459" s="168"/>
    </row>
    <row r="460" spans="2:2" x14ac:dyDescent="0.25">
      <c r="B460" s="168"/>
    </row>
    <row r="461" spans="2:2" x14ac:dyDescent="0.25">
      <c r="B461" s="168"/>
    </row>
    <row r="462" spans="2:2" x14ac:dyDescent="0.25">
      <c r="B462" s="168"/>
    </row>
    <row r="463" spans="2:2" x14ac:dyDescent="0.25">
      <c r="B463" s="168"/>
    </row>
    <row r="464" spans="2:2" x14ac:dyDescent="0.25">
      <c r="B464" s="168"/>
    </row>
    <row r="465" spans="2:2" x14ac:dyDescent="0.25">
      <c r="B465" s="168"/>
    </row>
    <row r="466" spans="2:2" x14ac:dyDescent="0.25">
      <c r="B466" s="168"/>
    </row>
    <row r="467" spans="2:2" x14ac:dyDescent="0.25">
      <c r="B467" s="168"/>
    </row>
    <row r="468" spans="2:2" x14ac:dyDescent="0.25">
      <c r="B468" s="168"/>
    </row>
    <row r="469" spans="2:2" x14ac:dyDescent="0.25">
      <c r="B469" s="168"/>
    </row>
    <row r="470" spans="2:2" x14ac:dyDescent="0.25">
      <c r="B470" s="168"/>
    </row>
    <row r="471" spans="2:2" x14ac:dyDescent="0.25">
      <c r="B471" s="168"/>
    </row>
    <row r="472" spans="2:2" x14ac:dyDescent="0.25">
      <c r="B472" s="168"/>
    </row>
    <row r="473" spans="2:2" x14ac:dyDescent="0.25">
      <c r="B473" s="168"/>
    </row>
    <row r="474" spans="2:2" x14ac:dyDescent="0.25">
      <c r="B474" s="168"/>
    </row>
    <row r="475" spans="2:2" x14ac:dyDescent="0.25">
      <c r="B475" s="168"/>
    </row>
    <row r="476" spans="2:2" x14ac:dyDescent="0.25">
      <c r="B476" s="168"/>
    </row>
    <row r="477" spans="2:2" x14ac:dyDescent="0.25">
      <c r="B477" s="168"/>
    </row>
    <row r="478" spans="2:2" x14ac:dyDescent="0.25">
      <c r="B478" s="168"/>
    </row>
    <row r="479" spans="2:2" x14ac:dyDescent="0.25">
      <c r="B479" s="168"/>
    </row>
    <row r="480" spans="2:2" x14ac:dyDescent="0.25">
      <c r="B480" s="168"/>
    </row>
    <row r="481" spans="2:2" x14ac:dyDescent="0.25">
      <c r="B481" s="168"/>
    </row>
    <row r="482" spans="2:2" x14ac:dyDescent="0.25">
      <c r="B482" s="168"/>
    </row>
    <row r="483" spans="2:2" x14ac:dyDescent="0.25">
      <c r="B483" s="168"/>
    </row>
    <row r="484" spans="2:2" x14ac:dyDescent="0.25">
      <c r="B484" s="168"/>
    </row>
    <row r="485" spans="2:2" x14ac:dyDescent="0.25">
      <c r="B485" s="168"/>
    </row>
    <row r="486" spans="2:2" x14ac:dyDescent="0.25">
      <c r="B486" s="168"/>
    </row>
    <row r="487" spans="2:2" x14ac:dyDescent="0.25">
      <c r="B487" s="168"/>
    </row>
    <row r="488" spans="2:2" x14ac:dyDescent="0.25">
      <c r="B488" s="168"/>
    </row>
    <row r="489" spans="2:2" x14ac:dyDescent="0.25">
      <c r="B489" s="168"/>
    </row>
    <row r="490" spans="2:2" x14ac:dyDescent="0.25">
      <c r="B490" s="168"/>
    </row>
    <row r="491" spans="2:2" x14ac:dyDescent="0.25">
      <c r="B491" s="168"/>
    </row>
    <row r="492" spans="2:2" x14ac:dyDescent="0.25">
      <c r="B492" s="168"/>
    </row>
    <row r="493" spans="2:2" x14ac:dyDescent="0.25">
      <c r="B493" s="168"/>
    </row>
    <row r="494" spans="2:2" x14ac:dyDescent="0.25">
      <c r="B494" s="168"/>
    </row>
    <row r="495" spans="2:2" x14ac:dyDescent="0.25">
      <c r="B495" s="168"/>
    </row>
    <row r="496" spans="2:2" x14ac:dyDescent="0.25">
      <c r="B496" s="168"/>
    </row>
    <row r="497" spans="2:2" x14ac:dyDescent="0.25">
      <c r="B497" s="168"/>
    </row>
    <row r="498" spans="2:2" x14ac:dyDescent="0.25">
      <c r="B498" s="168"/>
    </row>
    <row r="499" spans="2:2" x14ac:dyDescent="0.25">
      <c r="B499" s="168"/>
    </row>
    <row r="500" spans="2:2" x14ac:dyDescent="0.25">
      <c r="B500" s="168"/>
    </row>
    <row r="501" spans="2:2" x14ac:dyDescent="0.25">
      <c r="B501" s="168"/>
    </row>
    <row r="502" spans="2:2" x14ac:dyDescent="0.25">
      <c r="B502" s="168"/>
    </row>
    <row r="503" spans="2:2" x14ac:dyDescent="0.25">
      <c r="B503" s="168"/>
    </row>
    <row r="504" spans="2:2" x14ac:dyDescent="0.25">
      <c r="B504" s="168"/>
    </row>
    <row r="505" spans="2:2" x14ac:dyDescent="0.25">
      <c r="B505" s="168"/>
    </row>
    <row r="506" spans="2:2" x14ac:dyDescent="0.25">
      <c r="B506" s="168"/>
    </row>
    <row r="507" spans="2:2" x14ac:dyDescent="0.25">
      <c r="B507" s="168"/>
    </row>
    <row r="508" spans="2:2" x14ac:dyDescent="0.25">
      <c r="B508" s="168"/>
    </row>
    <row r="509" spans="2:2" x14ac:dyDescent="0.25">
      <c r="B509" s="168"/>
    </row>
    <row r="510" spans="2:2" x14ac:dyDescent="0.25">
      <c r="B510" s="168"/>
    </row>
    <row r="511" spans="2:2" x14ac:dyDescent="0.25">
      <c r="B511" s="168"/>
    </row>
    <row r="512" spans="2:2" x14ac:dyDescent="0.25">
      <c r="B512" s="168"/>
    </row>
    <row r="513" spans="2:2" x14ac:dyDescent="0.25">
      <c r="B513" s="168"/>
    </row>
    <row r="514" spans="2:2" x14ac:dyDescent="0.25">
      <c r="B514" s="168"/>
    </row>
    <row r="515" spans="2:2" x14ac:dyDescent="0.25">
      <c r="B515" s="168"/>
    </row>
    <row r="516" spans="2:2" x14ac:dyDescent="0.25">
      <c r="B516" s="168"/>
    </row>
    <row r="517" spans="2:2" x14ac:dyDescent="0.25">
      <c r="B517" s="168"/>
    </row>
    <row r="518" spans="2:2" x14ac:dyDescent="0.25">
      <c r="B518" s="168"/>
    </row>
    <row r="519" spans="2:2" x14ac:dyDescent="0.25">
      <c r="B519" s="168"/>
    </row>
    <row r="520" spans="2:2" x14ac:dyDescent="0.25">
      <c r="B520" s="168"/>
    </row>
    <row r="521" spans="2:2" x14ac:dyDescent="0.25">
      <c r="B521" s="168"/>
    </row>
    <row r="522" spans="2:2" x14ac:dyDescent="0.25">
      <c r="B522" s="168"/>
    </row>
    <row r="523" spans="2:2" x14ac:dyDescent="0.25">
      <c r="B523" s="168"/>
    </row>
    <row r="524" spans="2:2" x14ac:dyDescent="0.25">
      <c r="B524" s="168"/>
    </row>
    <row r="525" spans="2:2" x14ac:dyDescent="0.25">
      <c r="B525" s="168"/>
    </row>
    <row r="526" spans="2:2" x14ac:dyDescent="0.25">
      <c r="B526" s="168"/>
    </row>
    <row r="527" spans="2:2" x14ac:dyDescent="0.25">
      <c r="B527" s="168"/>
    </row>
    <row r="528" spans="2:2" x14ac:dyDescent="0.25">
      <c r="B528" s="168"/>
    </row>
    <row r="529" spans="2:2" x14ac:dyDescent="0.25">
      <c r="B529" s="168"/>
    </row>
    <row r="530" spans="2:2" x14ac:dyDescent="0.25">
      <c r="B530" s="168"/>
    </row>
    <row r="531" spans="2:2" x14ac:dyDescent="0.25">
      <c r="B531" s="168"/>
    </row>
    <row r="532" spans="2:2" x14ac:dyDescent="0.25">
      <c r="B532" s="168"/>
    </row>
    <row r="533" spans="2:2" x14ac:dyDescent="0.25">
      <c r="B533" s="168"/>
    </row>
    <row r="534" spans="2:2" x14ac:dyDescent="0.25">
      <c r="B534" s="168"/>
    </row>
    <row r="535" spans="2:2" x14ac:dyDescent="0.25">
      <c r="B535" s="168"/>
    </row>
    <row r="536" spans="2:2" x14ac:dyDescent="0.25">
      <c r="B536" s="168"/>
    </row>
    <row r="537" spans="2:2" x14ac:dyDescent="0.25">
      <c r="B537" s="168"/>
    </row>
    <row r="538" spans="2:2" x14ac:dyDescent="0.25">
      <c r="B538" s="168"/>
    </row>
    <row r="539" spans="2:2" x14ac:dyDescent="0.25">
      <c r="B539" s="168"/>
    </row>
    <row r="540" spans="2:2" x14ac:dyDescent="0.25">
      <c r="B540" s="168"/>
    </row>
    <row r="541" spans="2:2" x14ac:dyDescent="0.25">
      <c r="B541" s="168"/>
    </row>
    <row r="542" spans="2:2" x14ac:dyDescent="0.25">
      <c r="B542" s="168"/>
    </row>
    <row r="543" spans="2:2" x14ac:dyDescent="0.25">
      <c r="B543" s="168"/>
    </row>
    <row r="544" spans="2:2" x14ac:dyDescent="0.25">
      <c r="B544" s="168"/>
    </row>
    <row r="545" spans="2:2" x14ac:dyDescent="0.25">
      <c r="B545" s="168"/>
    </row>
  </sheetData>
  <protectedRanges>
    <protectedRange sqref="B26:H26" name="Plage2"/>
    <protectedRange sqref="A379:A408 B11:B12 B16:E17 B28 B32 B36:B37 B41:B42 G41 B66:B67 B20:B21 D20:F20 B47:F49" name="Plage1"/>
    <protectedRange sqref="A70:A378" name="Plage1_3"/>
    <protectedRange sqref="B70:B378" name="Plage1_4"/>
    <protectedRange sqref="B5:B8" name="Plage1_1"/>
    <protectedRange sqref="B57:B58" name="Plage1_2"/>
    <protectedRange sqref="B59" name="Plage1_5"/>
  </protectedRanges>
  <sortState ref="A70:L378">
    <sortCondition ref="A70"/>
  </sortState>
  <mergeCells count="5">
    <mergeCell ref="G15:I15"/>
    <mergeCell ref="G16:I16"/>
    <mergeCell ref="G17:I17"/>
    <mergeCell ref="J24:K24"/>
    <mergeCell ref="J25:K26"/>
  </mergeCells>
  <phoneticPr fontId="10" type="noConversion"/>
  <printOptions horizontalCentered="1"/>
  <pageMargins left="0" right="0" top="0" bottom="0" header="0.51181102362204722" footer="0.51181102362204722"/>
  <pageSetup paperSize="9" orientation="landscape" horizontalDpi="1200" verticalDpi="1200"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0">
    <tabColor rgb="FF00B050"/>
  </sheetPr>
  <dimension ref="A1:M314"/>
  <sheetViews>
    <sheetView workbookViewId="0"/>
  </sheetViews>
  <sheetFormatPr baseColWidth="10" defaultColWidth="11" defaultRowHeight="15" x14ac:dyDescent="0.25"/>
  <cols>
    <col min="1" max="1" width="7.25" style="13" customWidth="1"/>
    <col min="2" max="2" width="25.375" style="13" customWidth="1"/>
    <col min="3" max="3" width="9.25" style="13" customWidth="1"/>
    <col min="4" max="4" width="13.625" style="13" customWidth="1"/>
    <col min="5" max="5" width="9.875" style="13" bestFit="1" customWidth="1"/>
    <col min="6" max="6" width="12.5" style="14" bestFit="1" customWidth="1"/>
    <col min="7" max="7" width="9" style="15" bestFit="1" customWidth="1"/>
    <col min="8" max="8" width="9" style="13" bestFit="1" customWidth="1"/>
    <col min="9" max="9" width="12.5" style="6" bestFit="1" customWidth="1"/>
    <col min="10" max="12" width="11" style="13"/>
    <col min="13" max="13" width="11.625" style="15" bestFit="1" customWidth="1"/>
    <col min="14" max="16384" width="11" style="13"/>
  </cols>
  <sheetData>
    <row r="1" spans="1:12" ht="21" x14ac:dyDescent="0.25">
      <c r="A1" s="52" t="s">
        <v>466</v>
      </c>
      <c r="B1" s="43"/>
      <c r="C1" s="98"/>
      <c r="D1" s="98"/>
    </row>
    <row r="3" spans="1:12" ht="45" x14ac:dyDescent="0.25">
      <c r="A3" s="535" t="s">
        <v>50</v>
      </c>
      <c r="B3" s="535" t="s">
        <v>101</v>
      </c>
      <c r="C3" s="535" t="s">
        <v>310</v>
      </c>
      <c r="D3" s="535" t="s">
        <v>3</v>
      </c>
      <c r="E3" s="118" t="s">
        <v>655</v>
      </c>
      <c r="F3" s="538" t="s">
        <v>317</v>
      </c>
      <c r="G3" s="566" t="s">
        <v>83</v>
      </c>
      <c r="H3" s="535" t="s">
        <v>358</v>
      </c>
      <c r="I3" s="538" t="s">
        <v>359</v>
      </c>
    </row>
    <row r="4" spans="1:12" x14ac:dyDescent="0.25">
      <c r="A4" s="537"/>
      <c r="B4" s="537"/>
      <c r="C4" s="537"/>
      <c r="D4" s="537"/>
      <c r="E4" s="119">
        <f>+Paramètres!B32</f>
        <v>0.27</v>
      </c>
      <c r="F4" s="539"/>
      <c r="G4" s="567"/>
      <c r="H4" s="537"/>
      <c r="I4" s="539"/>
    </row>
    <row r="5" spans="1:12" x14ac:dyDescent="0.25">
      <c r="A5" s="47">
        <f>'A) Base RI'!A7</f>
        <v>5401</v>
      </c>
      <c r="B5" s="307" t="str">
        <f>'A) Base RI'!B7</f>
        <v>Aigle</v>
      </c>
      <c r="C5" s="99">
        <f>'A) Base RI'!AN7</f>
        <v>10134</v>
      </c>
      <c r="D5" s="116">
        <f>'D) Ecrêtage'!N5</f>
        <v>27.267160825189382</v>
      </c>
      <c r="E5" s="35">
        <f t="shared" ref="E5" si="0">IF($D$314-D5&lt;0,0,$D$314-D5)</f>
        <v>17.796123610530206</v>
      </c>
      <c r="F5" s="283">
        <f t="shared" ref="F5" si="1">(C5*E5*G5)*$E$4</f>
        <v>3286804.3312945864</v>
      </c>
      <c r="G5" s="34">
        <f>+'A) Base RI'!AM7</f>
        <v>67.5</v>
      </c>
      <c r="H5" s="284">
        <f t="shared" ref="H5" si="2">G5/$G$314</f>
        <v>0.99253571250075845</v>
      </c>
      <c r="I5" s="58">
        <f>F5*H5</f>
        <v>3262270.6788120512</v>
      </c>
      <c r="J5" s="49"/>
      <c r="K5" s="113"/>
      <c r="L5" s="15"/>
    </row>
    <row r="6" spans="1:12" x14ac:dyDescent="0.25">
      <c r="A6" s="50">
        <f>'A) Base RI'!A8</f>
        <v>5402</v>
      </c>
      <c r="B6" s="33" t="str">
        <f>'A) Base RI'!B8</f>
        <v>Bex</v>
      </c>
      <c r="C6" s="100">
        <f>'A) Base RI'!AN8</f>
        <v>7757</v>
      </c>
      <c r="D6" s="116">
        <f>'D) Ecrêtage'!N6</f>
        <v>22.24917054473288</v>
      </c>
      <c r="E6" s="35">
        <f t="shared" ref="E6:E69" si="3">IF($D$314-D6&lt;0,0,$D$314-D6)</f>
        <v>22.814113890986707</v>
      </c>
      <c r="F6" s="283">
        <f t="shared" ref="F6:F69" si="4">(C6*E6*G6)*$E$4</f>
        <v>3392497.2914421991</v>
      </c>
      <c r="G6" s="34">
        <f>+'A) Base RI'!AM8</f>
        <v>71</v>
      </c>
      <c r="H6" s="284">
        <f t="shared" ref="H6:H69" si="5">G6/$G$314</f>
        <v>1.0440005272230199</v>
      </c>
      <c r="I6" s="58">
        <f t="shared" ref="I6:I69" si="6">F6*H6</f>
        <v>3541768.9608683232</v>
      </c>
      <c r="J6" s="49"/>
      <c r="L6" s="114"/>
    </row>
    <row r="7" spans="1:12" x14ac:dyDescent="0.25">
      <c r="A7" s="50">
        <f>'A) Base RI'!A9</f>
        <v>5403</v>
      </c>
      <c r="B7" s="33" t="str">
        <f>'A) Base RI'!B9</f>
        <v>Chessel</v>
      </c>
      <c r="C7" s="100">
        <f>'A) Base RI'!AN9</f>
        <v>426</v>
      </c>
      <c r="D7" s="116">
        <f>'D) Ecrêtage'!N7</f>
        <v>23.886283149346536</v>
      </c>
      <c r="E7" s="35">
        <f t="shared" si="3"/>
        <v>21.177001286373052</v>
      </c>
      <c r="F7" s="283">
        <f t="shared" si="4"/>
        <v>180247.6229089385</v>
      </c>
      <c r="G7" s="34">
        <f>+'A) Base RI'!AM9</f>
        <v>74</v>
      </c>
      <c r="H7" s="284">
        <f t="shared" si="5"/>
        <v>1.088113225556387</v>
      </c>
      <c r="I7" s="58">
        <f t="shared" si="6"/>
        <v>196129.82236231639</v>
      </c>
      <c r="J7" s="49"/>
      <c r="L7" s="114"/>
    </row>
    <row r="8" spans="1:12" x14ac:dyDescent="0.25">
      <c r="A8" s="50">
        <f>'A) Base RI'!A10</f>
        <v>5404</v>
      </c>
      <c r="B8" s="33" t="str">
        <f>'A) Base RI'!B10</f>
        <v>Corbeyrier</v>
      </c>
      <c r="C8" s="100">
        <f>'A) Base RI'!AN10</f>
        <v>438</v>
      </c>
      <c r="D8" s="116">
        <f>'D) Ecrêtage'!N8</f>
        <v>27.590734398782345</v>
      </c>
      <c r="E8" s="35">
        <f t="shared" si="3"/>
        <v>17.472550036937243</v>
      </c>
      <c r="F8" s="283">
        <f t="shared" si="4"/>
        <v>144641.26371577388</v>
      </c>
      <c r="G8" s="34">
        <f>+'A) Base RI'!AM10</f>
        <v>70</v>
      </c>
      <c r="H8" s="284">
        <f t="shared" si="5"/>
        <v>1.0292962944452311</v>
      </c>
      <c r="I8" s="58">
        <f t="shared" si="6"/>
        <v>148878.71676652151</v>
      </c>
    </row>
    <row r="9" spans="1:12" x14ac:dyDescent="0.25">
      <c r="A9" s="50">
        <f>'A) Base RI'!A11</f>
        <v>5405</v>
      </c>
      <c r="B9" s="33" t="str">
        <f>'A) Base RI'!B11</f>
        <v>Gryon</v>
      </c>
      <c r="C9" s="100">
        <f>'A) Base RI'!AN11</f>
        <v>1332</v>
      </c>
      <c r="D9" s="116">
        <f>'D) Ecrêtage'!N9</f>
        <v>50.734897063730401</v>
      </c>
      <c r="E9" s="35">
        <f t="shared" si="3"/>
        <v>0</v>
      </c>
      <c r="F9" s="283">
        <f t="shared" si="4"/>
        <v>0</v>
      </c>
      <c r="G9" s="34">
        <f>+'A) Base RI'!AM11</f>
        <v>75</v>
      </c>
      <c r="H9" s="284">
        <f t="shared" si="5"/>
        <v>1.1028174583341761</v>
      </c>
      <c r="I9" s="58">
        <f t="shared" si="6"/>
        <v>0</v>
      </c>
    </row>
    <row r="10" spans="1:12" x14ac:dyDescent="0.25">
      <c r="A10" s="50">
        <f>'A) Base RI'!A12</f>
        <v>5406</v>
      </c>
      <c r="B10" s="33" t="str">
        <f>'A) Base RI'!B12</f>
        <v>Lavey-Morcles</v>
      </c>
      <c r="C10" s="100">
        <f>'A) Base RI'!AN12</f>
        <v>946</v>
      </c>
      <c r="D10" s="116">
        <f>'D) Ecrêtage'!N10</f>
        <v>22.818281834444626</v>
      </c>
      <c r="E10" s="35">
        <f t="shared" si="3"/>
        <v>22.245002601274962</v>
      </c>
      <c r="F10" s="283">
        <f t="shared" si="4"/>
        <v>403409.11807365326</v>
      </c>
      <c r="G10" s="34">
        <f>+'A) Base RI'!AM12</f>
        <v>71</v>
      </c>
      <c r="H10" s="284">
        <f t="shared" si="5"/>
        <v>1.0440005272230199</v>
      </c>
      <c r="I10" s="58">
        <f t="shared" si="6"/>
        <v>421159.33195546753</v>
      </c>
    </row>
    <row r="11" spans="1:12" x14ac:dyDescent="0.25">
      <c r="A11" s="50">
        <f>'A) Base RI'!A13</f>
        <v>5407</v>
      </c>
      <c r="B11" s="33" t="str">
        <f>'A) Base RI'!B13</f>
        <v>Leysin</v>
      </c>
      <c r="C11" s="100">
        <f>'A) Base RI'!AN13</f>
        <v>3939</v>
      </c>
      <c r="D11" s="116">
        <f>'D) Ecrêtage'!N11</f>
        <v>22.751029525043236</v>
      </c>
      <c r="E11" s="35">
        <f t="shared" si="3"/>
        <v>22.312254910676351</v>
      </c>
      <c r="F11" s="283">
        <f t="shared" si="4"/>
        <v>1850920.6922818266</v>
      </c>
      <c r="G11" s="34">
        <f>+'A) Base RI'!AM13</f>
        <v>78</v>
      </c>
      <c r="H11" s="284">
        <f t="shared" si="5"/>
        <v>1.1469301566675432</v>
      </c>
      <c r="I11" s="58">
        <f t="shared" si="6"/>
        <v>2122876.7595779928</v>
      </c>
    </row>
    <row r="12" spans="1:12" x14ac:dyDescent="0.25">
      <c r="A12" s="50">
        <f>'A) Base RI'!A14</f>
        <v>5408</v>
      </c>
      <c r="B12" s="33" t="str">
        <f>'A) Base RI'!B14</f>
        <v>Noville</v>
      </c>
      <c r="C12" s="100">
        <f>'A) Base RI'!AN14</f>
        <v>1113</v>
      </c>
      <c r="D12" s="116">
        <f>'D) Ecrêtage'!N12</f>
        <v>34.828128105787037</v>
      </c>
      <c r="E12" s="35">
        <f t="shared" si="3"/>
        <v>10.235156329932551</v>
      </c>
      <c r="F12" s="283">
        <f t="shared" si="4"/>
        <v>241447.69605358044</v>
      </c>
      <c r="G12" s="34">
        <f>+'A) Base RI'!AM14</f>
        <v>78.5</v>
      </c>
      <c r="H12" s="284">
        <f t="shared" si="5"/>
        <v>1.1542822730564377</v>
      </c>
      <c r="I12" s="58">
        <f t="shared" si="6"/>
        <v>278698.79542496672</v>
      </c>
    </row>
    <row r="13" spans="1:12" x14ac:dyDescent="0.25">
      <c r="A13" s="50">
        <f>'A) Base RI'!A15</f>
        <v>5409</v>
      </c>
      <c r="B13" s="33" t="str">
        <f>'A) Base RI'!B15</f>
        <v>Ollon</v>
      </c>
      <c r="C13" s="100">
        <f>'A) Base RI'!AN15</f>
        <v>7461</v>
      </c>
      <c r="D13" s="116">
        <f>'D) Ecrêtage'!N13</f>
        <v>49.464580254730336</v>
      </c>
      <c r="E13" s="35">
        <f t="shared" si="3"/>
        <v>0</v>
      </c>
      <c r="F13" s="283">
        <f t="shared" si="4"/>
        <v>0</v>
      </c>
      <c r="G13" s="34">
        <f>+'A) Base RI'!AM15</f>
        <v>68</v>
      </c>
      <c r="H13" s="284">
        <f t="shared" si="5"/>
        <v>0.999887828889653</v>
      </c>
      <c r="I13" s="58">
        <f t="shared" si="6"/>
        <v>0</v>
      </c>
    </row>
    <row r="14" spans="1:12" x14ac:dyDescent="0.25">
      <c r="A14" s="50">
        <f>'A) Base RI'!A16</f>
        <v>5410</v>
      </c>
      <c r="B14" s="33" t="str">
        <f>'A) Base RI'!B16</f>
        <v>Ormont-Dessous</v>
      </c>
      <c r="C14" s="100">
        <f>'A) Base RI'!AN16</f>
        <v>1121</v>
      </c>
      <c r="D14" s="116">
        <f>'D) Ecrêtage'!N14</f>
        <v>38.796743580856493</v>
      </c>
      <c r="E14" s="35">
        <f t="shared" si="3"/>
        <v>6.266540854863095</v>
      </c>
      <c r="F14" s="283">
        <f t="shared" si="4"/>
        <v>148890.47276250093</v>
      </c>
      <c r="G14" s="34">
        <f>+'A) Base RI'!AM16</f>
        <v>78.5</v>
      </c>
      <c r="H14" s="284">
        <f t="shared" si="5"/>
        <v>1.1542822730564377</v>
      </c>
      <c r="I14" s="58">
        <f t="shared" si="6"/>
        <v>171861.63333674718</v>
      </c>
    </row>
    <row r="15" spans="1:12" x14ac:dyDescent="0.25">
      <c r="A15" s="50">
        <f>'A) Base RI'!A17</f>
        <v>5411</v>
      </c>
      <c r="B15" s="33" t="str">
        <f>'A) Base RI'!B17</f>
        <v>Ormont-Dessus</v>
      </c>
      <c r="C15" s="100">
        <f>'A) Base RI'!AN17</f>
        <v>1446</v>
      </c>
      <c r="D15" s="116">
        <f>'D) Ecrêtage'!N15</f>
        <v>50.423442072504905</v>
      </c>
      <c r="E15" s="35">
        <f t="shared" si="3"/>
        <v>0</v>
      </c>
      <c r="F15" s="283">
        <f t="shared" si="4"/>
        <v>0</v>
      </c>
      <c r="G15" s="34">
        <f>+'A) Base RI'!AM17</f>
        <v>76</v>
      </c>
      <c r="H15" s="284">
        <f t="shared" si="5"/>
        <v>1.1175216911119652</v>
      </c>
      <c r="I15" s="58">
        <f t="shared" si="6"/>
        <v>0</v>
      </c>
    </row>
    <row r="16" spans="1:12" x14ac:dyDescent="0.25">
      <c r="A16" s="50">
        <f>'A) Base RI'!A18</f>
        <v>5412</v>
      </c>
      <c r="B16" s="33" t="str">
        <f>'A) Base RI'!B18</f>
        <v>Rennaz</v>
      </c>
      <c r="C16" s="100">
        <f>'A) Base RI'!AN18</f>
        <v>826</v>
      </c>
      <c r="D16" s="116">
        <f>'D) Ecrêtage'!N16</f>
        <v>34.009382118195674</v>
      </c>
      <c r="E16" s="35">
        <f t="shared" si="3"/>
        <v>11.053902317523914</v>
      </c>
      <c r="F16" s="283">
        <f t="shared" si="4"/>
        <v>166403.78740265738</v>
      </c>
      <c r="G16" s="34">
        <f>+'A) Base RI'!AM18</f>
        <v>67.5</v>
      </c>
      <c r="H16" s="284">
        <f t="shared" si="5"/>
        <v>0.99253571250075845</v>
      </c>
      <c r="I16" s="58">
        <f t="shared" si="6"/>
        <v>165161.70169252128</v>
      </c>
    </row>
    <row r="17" spans="1:9" x14ac:dyDescent="0.25">
      <c r="A17" s="50">
        <f>'A) Base RI'!A19</f>
        <v>5413</v>
      </c>
      <c r="B17" s="33" t="str">
        <f>'A) Base RI'!B19</f>
        <v>Roche</v>
      </c>
      <c r="C17" s="100">
        <f>'A) Base RI'!AN19</f>
        <v>1775</v>
      </c>
      <c r="D17" s="116">
        <f>'D) Ecrêtage'!N17</f>
        <v>22.287457746478871</v>
      </c>
      <c r="E17" s="35">
        <f t="shared" si="3"/>
        <v>22.775826689240716</v>
      </c>
      <c r="F17" s="283">
        <f t="shared" si="4"/>
        <v>742241.41597566579</v>
      </c>
      <c r="G17" s="34">
        <f>+'A) Base RI'!AM19</f>
        <v>68</v>
      </c>
      <c r="H17" s="284">
        <f t="shared" si="5"/>
        <v>0.999887828889653</v>
      </c>
      <c r="I17" s="58">
        <f t="shared" si="6"/>
        <v>742158.15793189022</v>
      </c>
    </row>
    <row r="18" spans="1:9" x14ac:dyDescent="0.25">
      <c r="A18" s="50">
        <f>'A) Base RI'!A20</f>
        <v>5414</v>
      </c>
      <c r="B18" s="33" t="str">
        <f>'A) Base RI'!B20</f>
        <v>Villeneuve</v>
      </c>
      <c r="C18" s="100">
        <f>'A) Base RI'!AN20</f>
        <v>5771</v>
      </c>
      <c r="D18" s="116">
        <f>'D) Ecrêtage'!N18</f>
        <v>28.702321603017584</v>
      </c>
      <c r="E18" s="35">
        <f t="shared" si="3"/>
        <v>16.360962832702004</v>
      </c>
      <c r="F18" s="283">
        <f t="shared" si="4"/>
        <v>1759028.1405351588</v>
      </c>
      <c r="G18" s="34">
        <f>+'A) Base RI'!AM20</f>
        <v>69</v>
      </c>
      <c r="H18" s="284">
        <f t="shared" si="5"/>
        <v>1.014592061667442</v>
      </c>
      <c r="I18" s="58">
        <f t="shared" si="6"/>
        <v>1784695.9876366137</v>
      </c>
    </row>
    <row r="19" spans="1:9" x14ac:dyDescent="0.25">
      <c r="A19" s="50">
        <f>'A) Base RI'!A21</f>
        <v>5415</v>
      </c>
      <c r="B19" s="33" t="str">
        <f>'A) Base RI'!B21</f>
        <v>Yvorne</v>
      </c>
      <c r="C19" s="100">
        <f>'A) Base RI'!AN21</f>
        <v>1066</v>
      </c>
      <c r="D19" s="116">
        <f>'D) Ecrêtage'!N19</f>
        <v>32.449111245227563</v>
      </c>
      <c r="E19" s="35">
        <f t="shared" si="3"/>
        <v>12.614173190492025</v>
      </c>
      <c r="F19" s="283">
        <f t="shared" si="4"/>
        <v>259588.70992965018</v>
      </c>
      <c r="G19" s="34">
        <f>+'A) Base RI'!AM21</f>
        <v>71.5</v>
      </c>
      <c r="H19" s="284">
        <f t="shared" si="5"/>
        <v>1.0513526436119145</v>
      </c>
      <c r="I19" s="58">
        <f t="shared" si="6"/>
        <v>272919.27643634414</v>
      </c>
    </row>
    <row r="20" spans="1:9" x14ac:dyDescent="0.25">
      <c r="A20" s="50">
        <f>'A) Base RI'!A22</f>
        <v>5421</v>
      </c>
      <c r="B20" s="33" t="str">
        <f>'A) Base RI'!B22</f>
        <v>Apples</v>
      </c>
      <c r="C20" s="100">
        <f>'A) Base RI'!AN22</f>
        <v>1469</v>
      </c>
      <c r="D20" s="116">
        <f>'D) Ecrêtage'!N20</f>
        <v>46.039425137042755</v>
      </c>
      <c r="E20" s="35">
        <f t="shared" si="3"/>
        <v>0</v>
      </c>
      <c r="F20" s="283">
        <f t="shared" si="4"/>
        <v>0</v>
      </c>
      <c r="G20" s="34">
        <f>+'A) Base RI'!AM22</f>
        <v>76</v>
      </c>
      <c r="H20" s="284">
        <f t="shared" si="5"/>
        <v>1.1175216911119652</v>
      </c>
      <c r="I20" s="58">
        <f t="shared" si="6"/>
        <v>0</v>
      </c>
    </row>
    <row r="21" spans="1:9" x14ac:dyDescent="0.25">
      <c r="A21" s="50">
        <f>'A) Base RI'!A23</f>
        <v>5422</v>
      </c>
      <c r="B21" s="33" t="str">
        <f>'A) Base RI'!B23</f>
        <v>Aubonne</v>
      </c>
      <c r="C21" s="100">
        <f>'A) Base RI'!AN23</f>
        <v>3242</v>
      </c>
      <c r="D21" s="116">
        <f>'D) Ecrêtage'!N21</f>
        <v>70.157856641670932</v>
      </c>
      <c r="E21" s="35">
        <f t="shared" si="3"/>
        <v>0</v>
      </c>
      <c r="F21" s="283">
        <f t="shared" si="4"/>
        <v>0</v>
      </c>
      <c r="G21" s="34">
        <f>+'A) Base RI'!AM23</f>
        <v>68</v>
      </c>
      <c r="H21" s="284">
        <f t="shared" si="5"/>
        <v>0.999887828889653</v>
      </c>
      <c r="I21" s="58">
        <f t="shared" si="6"/>
        <v>0</v>
      </c>
    </row>
    <row r="22" spans="1:9" x14ac:dyDescent="0.25">
      <c r="A22" s="50">
        <f>'A) Base RI'!A24</f>
        <v>5423</v>
      </c>
      <c r="B22" s="33" t="str">
        <f>'A) Base RI'!B24</f>
        <v>Ballens</v>
      </c>
      <c r="C22" s="100">
        <f>'A) Base RI'!AN24</f>
        <v>536</v>
      </c>
      <c r="D22" s="116">
        <f>'D) Ecrêtage'!N22</f>
        <v>25.786410498875487</v>
      </c>
      <c r="E22" s="35">
        <f t="shared" si="3"/>
        <v>19.276873936844101</v>
      </c>
      <c r="F22" s="283">
        <f t="shared" si="4"/>
        <v>203651.69131822573</v>
      </c>
      <c r="G22" s="34">
        <f>+'A) Base RI'!AM24</f>
        <v>73</v>
      </c>
      <c r="H22" s="284">
        <f t="shared" si="5"/>
        <v>1.0734089927785981</v>
      </c>
      <c r="I22" s="58">
        <f t="shared" si="6"/>
        <v>218601.55685555466</v>
      </c>
    </row>
    <row r="23" spans="1:9" x14ac:dyDescent="0.25">
      <c r="A23" s="50">
        <f>'A) Base RI'!A25</f>
        <v>5424</v>
      </c>
      <c r="B23" s="33" t="str">
        <f>'A) Base RI'!B25</f>
        <v>Berolle</v>
      </c>
      <c r="C23" s="100">
        <f>'A) Base RI'!AN25</f>
        <v>307</v>
      </c>
      <c r="D23" s="116">
        <f>'D) Ecrêtage'!N23</f>
        <v>30.285453699395074</v>
      </c>
      <c r="E23" s="35">
        <f t="shared" si="3"/>
        <v>14.777830736324514</v>
      </c>
      <c r="F23" s="283">
        <f t="shared" si="4"/>
        <v>94319.948009513304</v>
      </c>
      <c r="G23" s="34">
        <f>+'A) Base RI'!AM25</f>
        <v>77</v>
      </c>
      <c r="H23" s="284">
        <f t="shared" si="5"/>
        <v>1.1322259238897541</v>
      </c>
      <c r="I23" s="58">
        <f t="shared" si="6"/>
        <v>106791.49027630477</v>
      </c>
    </row>
    <row r="24" spans="1:9" x14ac:dyDescent="0.25">
      <c r="A24" s="50">
        <f>'A) Base RI'!A26</f>
        <v>5425</v>
      </c>
      <c r="B24" s="33" t="str">
        <f>'A) Base RI'!B26</f>
        <v>Bière</v>
      </c>
      <c r="C24" s="100">
        <f>'A) Base RI'!AN26</f>
        <v>1595</v>
      </c>
      <c r="D24" s="116">
        <f>'D) Ecrêtage'!N24</f>
        <v>24.718199091990055</v>
      </c>
      <c r="E24" s="35">
        <f t="shared" si="3"/>
        <v>20.345085343729533</v>
      </c>
      <c r="F24" s="283">
        <f t="shared" si="4"/>
        <v>613312.77022939874</v>
      </c>
      <c r="G24" s="34">
        <f>+'A) Base RI'!AM26</f>
        <v>70</v>
      </c>
      <c r="H24" s="284">
        <f t="shared" si="5"/>
        <v>1.0292962944452311</v>
      </c>
      <c r="I24" s="58">
        <f t="shared" si="6"/>
        <v>631280.56173305959</v>
      </c>
    </row>
    <row r="25" spans="1:9" x14ac:dyDescent="0.25">
      <c r="A25" s="50">
        <f>'A) Base RI'!A27</f>
        <v>5426</v>
      </c>
      <c r="B25" s="33" t="str">
        <f>'A) Base RI'!B27</f>
        <v>Bougy-Villars</v>
      </c>
      <c r="C25" s="100">
        <f>'A) Base RI'!AN27</f>
        <v>490</v>
      </c>
      <c r="D25" s="116">
        <f>'D) Ecrêtage'!N25</f>
        <v>92.689354076725195</v>
      </c>
      <c r="E25" s="35">
        <f t="shared" si="3"/>
        <v>0</v>
      </c>
      <c r="F25" s="283">
        <f t="shared" si="4"/>
        <v>0</v>
      </c>
      <c r="G25" s="34">
        <f>+'A) Base RI'!AM27</f>
        <v>66</v>
      </c>
      <c r="H25" s="284">
        <f t="shared" si="5"/>
        <v>0.97047936333407503</v>
      </c>
      <c r="I25" s="58">
        <f t="shared" si="6"/>
        <v>0</v>
      </c>
    </row>
    <row r="26" spans="1:9" x14ac:dyDescent="0.25">
      <c r="A26" s="50">
        <f>'A) Base RI'!A28</f>
        <v>5427</v>
      </c>
      <c r="B26" s="33" t="str">
        <f>'A) Base RI'!B28</f>
        <v>Féchy</v>
      </c>
      <c r="C26" s="100">
        <f>'A) Base RI'!AN28</f>
        <v>860</v>
      </c>
      <c r="D26" s="116">
        <f>'D) Ecrêtage'!N26</f>
        <v>78.845524583572654</v>
      </c>
      <c r="E26" s="35">
        <f t="shared" si="3"/>
        <v>0</v>
      </c>
      <c r="F26" s="283">
        <f t="shared" si="4"/>
        <v>0</v>
      </c>
      <c r="G26" s="34">
        <f>+'A) Base RI'!AM28</f>
        <v>64</v>
      </c>
      <c r="H26" s="284">
        <f t="shared" si="5"/>
        <v>0.94107089777849695</v>
      </c>
      <c r="I26" s="58">
        <f t="shared" si="6"/>
        <v>0</v>
      </c>
    </row>
    <row r="27" spans="1:9" x14ac:dyDescent="0.25">
      <c r="A27" s="50">
        <f>'A) Base RI'!A29</f>
        <v>5428</v>
      </c>
      <c r="B27" s="33" t="str">
        <f>'A) Base RI'!B29</f>
        <v>Gimel</v>
      </c>
      <c r="C27" s="100">
        <f>'A) Base RI'!AN29</f>
        <v>2186</v>
      </c>
      <c r="D27" s="116">
        <f>'D) Ecrêtage'!N27</f>
        <v>27.363839691872634</v>
      </c>
      <c r="E27" s="35">
        <f t="shared" si="3"/>
        <v>17.699444743846954</v>
      </c>
      <c r="F27" s="283">
        <f t="shared" si="4"/>
        <v>746929.48878500459</v>
      </c>
      <c r="G27" s="34">
        <f>+'A) Base RI'!AM29</f>
        <v>71.5</v>
      </c>
      <c r="H27" s="284">
        <f t="shared" si="5"/>
        <v>1.0513526436119145</v>
      </c>
      <c r="I27" s="58">
        <f t="shared" si="6"/>
        <v>785286.29262581037</v>
      </c>
    </row>
    <row r="28" spans="1:9" x14ac:dyDescent="0.25">
      <c r="A28" s="50">
        <f>'A) Base RI'!A30</f>
        <v>5429</v>
      </c>
      <c r="B28" s="33" t="str">
        <f>'A) Base RI'!B30</f>
        <v>Longirod</v>
      </c>
      <c r="C28" s="100">
        <f>'A) Base RI'!AN30</f>
        <v>478</v>
      </c>
      <c r="D28" s="116">
        <f>'D) Ecrêtage'!N28</f>
        <v>28.856446355700196</v>
      </c>
      <c r="E28" s="35">
        <f t="shared" si="3"/>
        <v>16.206838080019391</v>
      </c>
      <c r="F28" s="283">
        <f t="shared" si="4"/>
        <v>169424.01633119155</v>
      </c>
      <c r="G28" s="34">
        <f>+'A) Base RI'!AM30</f>
        <v>81</v>
      </c>
      <c r="H28" s="284">
        <f t="shared" si="5"/>
        <v>1.1910428550009102</v>
      </c>
      <c r="I28" s="58">
        <f t="shared" si="6"/>
        <v>201791.26411682324</v>
      </c>
    </row>
    <row r="29" spans="1:9" x14ac:dyDescent="0.25">
      <c r="A29" s="50">
        <f>'A) Base RI'!A31</f>
        <v>5430</v>
      </c>
      <c r="B29" s="33" t="str">
        <f>'A) Base RI'!B31</f>
        <v>Marchissy</v>
      </c>
      <c r="C29" s="100">
        <f>'A) Base RI'!AN31</f>
        <v>463</v>
      </c>
      <c r="D29" s="116">
        <f>'D) Ecrêtage'!N29</f>
        <v>29.409183639992346</v>
      </c>
      <c r="E29" s="35">
        <f t="shared" si="3"/>
        <v>15.654100795727242</v>
      </c>
      <c r="F29" s="283">
        <f t="shared" si="4"/>
        <v>154596.61209743514</v>
      </c>
      <c r="G29" s="34">
        <f>+'A) Base RI'!AM31</f>
        <v>79</v>
      </c>
      <c r="H29" s="284">
        <f t="shared" si="5"/>
        <v>1.1616343894453323</v>
      </c>
      <c r="I29" s="58">
        <f t="shared" si="6"/>
        <v>179584.74110412094</v>
      </c>
    </row>
    <row r="30" spans="1:9" x14ac:dyDescent="0.25">
      <c r="A30" s="50">
        <f>'A) Base RI'!A32</f>
        <v>5431</v>
      </c>
      <c r="B30" s="33" t="str">
        <f>'A) Base RI'!B32</f>
        <v>Mollens</v>
      </c>
      <c r="C30" s="100">
        <f>'A) Base RI'!AN32</f>
        <v>283</v>
      </c>
      <c r="D30" s="116">
        <f>'D) Ecrêtage'!N30</f>
        <v>30.489385923025502</v>
      </c>
      <c r="E30" s="35">
        <f t="shared" si="3"/>
        <v>14.573898512694086</v>
      </c>
      <c r="F30" s="283">
        <f t="shared" si="4"/>
        <v>82405.7773162667</v>
      </c>
      <c r="G30" s="34">
        <f>+'A) Base RI'!AM32</f>
        <v>74</v>
      </c>
      <c r="H30" s="284">
        <f t="shared" si="5"/>
        <v>1.088113225556387</v>
      </c>
      <c r="I30" s="58">
        <f t="shared" si="6"/>
        <v>89666.816160084301</v>
      </c>
    </row>
    <row r="31" spans="1:9" x14ac:dyDescent="0.25">
      <c r="A31" s="50">
        <f>'A) Base RI'!A33</f>
        <v>5432</v>
      </c>
      <c r="B31" s="33" t="str">
        <f>'A) Base RI'!B33</f>
        <v>Montherod</v>
      </c>
      <c r="C31" s="100">
        <f>'A) Base RI'!AN33</f>
        <v>536</v>
      </c>
      <c r="D31" s="116">
        <f>'D) Ecrêtage'!N31</f>
        <v>34.072337830080372</v>
      </c>
      <c r="E31" s="35">
        <f t="shared" si="3"/>
        <v>10.990946605639216</v>
      </c>
      <c r="F31" s="283">
        <f t="shared" si="4"/>
        <v>124067.56383591237</v>
      </c>
      <c r="G31" s="34">
        <f>+'A) Base RI'!AM33</f>
        <v>78</v>
      </c>
      <c r="H31" s="284">
        <f t="shared" si="5"/>
        <v>1.1469301566675432</v>
      </c>
      <c r="I31" s="58">
        <f t="shared" si="6"/>
        <v>142296.8304276834</v>
      </c>
    </row>
    <row r="32" spans="1:9" x14ac:dyDescent="0.25">
      <c r="A32" s="50">
        <f>'A) Base RI'!A34</f>
        <v>5434</v>
      </c>
      <c r="B32" s="33" t="str">
        <f>'A) Base RI'!B34</f>
        <v>Saint-George</v>
      </c>
      <c r="C32" s="100">
        <f>'A) Base RI'!AN34</f>
        <v>1031</v>
      </c>
      <c r="D32" s="116">
        <f>'D) Ecrêtage'!N32</f>
        <v>35.681082635483122</v>
      </c>
      <c r="E32" s="35">
        <f t="shared" si="3"/>
        <v>9.3822018002364658</v>
      </c>
      <c r="F32" s="283">
        <f t="shared" si="4"/>
        <v>185432.36957435959</v>
      </c>
      <c r="G32" s="34">
        <f>+'A) Base RI'!AM34</f>
        <v>71</v>
      </c>
      <c r="H32" s="284">
        <f t="shared" si="5"/>
        <v>1.0440005272230199</v>
      </c>
      <c r="I32" s="58">
        <f t="shared" si="6"/>
        <v>193591.49159984529</v>
      </c>
    </row>
    <row r="33" spans="1:9" x14ac:dyDescent="0.25">
      <c r="A33" s="50">
        <f>'A) Base RI'!A35</f>
        <v>5435</v>
      </c>
      <c r="B33" s="33" t="str">
        <f>'A) Base RI'!B35</f>
        <v>Saint-Livres</v>
      </c>
      <c r="C33" s="100">
        <f>'A) Base RI'!AN35</f>
        <v>690</v>
      </c>
      <c r="D33" s="116">
        <f>'D) Ecrêtage'!N33</f>
        <v>34.993147027935301</v>
      </c>
      <c r="E33" s="35">
        <f t="shared" si="3"/>
        <v>10.070137407784287</v>
      </c>
      <c r="F33" s="283">
        <f t="shared" si="4"/>
        <v>129448.59533584469</v>
      </c>
      <c r="G33" s="34">
        <f>+'A) Base RI'!AM35</f>
        <v>69</v>
      </c>
      <c r="H33" s="284">
        <f t="shared" si="5"/>
        <v>1.014592061667442</v>
      </c>
      <c r="I33" s="58">
        <f t="shared" si="6"/>
        <v>131337.51722174906</v>
      </c>
    </row>
    <row r="34" spans="1:9" x14ac:dyDescent="0.25">
      <c r="A34" s="50">
        <f>'A) Base RI'!A36</f>
        <v>5436</v>
      </c>
      <c r="B34" s="33" t="str">
        <f>'A) Base RI'!B36</f>
        <v>Saint-Oyens</v>
      </c>
      <c r="C34" s="100">
        <f>'A) Base RI'!AN36</f>
        <v>448</v>
      </c>
      <c r="D34" s="116">
        <f>'D) Ecrêtage'!N34</f>
        <v>33.654744888117293</v>
      </c>
      <c r="E34" s="35">
        <f t="shared" si="3"/>
        <v>11.408539547602295</v>
      </c>
      <c r="F34" s="283">
        <f t="shared" si="4"/>
        <v>111778.13243791589</v>
      </c>
      <c r="G34" s="34">
        <f>+'A) Base RI'!AM36</f>
        <v>81</v>
      </c>
      <c r="H34" s="284">
        <f t="shared" si="5"/>
        <v>1.1910428550009102</v>
      </c>
      <c r="I34" s="58">
        <f t="shared" si="6"/>
        <v>133132.54598552518</v>
      </c>
    </row>
    <row r="35" spans="1:9" x14ac:dyDescent="0.25">
      <c r="A35" s="50">
        <f>'A) Base RI'!A37</f>
        <v>5437</v>
      </c>
      <c r="B35" s="33" t="str">
        <f>'A) Base RI'!B37</f>
        <v>Saubraz</v>
      </c>
      <c r="C35" s="100">
        <f>'A) Base RI'!AN37</f>
        <v>418</v>
      </c>
      <c r="D35" s="116">
        <f>'D) Ecrêtage'!N35</f>
        <v>27.325932117224877</v>
      </c>
      <c r="E35" s="35">
        <f t="shared" si="3"/>
        <v>17.737352318494711</v>
      </c>
      <c r="F35" s="283">
        <f t="shared" si="4"/>
        <v>160147.00661322506</v>
      </c>
      <c r="G35" s="34">
        <f>+'A) Base RI'!AM37</f>
        <v>80</v>
      </c>
      <c r="H35" s="284">
        <f t="shared" si="5"/>
        <v>1.1763386222231211</v>
      </c>
      <c r="I35" s="58">
        <f t="shared" si="6"/>
        <v>188387.10911255825</v>
      </c>
    </row>
    <row r="36" spans="1:9" x14ac:dyDescent="0.25">
      <c r="A36" s="50">
        <f>'A) Base RI'!A38</f>
        <v>5451</v>
      </c>
      <c r="B36" s="33" t="str">
        <f>'A) Base RI'!B38</f>
        <v>Avenches</v>
      </c>
      <c r="C36" s="100">
        <f>'A) Base RI'!AN38</f>
        <v>4282</v>
      </c>
      <c r="D36" s="116">
        <f>'D) Ecrêtage'!N36</f>
        <v>35.207317521590603</v>
      </c>
      <c r="E36" s="35">
        <f t="shared" si="3"/>
        <v>9.8559669141289845</v>
      </c>
      <c r="F36" s="283">
        <f t="shared" si="4"/>
        <v>774851.67599087371</v>
      </c>
      <c r="G36" s="34">
        <f>+'A) Base RI'!AM38</f>
        <v>68</v>
      </c>
      <c r="H36" s="284">
        <f t="shared" si="5"/>
        <v>0.999887828889653</v>
      </c>
      <c r="I36" s="58">
        <f t="shared" si="6"/>
        <v>774764.76001802355</v>
      </c>
    </row>
    <row r="37" spans="1:9" x14ac:dyDescent="0.25">
      <c r="A37" s="50">
        <f>'A) Base RI'!A39</f>
        <v>5456</v>
      </c>
      <c r="B37" s="33" t="str">
        <f>'A) Base RI'!B39</f>
        <v>Cudrefin</v>
      </c>
      <c r="C37" s="100">
        <f>'A) Base RI'!AN39</f>
        <v>1633</v>
      </c>
      <c r="D37" s="116">
        <f>'D) Ecrêtage'!N37</f>
        <v>36.360658453299017</v>
      </c>
      <c r="E37" s="35">
        <f t="shared" si="3"/>
        <v>8.7026259824205709</v>
      </c>
      <c r="F37" s="283">
        <f t="shared" si="4"/>
        <v>226387.41449263418</v>
      </c>
      <c r="G37" s="34">
        <f>+'A) Base RI'!AM39</f>
        <v>59</v>
      </c>
      <c r="H37" s="284">
        <f t="shared" si="5"/>
        <v>0.86754973388955192</v>
      </c>
      <c r="I37" s="58">
        <f t="shared" si="6"/>
        <v>196402.34119902848</v>
      </c>
    </row>
    <row r="38" spans="1:9" x14ac:dyDescent="0.25">
      <c r="A38" s="50">
        <f>'A) Base RI'!A40</f>
        <v>5458</v>
      </c>
      <c r="B38" s="33" t="str">
        <f>'A) Base RI'!B40</f>
        <v>Faoug</v>
      </c>
      <c r="C38" s="100">
        <f>'A) Base RI'!AN40</f>
        <v>904</v>
      </c>
      <c r="D38" s="116">
        <f>'D) Ecrêtage'!N38</f>
        <v>33.771817443307519</v>
      </c>
      <c r="E38" s="35">
        <f t="shared" si="3"/>
        <v>11.291466992412069</v>
      </c>
      <c r="F38" s="283">
        <f t="shared" si="4"/>
        <v>176385.36086450802</v>
      </c>
      <c r="G38" s="34">
        <f>+'A) Base RI'!AM40</f>
        <v>64</v>
      </c>
      <c r="H38" s="284">
        <f t="shared" si="5"/>
        <v>0.94107089777849695</v>
      </c>
      <c r="I38" s="58">
        <f t="shared" si="6"/>
        <v>165991.12990374674</v>
      </c>
    </row>
    <row r="39" spans="1:9" x14ac:dyDescent="0.25">
      <c r="A39" s="50">
        <f>'A) Base RI'!A41</f>
        <v>5464</v>
      </c>
      <c r="B39" s="33" t="str">
        <f>'A) Base RI'!B41</f>
        <v>Vully-les-Lacs</v>
      </c>
      <c r="C39" s="100">
        <f>'A) Base RI'!AN41</f>
        <v>3163</v>
      </c>
      <c r="D39" s="116">
        <f>'D) Ecrêtage'!N39</f>
        <v>32.868475847131712</v>
      </c>
      <c r="E39" s="35">
        <f t="shared" si="3"/>
        <v>12.194808588587875</v>
      </c>
      <c r="F39" s="283">
        <f t="shared" si="4"/>
        <v>697770.72834357549</v>
      </c>
      <c r="G39" s="34">
        <f>+'A) Base RI'!AM41</f>
        <v>67</v>
      </c>
      <c r="H39" s="284">
        <f t="shared" si="5"/>
        <v>0.98518359611186401</v>
      </c>
      <c r="I39" s="58">
        <f t="shared" si="6"/>
        <v>687432.27541111829</v>
      </c>
    </row>
    <row r="40" spans="1:9" x14ac:dyDescent="0.25">
      <c r="A40" s="50">
        <f>'A) Base RI'!A42</f>
        <v>5471</v>
      </c>
      <c r="B40" s="33" t="str">
        <f>'A) Base RI'!B42</f>
        <v>Bettens</v>
      </c>
      <c r="C40" s="100">
        <f>'A) Base RI'!AN42</f>
        <v>592</v>
      </c>
      <c r="D40" s="116">
        <f>'D) Ecrêtage'!N40</f>
        <v>31.39372798691549</v>
      </c>
      <c r="E40" s="35">
        <f t="shared" si="3"/>
        <v>13.669556448804098</v>
      </c>
      <c r="F40" s="283">
        <f t="shared" si="4"/>
        <v>152945.93319437932</v>
      </c>
      <c r="G40" s="34">
        <f>+'A) Base RI'!AM42</f>
        <v>70</v>
      </c>
      <c r="H40" s="284">
        <f t="shared" si="5"/>
        <v>1.0292962944452311</v>
      </c>
      <c r="I40" s="58">
        <f t="shared" si="6"/>
        <v>157426.6822874425</v>
      </c>
    </row>
    <row r="41" spans="1:9" x14ac:dyDescent="0.25">
      <c r="A41" s="50">
        <f>'A) Base RI'!A43</f>
        <v>5472</v>
      </c>
      <c r="B41" s="33" t="str">
        <f>'A) Base RI'!B43</f>
        <v>Bournens</v>
      </c>
      <c r="C41" s="100">
        <f>'A) Base RI'!AN43</f>
        <v>404</v>
      </c>
      <c r="D41" s="116">
        <f>'D) Ecrêtage'!N41</f>
        <v>40.947175286607603</v>
      </c>
      <c r="E41" s="35">
        <f t="shared" si="3"/>
        <v>4.1161091491119848</v>
      </c>
      <c r="F41" s="283">
        <f t="shared" si="4"/>
        <v>34122.874134870282</v>
      </c>
      <c r="G41" s="34">
        <f>+'A) Base RI'!AM43</f>
        <v>76</v>
      </c>
      <c r="H41" s="284">
        <f t="shared" si="5"/>
        <v>1.1175216911119652</v>
      </c>
      <c r="I41" s="58">
        <f t="shared" si="6"/>
        <v>38133.052008800973</v>
      </c>
    </row>
    <row r="42" spans="1:9" x14ac:dyDescent="0.25">
      <c r="A42" s="50">
        <f>'A) Base RI'!A44</f>
        <v>5473</v>
      </c>
      <c r="B42" s="33" t="str">
        <f>'A) Base RI'!B44</f>
        <v>Boussens</v>
      </c>
      <c r="C42" s="100">
        <f>'A) Base RI'!AN44</f>
        <v>968</v>
      </c>
      <c r="D42" s="116">
        <f>'D) Ecrêtage'!N42</f>
        <v>37.934757156545707</v>
      </c>
      <c r="E42" s="35">
        <f t="shared" si="3"/>
        <v>7.1285272791738805</v>
      </c>
      <c r="F42" s="283">
        <f t="shared" si="4"/>
        <v>128554.7203882571</v>
      </c>
      <c r="G42" s="34">
        <f>+'A) Base RI'!AM44</f>
        <v>69</v>
      </c>
      <c r="H42" s="284">
        <f t="shared" si="5"/>
        <v>1.014592061667442</v>
      </c>
      <c r="I42" s="58">
        <f t="shared" si="6"/>
        <v>130430.59879580331</v>
      </c>
    </row>
    <row r="43" spans="1:9" x14ac:dyDescent="0.25">
      <c r="A43" s="50">
        <f>'A) Base RI'!A45</f>
        <v>5474</v>
      </c>
      <c r="B43" s="33" t="str">
        <f>'A) Base RI'!B45</f>
        <v>La Chaux (Cossonay)</v>
      </c>
      <c r="C43" s="100">
        <f>'A) Base RI'!AN45</f>
        <v>410</v>
      </c>
      <c r="D43" s="116">
        <f>'D) Ecrêtage'!N43</f>
        <v>31.67169158483793</v>
      </c>
      <c r="E43" s="35">
        <f t="shared" si="3"/>
        <v>13.391592850881658</v>
      </c>
      <c r="F43" s="283">
        <f t="shared" si="4"/>
        <v>114148.59830163018</v>
      </c>
      <c r="G43" s="34">
        <f>+'A) Base RI'!AM45</f>
        <v>77</v>
      </c>
      <c r="H43" s="284">
        <f t="shared" si="5"/>
        <v>1.1322259238897541</v>
      </c>
      <c r="I43" s="58">
        <f t="shared" si="6"/>
        <v>129242.00217278364</v>
      </c>
    </row>
    <row r="44" spans="1:9" x14ac:dyDescent="0.25">
      <c r="A44" s="50">
        <f>'A) Base RI'!A46</f>
        <v>5475</v>
      </c>
      <c r="B44" s="33" t="str">
        <f>'A) Base RI'!B46</f>
        <v>Chavannes-le-Veyron</v>
      </c>
      <c r="C44" s="100">
        <f>'A) Base RI'!AN46</f>
        <v>142</v>
      </c>
      <c r="D44" s="116">
        <f>'D) Ecrêtage'!N44</f>
        <v>34.904234497896468</v>
      </c>
      <c r="E44" s="35">
        <f t="shared" si="3"/>
        <v>10.15904993782312</v>
      </c>
      <c r="F44" s="283">
        <f t="shared" si="4"/>
        <v>29991.34404544266</v>
      </c>
      <c r="G44" s="34">
        <f>+'A) Base RI'!AM46</f>
        <v>77</v>
      </c>
      <c r="H44" s="284">
        <f t="shared" si="5"/>
        <v>1.1322259238897541</v>
      </c>
      <c r="I44" s="58">
        <f t="shared" si="6"/>
        <v>33956.977220546789</v>
      </c>
    </row>
    <row r="45" spans="1:9" x14ac:dyDescent="0.25">
      <c r="A45" s="50">
        <f>'A) Base RI'!A47</f>
        <v>5476</v>
      </c>
      <c r="B45" s="33" t="str">
        <f>'A) Base RI'!B47</f>
        <v>Chevilly</v>
      </c>
      <c r="C45" s="100">
        <f>'A) Base RI'!AN47</f>
        <v>314</v>
      </c>
      <c r="D45" s="116">
        <f>'D) Ecrêtage'!N45</f>
        <v>33.855567223274235</v>
      </c>
      <c r="E45" s="35">
        <f t="shared" si="3"/>
        <v>11.207717212445353</v>
      </c>
      <c r="F45" s="283">
        <f t="shared" si="4"/>
        <v>70314.079630062653</v>
      </c>
      <c r="G45" s="34">
        <f>+'A) Base RI'!AM47</f>
        <v>74</v>
      </c>
      <c r="H45" s="284">
        <f t="shared" si="5"/>
        <v>1.088113225556387</v>
      </c>
      <c r="I45" s="58">
        <f t="shared" si="6"/>
        <v>76509.67998829612</v>
      </c>
    </row>
    <row r="46" spans="1:9" x14ac:dyDescent="0.25">
      <c r="A46" s="50">
        <f>'A) Base RI'!A48</f>
        <v>5477</v>
      </c>
      <c r="B46" s="33" t="str">
        <f>'A) Base RI'!B48</f>
        <v>Cossonay</v>
      </c>
      <c r="C46" s="100">
        <f>'A) Base RI'!AN48</f>
        <v>3871</v>
      </c>
      <c r="D46" s="116">
        <f>'D) Ecrêtage'!N46</f>
        <v>34.48129558544759</v>
      </c>
      <c r="E46" s="35">
        <f t="shared" si="3"/>
        <v>10.581988850271998</v>
      </c>
      <c r="F46" s="283">
        <f t="shared" si="4"/>
        <v>785258.38735135377</v>
      </c>
      <c r="G46" s="34">
        <f>+'A) Base RI'!AM48</f>
        <v>71</v>
      </c>
      <c r="H46" s="284">
        <f t="shared" si="5"/>
        <v>1.0440005272230199</v>
      </c>
      <c r="I46" s="58">
        <f t="shared" si="6"/>
        <v>819810.17040111171</v>
      </c>
    </row>
    <row r="47" spans="1:9" x14ac:dyDescent="0.25">
      <c r="A47" s="50">
        <f>'A) Base RI'!A49</f>
        <v>5478</v>
      </c>
      <c r="B47" s="33" t="str">
        <f>'A) Base RI'!B49</f>
        <v>Cottens</v>
      </c>
      <c r="C47" s="100">
        <f>'A) Base RI'!AN49</f>
        <v>486</v>
      </c>
      <c r="D47" s="116">
        <f>'D) Ecrêtage'!N47</f>
        <v>29.583165387609831</v>
      </c>
      <c r="E47" s="35">
        <f t="shared" si="3"/>
        <v>15.480119048109756</v>
      </c>
      <c r="F47" s="283">
        <f t="shared" si="4"/>
        <v>150316.2903904792</v>
      </c>
      <c r="G47" s="34">
        <f>+'A) Base RI'!AM49</f>
        <v>74</v>
      </c>
      <c r="H47" s="284">
        <f t="shared" si="5"/>
        <v>1.088113225556387</v>
      </c>
      <c r="I47" s="58">
        <f t="shared" si="6"/>
        <v>163561.14359045486</v>
      </c>
    </row>
    <row r="48" spans="1:9" x14ac:dyDescent="0.25">
      <c r="A48" s="50">
        <f>'A) Base RI'!A50</f>
        <v>5479</v>
      </c>
      <c r="B48" s="33" t="str">
        <f>'A) Base RI'!B50</f>
        <v>Cuarnens</v>
      </c>
      <c r="C48" s="100">
        <f>'A) Base RI'!AN50</f>
        <v>479</v>
      </c>
      <c r="D48" s="116">
        <f>'D) Ecrêtage'!N48</f>
        <v>34.353595152238157</v>
      </c>
      <c r="E48" s="35">
        <f t="shared" si="3"/>
        <v>10.709689283481431</v>
      </c>
      <c r="F48" s="283">
        <f t="shared" si="4"/>
        <v>106651.47685751432</v>
      </c>
      <c r="G48" s="34">
        <f>+'A) Base RI'!AM50</f>
        <v>77</v>
      </c>
      <c r="H48" s="284">
        <f t="shared" si="5"/>
        <v>1.1322259238897541</v>
      </c>
      <c r="I48" s="58">
        <f t="shared" si="6"/>
        <v>120753.56691920588</v>
      </c>
    </row>
    <row r="49" spans="1:9" x14ac:dyDescent="0.25">
      <c r="A49" s="50">
        <f>'A) Base RI'!A51</f>
        <v>5480</v>
      </c>
      <c r="B49" s="33" t="str">
        <f>'A) Base RI'!B51</f>
        <v>Daillens</v>
      </c>
      <c r="C49" s="100">
        <f>'A) Base RI'!AN51</f>
        <v>1027</v>
      </c>
      <c r="D49" s="116">
        <f>'D) Ecrêtage'!N49</f>
        <v>40.382467874432578</v>
      </c>
      <c r="E49" s="35">
        <f t="shared" si="3"/>
        <v>4.6808165612870098</v>
      </c>
      <c r="F49" s="283">
        <f t="shared" si="4"/>
        <v>92153.997323828531</v>
      </c>
      <c r="G49" s="34">
        <f>+'A) Base RI'!AM51</f>
        <v>71</v>
      </c>
      <c r="H49" s="284">
        <f t="shared" si="5"/>
        <v>1.0440005272230199</v>
      </c>
      <c r="I49" s="58">
        <f t="shared" si="6"/>
        <v>96208.821791785755</v>
      </c>
    </row>
    <row r="50" spans="1:9" x14ac:dyDescent="0.25">
      <c r="A50" s="50">
        <f>'A) Base RI'!A52</f>
        <v>5481</v>
      </c>
      <c r="B50" s="33" t="str">
        <f>'A) Base RI'!B52</f>
        <v>Dizy</v>
      </c>
      <c r="C50" s="100">
        <f>'A) Base RI'!AN52</f>
        <v>223</v>
      </c>
      <c r="D50" s="116">
        <f>'D) Ecrêtage'!N50</f>
        <v>49.718712039507288</v>
      </c>
      <c r="E50" s="35">
        <f t="shared" si="3"/>
        <v>0</v>
      </c>
      <c r="F50" s="283">
        <f t="shared" si="4"/>
        <v>0</v>
      </c>
      <c r="G50" s="34">
        <f>+'A) Base RI'!AM52</f>
        <v>79</v>
      </c>
      <c r="H50" s="284">
        <f t="shared" si="5"/>
        <v>1.1616343894453323</v>
      </c>
      <c r="I50" s="58">
        <f t="shared" si="6"/>
        <v>0</v>
      </c>
    </row>
    <row r="51" spans="1:9" x14ac:dyDescent="0.25">
      <c r="A51" s="50">
        <f>'A) Base RI'!A53</f>
        <v>5482</v>
      </c>
      <c r="B51" s="33" t="str">
        <f>'A) Base RI'!B53</f>
        <v>Eclépens</v>
      </c>
      <c r="C51" s="100">
        <f>'A) Base RI'!AN53</f>
        <v>1211</v>
      </c>
      <c r="D51" s="116">
        <f>'D) Ecrêtage'!N51</f>
        <v>40.472090977632575</v>
      </c>
      <c r="E51" s="35">
        <f t="shared" si="3"/>
        <v>4.5911934580870124</v>
      </c>
      <c r="F51" s="283">
        <f t="shared" si="4"/>
        <v>69054.396149572698</v>
      </c>
      <c r="G51" s="34">
        <f>+'A) Base RI'!AM53</f>
        <v>46</v>
      </c>
      <c r="H51" s="284">
        <f t="shared" si="5"/>
        <v>0.67639470777829469</v>
      </c>
      <c r="I51" s="58">
        <f t="shared" si="6"/>
        <v>46708.028104396821</v>
      </c>
    </row>
    <row r="52" spans="1:9" x14ac:dyDescent="0.25">
      <c r="A52" s="50">
        <f>'A) Base RI'!A54</f>
        <v>5483</v>
      </c>
      <c r="B52" s="33" t="str">
        <f>'A) Base RI'!B54</f>
        <v>Ferreyres</v>
      </c>
      <c r="C52" s="100">
        <f>'A) Base RI'!AN54</f>
        <v>310</v>
      </c>
      <c r="D52" s="116">
        <f>'D) Ecrêtage'!N52</f>
        <v>28.574845076400685</v>
      </c>
      <c r="E52" s="35">
        <f t="shared" si="3"/>
        <v>16.488439359318903</v>
      </c>
      <c r="F52" s="283">
        <f t="shared" si="4"/>
        <v>104886.26045249941</v>
      </c>
      <c r="G52" s="34">
        <f>+'A) Base RI'!AM54</f>
        <v>76</v>
      </c>
      <c r="H52" s="284">
        <f t="shared" si="5"/>
        <v>1.1175216911119652</v>
      </c>
      <c r="I52" s="58">
        <f t="shared" si="6"/>
        <v>117212.67115528717</v>
      </c>
    </row>
    <row r="53" spans="1:9" x14ac:dyDescent="0.25">
      <c r="A53" s="50">
        <f>'A) Base RI'!A55</f>
        <v>5484</v>
      </c>
      <c r="B53" s="33" t="str">
        <f>'A) Base RI'!B55</f>
        <v>Gollion</v>
      </c>
      <c r="C53" s="100">
        <f>'A) Base RI'!AN55</f>
        <v>939</v>
      </c>
      <c r="D53" s="116">
        <f>'D) Ecrêtage'!N53</f>
        <v>34.285815847796677</v>
      </c>
      <c r="E53" s="35">
        <f t="shared" si="3"/>
        <v>10.777468587922911</v>
      </c>
      <c r="F53" s="283">
        <f t="shared" si="4"/>
        <v>202198.45922111109</v>
      </c>
      <c r="G53" s="34">
        <f>+'A) Base RI'!AM55</f>
        <v>74</v>
      </c>
      <c r="H53" s="284">
        <f t="shared" si="5"/>
        <v>1.088113225556387</v>
      </c>
      <c r="I53" s="58">
        <f t="shared" si="6"/>
        <v>220014.81766561477</v>
      </c>
    </row>
    <row r="54" spans="1:9" x14ac:dyDescent="0.25">
      <c r="A54" s="50">
        <f>'A) Base RI'!A56</f>
        <v>5485</v>
      </c>
      <c r="B54" s="33" t="str">
        <f>'A) Base RI'!B56</f>
        <v>Grancy</v>
      </c>
      <c r="C54" s="100">
        <f>'A) Base RI'!AN56</f>
        <v>398</v>
      </c>
      <c r="D54" s="116">
        <f>'D) Ecrêtage'!N54</f>
        <v>46.978021895190238</v>
      </c>
      <c r="E54" s="35">
        <f t="shared" si="3"/>
        <v>0</v>
      </c>
      <c r="F54" s="283">
        <f t="shared" si="4"/>
        <v>0</v>
      </c>
      <c r="G54" s="34">
        <f>+'A) Base RI'!AM56</f>
        <v>70</v>
      </c>
      <c r="H54" s="284">
        <f t="shared" si="5"/>
        <v>1.0292962944452311</v>
      </c>
      <c r="I54" s="58">
        <f t="shared" si="6"/>
        <v>0</v>
      </c>
    </row>
    <row r="55" spans="1:9" x14ac:dyDescent="0.25">
      <c r="A55" s="50">
        <f>'A) Base RI'!A57</f>
        <v>5486</v>
      </c>
      <c r="B55" s="33" t="str">
        <f>'A) Base RI'!B57</f>
        <v>L'Isle</v>
      </c>
      <c r="C55" s="100">
        <f>'A) Base RI'!AN57</f>
        <v>1005</v>
      </c>
      <c r="D55" s="116">
        <f>'D) Ecrêtage'!N55</f>
        <v>31.098925896831624</v>
      </c>
      <c r="E55" s="35">
        <f t="shared" si="3"/>
        <v>13.964358538887964</v>
      </c>
      <c r="F55" s="283">
        <f t="shared" si="4"/>
        <v>287981.38040407089</v>
      </c>
      <c r="G55" s="34">
        <f>+'A) Base RI'!AM57</f>
        <v>76</v>
      </c>
      <c r="H55" s="284">
        <f t="shared" si="5"/>
        <v>1.1175216911119652</v>
      </c>
      <c r="I55" s="58">
        <f t="shared" si="6"/>
        <v>321825.43923791545</v>
      </c>
    </row>
    <row r="56" spans="1:9" x14ac:dyDescent="0.25">
      <c r="A56" s="50">
        <f>'A) Base RI'!A58</f>
        <v>5487</v>
      </c>
      <c r="B56" s="33" t="str">
        <f>'A) Base RI'!B58</f>
        <v>Lussery-Villars</v>
      </c>
      <c r="C56" s="100">
        <f>'A) Base RI'!AN58</f>
        <v>462</v>
      </c>
      <c r="D56" s="116">
        <f>'D) Ecrêtage'!N56</f>
        <v>32.015724675324677</v>
      </c>
      <c r="E56" s="35">
        <f t="shared" si="3"/>
        <v>13.047559760394911</v>
      </c>
      <c r="F56" s="283">
        <f t="shared" si="4"/>
        <v>122066.4453383746</v>
      </c>
      <c r="G56" s="34">
        <f>+'A) Base RI'!AM58</f>
        <v>75</v>
      </c>
      <c r="H56" s="284">
        <f t="shared" si="5"/>
        <v>1.1028174583341761</v>
      </c>
      <c r="I56" s="58">
        <f t="shared" si="6"/>
        <v>134617.00699595391</v>
      </c>
    </row>
    <row r="57" spans="1:9" x14ac:dyDescent="0.25">
      <c r="A57" s="50">
        <f>'A) Base RI'!A59</f>
        <v>5488</v>
      </c>
      <c r="B57" s="33" t="str">
        <f>'A) Base RI'!B59</f>
        <v>Mauraz</v>
      </c>
      <c r="C57" s="100">
        <f>'A) Base RI'!AN59</f>
        <v>59</v>
      </c>
      <c r="D57" s="116">
        <f>'D) Ecrêtage'!N57</f>
        <v>32.354830508474571</v>
      </c>
      <c r="E57" s="35">
        <f t="shared" si="3"/>
        <v>12.708453927245017</v>
      </c>
      <c r="F57" s="283">
        <f t="shared" si="4"/>
        <v>15790.762342759024</v>
      </c>
      <c r="G57" s="34">
        <f>+'A) Base RI'!AM59</f>
        <v>78</v>
      </c>
      <c r="H57" s="284">
        <f t="shared" si="5"/>
        <v>1.1469301566675432</v>
      </c>
      <c r="I57" s="58">
        <f t="shared" si="6"/>
        <v>18110.901527680548</v>
      </c>
    </row>
    <row r="58" spans="1:9" x14ac:dyDescent="0.25">
      <c r="A58" s="50">
        <f>'A) Base RI'!A60</f>
        <v>5489</v>
      </c>
      <c r="B58" s="33" t="str">
        <f>'A) Base RI'!B60</f>
        <v>Mex</v>
      </c>
      <c r="C58" s="100">
        <f>'A) Base RI'!AN60</f>
        <v>725</v>
      </c>
      <c r="D58" s="116">
        <f>'D) Ecrêtage'!N58</f>
        <v>88.176850329207937</v>
      </c>
      <c r="E58" s="35">
        <f t="shared" si="3"/>
        <v>0</v>
      </c>
      <c r="F58" s="283">
        <f t="shared" si="4"/>
        <v>0</v>
      </c>
      <c r="G58" s="34">
        <f>+'A) Base RI'!AM60</f>
        <v>61</v>
      </c>
      <c r="H58" s="284">
        <f t="shared" si="5"/>
        <v>0.89695819944512989</v>
      </c>
      <c r="I58" s="58">
        <f t="shared" si="6"/>
        <v>0</v>
      </c>
    </row>
    <row r="59" spans="1:9" x14ac:dyDescent="0.25">
      <c r="A59" s="50">
        <f>'A) Base RI'!A61</f>
        <v>5490</v>
      </c>
      <c r="B59" s="33" t="str">
        <f>'A) Base RI'!B61</f>
        <v>Moiry</v>
      </c>
      <c r="C59" s="100">
        <f>'A) Base RI'!AN61</f>
        <v>310</v>
      </c>
      <c r="D59" s="116">
        <f>'D) Ecrêtage'!N59</f>
        <v>29.988412903225804</v>
      </c>
      <c r="E59" s="35">
        <f t="shared" si="3"/>
        <v>15.074871532493784</v>
      </c>
      <c r="F59" s="283">
        <f t="shared" si="4"/>
        <v>100941.3397815784</v>
      </c>
      <c r="G59" s="34">
        <f>+'A) Base RI'!AM61</f>
        <v>80</v>
      </c>
      <c r="H59" s="284">
        <f t="shared" si="5"/>
        <v>1.1763386222231211</v>
      </c>
      <c r="I59" s="58">
        <f t="shared" si="6"/>
        <v>118741.19656401785</v>
      </c>
    </row>
    <row r="60" spans="1:9" x14ac:dyDescent="0.25">
      <c r="A60" s="50">
        <f>'A) Base RI'!A62</f>
        <v>5491</v>
      </c>
      <c r="B60" s="33" t="str">
        <f>'A) Base RI'!B62</f>
        <v>Mont-la-Ville</v>
      </c>
      <c r="C60" s="100">
        <f>'A) Base RI'!AN62</f>
        <v>466</v>
      </c>
      <c r="D60" s="116">
        <f>'D) Ecrêtage'!N60</f>
        <v>26.447529082900388</v>
      </c>
      <c r="E60" s="35">
        <f t="shared" si="3"/>
        <v>18.6157553528192</v>
      </c>
      <c r="F60" s="283">
        <f t="shared" si="4"/>
        <v>178009.80972537008</v>
      </c>
      <c r="G60" s="34">
        <f>+'A) Base RI'!AM62</f>
        <v>76</v>
      </c>
      <c r="H60" s="284">
        <f t="shared" si="5"/>
        <v>1.1175216911119652</v>
      </c>
      <c r="I60" s="58">
        <f t="shared" si="6"/>
        <v>198929.82359881472</v>
      </c>
    </row>
    <row r="61" spans="1:9" x14ac:dyDescent="0.25">
      <c r="A61" s="50">
        <f>'A) Base RI'!A63</f>
        <v>5492</v>
      </c>
      <c r="B61" s="33" t="str">
        <f>'A) Base RI'!B63</f>
        <v>Montricher</v>
      </c>
      <c r="C61" s="100">
        <f>'A) Base RI'!AN63</f>
        <v>940</v>
      </c>
      <c r="D61" s="116">
        <f>'D) Ecrêtage'!N61</f>
        <v>193.53294231306285</v>
      </c>
      <c r="E61" s="35">
        <f t="shared" si="3"/>
        <v>0</v>
      </c>
      <c r="F61" s="283">
        <f t="shared" si="4"/>
        <v>0</v>
      </c>
      <c r="G61" s="34">
        <f>+'A) Base RI'!AM63</f>
        <v>64</v>
      </c>
      <c r="H61" s="284">
        <f t="shared" si="5"/>
        <v>0.94107089777849695</v>
      </c>
      <c r="I61" s="58">
        <f t="shared" si="6"/>
        <v>0</v>
      </c>
    </row>
    <row r="62" spans="1:9" x14ac:dyDescent="0.25">
      <c r="A62" s="50">
        <f>'A) Base RI'!A64</f>
        <v>5493</v>
      </c>
      <c r="B62" s="33" t="str">
        <f>'A) Base RI'!B64</f>
        <v>Orny</v>
      </c>
      <c r="C62" s="100">
        <f>'A) Base RI'!AN64</f>
        <v>368</v>
      </c>
      <c r="D62" s="116">
        <f>'D) Ecrêtage'!N62</f>
        <v>29.124316070692256</v>
      </c>
      <c r="E62" s="35">
        <f t="shared" si="3"/>
        <v>15.938968365027332</v>
      </c>
      <c r="F62" s="283">
        <f t="shared" si="4"/>
        <v>115609.80046268547</v>
      </c>
      <c r="G62" s="34">
        <f>+'A) Base RI'!AM64</f>
        <v>73</v>
      </c>
      <c r="H62" s="284">
        <f t="shared" si="5"/>
        <v>1.0734089927785981</v>
      </c>
      <c r="I62" s="58">
        <f t="shared" si="6"/>
        <v>124096.59946998591</v>
      </c>
    </row>
    <row r="63" spans="1:9" x14ac:dyDescent="0.25">
      <c r="A63" s="50">
        <f>'A) Base RI'!A65</f>
        <v>5494</v>
      </c>
      <c r="B63" s="33" t="str">
        <f>'A) Base RI'!B65</f>
        <v>Pampigny</v>
      </c>
      <c r="C63" s="100">
        <f>'A) Base RI'!AN65</f>
        <v>1113</v>
      </c>
      <c r="D63" s="116">
        <f>'D) Ecrêtage'!N63</f>
        <v>33.974233186440195</v>
      </c>
      <c r="E63" s="35">
        <f t="shared" si="3"/>
        <v>11.089051249279393</v>
      </c>
      <c r="F63" s="283">
        <f t="shared" si="4"/>
        <v>249927.8093190713</v>
      </c>
      <c r="G63" s="34">
        <f>+'A) Base RI'!AM65</f>
        <v>75</v>
      </c>
      <c r="H63" s="284">
        <f t="shared" si="5"/>
        <v>1.1028174583341761</v>
      </c>
      <c r="I63" s="58">
        <f t="shared" si="6"/>
        <v>275624.75144028681</v>
      </c>
    </row>
    <row r="64" spans="1:9" x14ac:dyDescent="0.25">
      <c r="A64" s="50">
        <f>'A) Base RI'!A66</f>
        <v>5495</v>
      </c>
      <c r="B64" s="33" t="str">
        <f>'A) Base RI'!B66</f>
        <v>Penthalaz</v>
      </c>
      <c r="C64" s="100">
        <f>'A) Base RI'!AN66</f>
        <v>3283</v>
      </c>
      <c r="D64" s="116">
        <f>'D) Ecrêtage'!N64</f>
        <v>28.302672736702586</v>
      </c>
      <c r="E64" s="35">
        <f t="shared" si="3"/>
        <v>16.760611699017002</v>
      </c>
      <c r="F64" s="283">
        <f t="shared" si="4"/>
        <v>1099401.262393299</v>
      </c>
      <c r="G64" s="34">
        <f>+'A) Base RI'!AM66</f>
        <v>74</v>
      </c>
      <c r="H64" s="284">
        <f t="shared" si="5"/>
        <v>1.088113225556387</v>
      </c>
      <c r="I64" s="58">
        <f t="shared" si="6"/>
        <v>1196273.0538035363</v>
      </c>
    </row>
    <row r="65" spans="1:9" x14ac:dyDescent="0.25">
      <c r="A65" s="50">
        <f>'A) Base RI'!A67</f>
        <v>5496</v>
      </c>
      <c r="B65" s="33" t="str">
        <f>'A) Base RI'!B67</f>
        <v>Penthaz</v>
      </c>
      <c r="C65" s="100">
        <f>'A) Base RI'!AN67</f>
        <v>1747</v>
      </c>
      <c r="D65" s="116">
        <f>'D) Ecrêtage'!N65</f>
        <v>32.880443980425191</v>
      </c>
      <c r="E65" s="35">
        <f t="shared" si="3"/>
        <v>12.182840455294397</v>
      </c>
      <c r="F65" s="283">
        <f t="shared" si="4"/>
        <v>408003.20501940482</v>
      </c>
      <c r="G65" s="34">
        <f>+'A) Base RI'!AM67</f>
        <v>71</v>
      </c>
      <c r="H65" s="284">
        <f t="shared" si="5"/>
        <v>1.0440005272230199</v>
      </c>
      <c r="I65" s="58">
        <f t="shared" si="6"/>
        <v>425955.56114894053</v>
      </c>
    </row>
    <row r="66" spans="1:9" x14ac:dyDescent="0.25">
      <c r="A66" s="50">
        <f>'A) Base RI'!A68</f>
        <v>5497</v>
      </c>
      <c r="B66" s="33" t="str">
        <f>'A) Base RI'!B68</f>
        <v>Pompaples</v>
      </c>
      <c r="C66" s="100">
        <f>'A) Base RI'!AN68</f>
        <v>847</v>
      </c>
      <c r="D66" s="116">
        <f>'D) Ecrêtage'!N66</f>
        <v>26.583922221029656</v>
      </c>
      <c r="E66" s="35">
        <f t="shared" si="3"/>
        <v>18.479362214689932</v>
      </c>
      <c r="F66" s="283">
        <f t="shared" si="4"/>
        <v>278918.99276191107</v>
      </c>
      <c r="G66" s="34">
        <f>+'A) Base RI'!AM68</f>
        <v>66</v>
      </c>
      <c r="H66" s="284">
        <f t="shared" si="5"/>
        <v>0.97047936333407503</v>
      </c>
      <c r="I66" s="58">
        <f t="shared" si="6"/>
        <v>270685.12651736091</v>
      </c>
    </row>
    <row r="67" spans="1:9" x14ac:dyDescent="0.25">
      <c r="A67" s="50">
        <f>'A) Base RI'!A69</f>
        <v>5498</v>
      </c>
      <c r="B67" s="33" t="str">
        <f>'A) Base RI'!B69</f>
        <v>La Sarraz</v>
      </c>
      <c r="C67" s="100">
        <f>'A) Base RI'!AN69</f>
        <v>2596</v>
      </c>
      <c r="D67" s="116">
        <f>'D) Ecrêtage'!N67</f>
        <v>30.1240049960312</v>
      </c>
      <c r="E67" s="35">
        <f t="shared" si="3"/>
        <v>14.939279439688388</v>
      </c>
      <c r="F67" s="283">
        <f t="shared" si="4"/>
        <v>691101.82316118141</v>
      </c>
      <c r="G67" s="34">
        <f>+'A) Base RI'!AM69</f>
        <v>66</v>
      </c>
      <c r="H67" s="284">
        <f t="shared" si="5"/>
        <v>0.97047936333407503</v>
      </c>
      <c r="I67" s="58">
        <f t="shared" si="6"/>
        <v>670700.0573404819</v>
      </c>
    </row>
    <row r="68" spans="1:9" x14ac:dyDescent="0.25">
      <c r="A68" s="50">
        <f>'A) Base RI'!A70</f>
        <v>5499</v>
      </c>
      <c r="B68" s="33" t="str">
        <f>'A) Base RI'!B70</f>
        <v>Senarclens</v>
      </c>
      <c r="C68" s="100">
        <f>'A) Base RI'!AN70</f>
        <v>488</v>
      </c>
      <c r="D68" s="116">
        <f>'D) Ecrêtage'!N68</f>
        <v>48.948081249252127</v>
      </c>
      <c r="E68" s="35">
        <f t="shared" si="3"/>
        <v>0</v>
      </c>
      <c r="F68" s="283">
        <f t="shared" si="4"/>
        <v>0</v>
      </c>
      <c r="G68" s="34">
        <f>+'A) Base RI'!AM70</f>
        <v>68.5</v>
      </c>
      <c r="H68" s="284">
        <f t="shared" si="5"/>
        <v>1.0072399452785474</v>
      </c>
      <c r="I68" s="58">
        <f t="shared" si="6"/>
        <v>0</v>
      </c>
    </row>
    <row r="69" spans="1:9" x14ac:dyDescent="0.25">
      <c r="A69" s="50">
        <f>'A) Base RI'!A71</f>
        <v>5500</v>
      </c>
      <c r="B69" s="33" t="str">
        <f>'A) Base RI'!B71</f>
        <v>Sévery</v>
      </c>
      <c r="C69" s="100">
        <f>'A) Base RI'!AN71</f>
        <v>225</v>
      </c>
      <c r="D69" s="116">
        <f>'D) Ecrêtage'!N69</f>
        <v>28.140147358024691</v>
      </c>
      <c r="E69" s="35">
        <f t="shared" si="3"/>
        <v>16.923137077694896</v>
      </c>
      <c r="F69" s="283">
        <f t="shared" si="4"/>
        <v>77106.043310247376</v>
      </c>
      <c r="G69" s="34">
        <f>+'A) Base RI'!AM71</f>
        <v>75</v>
      </c>
      <c r="H69" s="284">
        <f t="shared" si="5"/>
        <v>1.1028174583341761</v>
      </c>
      <c r="I69" s="58">
        <f t="shared" si="6"/>
        <v>85033.890705611921</v>
      </c>
    </row>
    <row r="70" spans="1:9" x14ac:dyDescent="0.25">
      <c r="A70" s="50">
        <f>'A) Base RI'!A72</f>
        <v>5501</v>
      </c>
      <c r="B70" s="33" t="str">
        <f>'A) Base RI'!B72</f>
        <v>Sullens</v>
      </c>
      <c r="C70" s="100">
        <f>'A) Base RI'!AN72</f>
        <v>1036</v>
      </c>
      <c r="D70" s="116">
        <f>'D) Ecrêtage'!N70</f>
        <v>36.498396856039712</v>
      </c>
      <c r="E70" s="35">
        <f t="shared" ref="E70:E133" si="7">IF($D$314-D70&lt;0,0,$D$314-D70)</f>
        <v>8.5648875796798762</v>
      </c>
      <c r="F70" s="283">
        <f t="shared" ref="F70:F133" si="8">(C70*E70*G70)*$E$4</f>
        <v>167703.92476516386</v>
      </c>
      <c r="G70" s="34">
        <f>+'A) Base RI'!AM72</f>
        <v>70</v>
      </c>
      <c r="H70" s="284">
        <f t="shared" ref="H70:H133" si="9">G70/$G$314</f>
        <v>1.0292962944452311</v>
      </c>
      <c r="I70" s="58">
        <f t="shared" ref="I70:I133" si="10">F70*H70</f>
        <v>172617.02832470497</v>
      </c>
    </row>
    <row r="71" spans="1:9" x14ac:dyDescent="0.25">
      <c r="A71" s="50">
        <f>'A) Base RI'!A73</f>
        <v>5503</v>
      </c>
      <c r="B71" s="33" t="str">
        <f>'A) Base RI'!B73</f>
        <v>Vufflens-la-Ville</v>
      </c>
      <c r="C71" s="100">
        <f>'A) Base RI'!AN73</f>
        <v>1298</v>
      </c>
      <c r="D71" s="116">
        <f>'D) Ecrêtage'!N71</f>
        <v>59.201011089197806</v>
      </c>
      <c r="E71" s="35">
        <f t="shared" si="7"/>
        <v>0</v>
      </c>
      <c r="F71" s="283">
        <f t="shared" si="8"/>
        <v>0</v>
      </c>
      <c r="G71" s="34">
        <f>+'A) Base RI'!AM73</f>
        <v>67</v>
      </c>
      <c r="H71" s="284">
        <f t="shared" si="9"/>
        <v>0.98518359611186401</v>
      </c>
      <c r="I71" s="58">
        <f t="shared" si="10"/>
        <v>0</v>
      </c>
    </row>
    <row r="72" spans="1:9" x14ac:dyDescent="0.25">
      <c r="A72" s="50">
        <f>'A) Base RI'!A74</f>
        <v>5511</v>
      </c>
      <c r="B72" s="33" t="str">
        <f>'A) Base RI'!B74</f>
        <v>Assens</v>
      </c>
      <c r="C72" s="100">
        <f>'A) Base RI'!AN74</f>
        <v>1077</v>
      </c>
      <c r="D72" s="116">
        <f>'D) Ecrêtage'!N72</f>
        <v>42.378338771720387</v>
      </c>
      <c r="E72" s="35">
        <f t="shared" si="7"/>
        <v>2.6849456639992013</v>
      </c>
      <c r="F72" s="283">
        <f t="shared" si="8"/>
        <v>54652.874474402946</v>
      </c>
      <c r="G72" s="34">
        <f>+'A) Base RI'!AM74</f>
        <v>70</v>
      </c>
      <c r="H72" s="284">
        <f t="shared" si="9"/>
        <v>1.0292962944452311</v>
      </c>
      <c r="I72" s="58">
        <f t="shared" si="10"/>
        <v>56254.00117728331</v>
      </c>
    </row>
    <row r="73" spans="1:9" x14ac:dyDescent="0.25">
      <c r="A73" s="50">
        <f>'A) Base RI'!A75</f>
        <v>5512</v>
      </c>
      <c r="B73" s="33" t="str">
        <f>'A) Base RI'!B75</f>
        <v>Bercher</v>
      </c>
      <c r="C73" s="100">
        <f>'A) Base RI'!AN75</f>
        <v>1239</v>
      </c>
      <c r="D73" s="116">
        <f>'D) Ecrêtage'!N73</f>
        <v>30.495234417302648</v>
      </c>
      <c r="E73" s="35">
        <f t="shared" si="7"/>
        <v>14.56805001841694</v>
      </c>
      <c r="F73" s="283">
        <f t="shared" si="8"/>
        <v>385002.53204022051</v>
      </c>
      <c r="G73" s="34">
        <f>+'A) Base RI'!AM75</f>
        <v>79</v>
      </c>
      <c r="H73" s="284">
        <f t="shared" si="9"/>
        <v>1.1616343894453323</v>
      </c>
      <c r="I73" s="58">
        <f t="shared" si="10"/>
        <v>447232.1812414485</v>
      </c>
    </row>
    <row r="74" spans="1:9" x14ac:dyDescent="0.25">
      <c r="A74" s="50">
        <f>'A) Base RI'!A76</f>
        <v>5513</v>
      </c>
      <c r="B74" s="33" t="str">
        <f>'A) Base RI'!B76</f>
        <v>Bioley-Orjulaz</v>
      </c>
      <c r="C74" s="100">
        <f>'A) Base RI'!AN76</f>
        <v>516</v>
      </c>
      <c r="D74" s="116">
        <f>'D) Ecrêtage'!N74</f>
        <v>44.783192829457363</v>
      </c>
      <c r="E74" s="35">
        <f t="shared" si="7"/>
        <v>0.28009160626222496</v>
      </c>
      <c r="F74" s="283">
        <f t="shared" si="8"/>
        <v>2653.5206557428164</v>
      </c>
      <c r="G74" s="34">
        <f>+'A) Base RI'!AM76</f>
        <v>68</v>
      </c>
      <c r="H74" s="284">
        <f t="shared" si="9"/>
        <v>0.999887828889653</v>
      </c>
      <c r="I74" s="58">
        <f t="shared" si="10"/>
        <v>2653.223007384533</v>
      </c>
    </row>
    <row r="75" spans="1:9" x14ac:dyDescent="0.25">
      <c r="A75" s="50">
        <f>'A) Base RI'!A77</f>
        <v>5514</v>
      </c>
      <c r="B75" s="33" t="str">
        <f>'A) Base RI'!B77</f>
        <v>Bottens</v>
      </c>
      <c r="C75" s="100">
        <f>'A) Base RI'!AN77</f>
        <v>1298</v>
      </c>
      <c r="D75" s="116">
        <f>'D) Ecrêtage'!N75</f>
        <v>34.514523123646178</v>
      </c>
      <c r="E75" s="35">
        <f t="shared" si="7"/>
        <v>10.54876131207341</v>
      </c>
      <c r="F75" s="283">
        <f t="shared" si="8"/>
        <v>255087.40337061806</v>
      </c>
      <c r="G75" s="34">
        <f>+'A) Base RI'!AM77</f>
        <v>69</v>
      </c>
      <c r="H75" s="284">
        <f t="shared" si="9"/>
        <v>1.014592061667442</v>
      </c>
      <c r="I75" s="58">
        <f t="shared" si="10"/>
        <v>258809.65449118978</v>
      </c>
    </row>
    <row r="76" spans="1:9" x14ac:dyDescent="0.25">
      <c r="A76" s="50">
        <f>'A) Base RI'!A78</f>
        <v>5515</v>
      </c>
      <c r="B76" s="33" t="str">
        <f>'A) Base RI'!B78</f>
        <v>Bretigny-sur-Morrens</v>
      </c>
      <c r="C76" s="100">
        <f>'A) Base RI'!AN78</f>
        <v>843</v>
      </c>
      <c r="D76" s="116">
        <f>'D) Ecrêtage'!N76</f>
        <v>34.285882430473187</v>
      </c>
      <c r="E76" s="35">
        <f t="shared" si="7"/>
        <v>10.777402005246401</v>
      </c>
      <c r="F76" s="283">
        <f t="shared" si="8"/>
        <v>198696.60210354484</v>
      </c>
      <c r="G76" s="34">
        <f>+'A) Base RI'!AM78</f>
        <v>81</v>
      </c>
      <c r="H76" s="284">
        <f t="shared" si="9"/>
        <v>1.1910428550009102</v>
      </c>
      <c r="I76" s="58">
        <f t="shared" si="10"/>
        <v>236656.16824838592</v>
      </c>
    </row>
    <row r="77" spans="1:9" x14ac:dyDescent="0.25">
      <c r="A77" s="50">
        <f>'A) Base RI'!A79</f>
        <v>5516</v>
      </c>
      <c r="B77" s="33" t="str">
        <f>'A) Base RI'!B79</f>
        <v>Cugy</v>
      </c>
      <c r="C77" s="100">
        <f>'A) Base RI'!AN79</f>
        <v>2742</v>
      </c>
      <c r="D77" s="116">
        <f>'D) Ecrêtage'!N77</f>
        <v>40.793065795133629</v>
      </c>
      <c r="E77" s="35">
        <f t="shared" si="7"/>
        <v>4.2702186405859592</v>
      </c>
      <c r="F77" s="283">
        <f t="shared" si="8"/>
        <v>246590.26613296993</v>
      </c>
      <c r="G77" s="34">
        <f>+'A) Base RI'!AM79</f>
        <v>78</v>
      </c>
      <c r="H77" s="284">
        <f t="shared" si="9"/>
        <v>1.1469301566675432</v>
      </c>
      <c r="I77" s="58">
        <f t="shared" si="10"/>
        <v>282821.81256857835</v>
      </c>
    </row>
    <row r="78" spans="1:9" x14ac:dyDescent="0.25">
      <c r="A78" s="50">
        <f>'A) Base RI'!A80</f>
        <v>5518</v>
      </c>
      <c r="B78" s="33" t="str">
        <f>'A) Base RI'!B80</f>
        <v>Echallens</v>
      </c>
      <c r="C78" s="100">
        <f>'A) Base RI'!AN80</f>
        <v>5742</v>
      </c>
      <c r="D78" s="116">
        <f>'D) Ecrêtage'!N78</f>
        <v>32.804278808589153</v>
      </c>
      <c r="E78" s="35">
        <f t="shared" si="7"/>
        <v>12.259005627130435</v>
      </c>
      <c r="F78" s="283">
        <f t="shared" si="8"/>
        <v>1406416.3820134399</v>
      </c>
      <c r="G78" s="34">
        <f>+'A) Base RI'!AM80</f>
        <v>74</v>
      </c>
      <c r="H78" s="284">
        <f t="shared" si="9"/>
        <v>1.088113225556387</v>
      </c>
      <c r="I78" s="58">
        <f t="shared" si="10"/>
        <v>1530340.265907988</v>
      </c>
    </row>
    <row r="79" spans="1:9" x14ac:dyDescent="0.25">
      <c r="A79" s="50">
        <f>'A) Base RI'!A81</f>
        <v>5520</v>
      </c>
      <c r="B79" s="33" t="str">
        <f>'A) Base RI'!B81</f>
        <v>Essertines-sur-Yverdon</v>
      </c>
      <c r="C79" s="100">
        <f>'A) Base RI'!AN81</f>
        <v>1024</v>
      </c>
      <c r="D79" s="116">
        <f>'D) Ecrêtage'!N79</f>
        <v>31.119799336472592</v>
      </c>
      <c r="E79" s="35">
        <f t="shared" si="7"/>
        <v>13.943485099246995</v>
      </c>
      <c r="F79" s="283">
        <f t="shared" si="8"/>
        <v>281421.91749750607</v>
      </c>
      <c r="G79" s="34">
        <f>+'A) Base RI'!AM81</f>
        <v>73</v>
      </c>
      <c r="H79" s="284">
        <f t="shared" si="9"/>
        <v>1.0734089927785981</v>
      </c>
      <c r="I79" s="58">
        <f t="shared" si="10"/>
        <v>302080.81700681977</v>
      </c>
    </row>
    <row r="80" spans="1:9" x14ac:dyDescent="0.25">
      <c r="A80" s="50">
        <f>'A) Base RI'!A82</f>
        <v>5521</v>
      </c>
      <c r="B80" s="33" t="str">
        <f>'A) Base RI'!B82</f>
        <v>Etagnières</v>
      </c>
      <c r="C80" s="100">
        <f>'A) Base RI'!AN82</f>
        <v>1118</v>
      </c>
      <c r="D80" s="116">
        <f>'D) Ecrêtage'!N80</f>
        <v>38.448594358810986</v>
      </c>
      <c r="E80" s="35">
        <f t="shared" si="7"/>
        <v>6.6146900769086017</v>
      </c>
      <c r="F80" s="283">
        <f t="shared" si="8"/>
        <v>145759.85530294103</v>
      </c>
      <c r="G80" s="34">
        <f>+'A) Base RI'!AM82</f>
        <v>73</v>
      </c>
      <c r="H80" s="284">
        <f t="shared" si="9"/>
        <v>1.0734089927785981</v>
      </c>
      <c r="I80" s="58">
        <f t="shared" si="10"/>
        <v>156459.93946828414</v>
      </c>
    </row>
    <row r="81" spans="1:9" x14ac:dyDescent="0.25">
      <c r="A81" s="50">
        <f>'A) Base RI'!A83</f>
        <v>5522</v>
      </c>
      <c r="B81" s="33" t="str">
        <f>'A) Base RI'!B83</f>
        <v>Fey</v>
      </c>
      <c r="C81" s="100">
        <f>'A) Base RI'!AN83</f>
        <v>734</v>
      </c>
      <c r="D81" s="116">
        <f>'D) Ecrêtage'!N81</f>
        <v>29.854888101725699</v>
      </c>
      <c r="E81" s="35">
        <f t="shared" si="7"/>
        <v>15.208396333993889</v>
      </c>
      <c r="F81" s="283">
        <f t="shared" si="8"/>
        <v>226049.99891031819</v>
      </c>
      <c r="G81" s="34">
        <f>+'A) Base RI'!AM83</f>
        <v>75</v>
      </c>
      <c r="H81" s="284">
        <f t="shared" si="9"/>
        <v>1.1028174583341761</v>
      </c>
      <c r="I81" s="58">
        <f t="shared" si="10"/>
        <v>249291.88525472037</v>
      </c>
    </row>
    <row r="82" spans="1:9" x14ac:dyDescent="0.25">
      <c r="A82" s="50">
        <f>'A) Base RI'!A84</f>
        <v>5523</v>
      </c>
      <c r="B82" s="33" t="str">
        <f>'A) Base RI'!B84</f>
        <v>Froideville</v>
      </c>
      <c r="C82" s="100">
        <f>'A) Base RI'!AN84</f>
        <v>2576</v>
      </c>
      <c r="D82" s="116">
        <f>'D) Ecrêtage'!N82</f>
        <v>32.294821122098725</v>
      </c>
      <c r="E82" s="35">
        <f t="shared" si="7"/>
        <v>12.768463313620863</v>
      </c>
      <c r="F82" s="283">
        <f t="shared" si="8"/>
        <v>674934.84189560835</v>
      </c>
      <c r="G82" s="34">
        <f>+'A) Base RI'!AM84</f>
        <v>76</v>
      </c>
      <c r="H82" s="284">
        <f t="shared" si="9"/>
        <v>1.1175216911119652</v>
      </c>
      <c r="I82" s="58">
        <f t="shared" si="10"/>
        <v>754254.32590556715</v>
      </c>
    </row>
    <row r="83" spans="1:9" x14ac:dyDescent="0.25">
      <c r="A83" s="50">
        <f>'A) Base RI'!A85</f>
        <v>5527</v>
      </c>
      <c r="B83" s="33" t="str">
        <f>'A) Base RI'!B85</f>
        <v>Morrens</v>
      </c>
      <c r="C83" s="100">
        <f>'A) Base RI'!AN85</f>
        <v>1077</v>
      </c>
      <c r="D83" s="116">
        <f>'D) Ecrêtage'!N83</f>
        <v>35.127998318652921</v>
      </c>
      <c r="E83" s="35">
        <f t="shared" si="7"/>
        <v>9.9352861170666671</v>
      </c>
      <c r="F83" s="283">
        <f t="shared" si="8"/>
        <v>213792.05689865441</v>
      </c>
      <c r="G83" s="34">
        <f>+'A) Base RI'!AM85</f>
        <v>74</v>
      </c>
      <c r="H83" s="284">
        <f t="shared" si="9"/>
        <v>1.088113225556387</v>
      </c>
      <c r="I83" s="58">
        <f t="shared" si="10"/>
        <v>232629.96463032946</v>
      </c>
    </row>
    <row r="84" spans="1:9" x14ac:dyDescent="0.25">
      <c r="A84" s="50">
        <f>'A) Base RI'!A86</f>
        <v>5529</v>
      </c>
      <c r="B84" s="33" t="str">
        <f>'A) Base RI'!B86</f>
        <v>Oulens-sous-Echallens</v>
      </c>
      <c r="C84" s="100">
        <f>'A) Base RI'!AN86</f>
        <v>611</v>
      </c>
      <c r="D84" s="116">
        <f>'D) Ecrêtage'!N84</f>
        <v>34.95687305502409</v>
      </c>
      <c r="E84" s="35">
        <f t="shared" si="7"/>
        <v>10.106411380695498</v>
      </c>
      <c r="F84" s="283">
        <f t="shared" si="8"/>
        <v>118375.08266860688</v>
      </c>
      <c r="G84" s="34">
        <f>+'A) Base RI'!AM86</f>
        <v>71</v>
      </c>
      <c r="H84" s="284">
        <f t="shared" si="9"/>
        <v>1.0440005272230199</v>
      </c>
      <c r="I84" s="58">
        <f t="shared" si="10"/>
        <v>123583.64871609415</v>
      </c>
    </row>
    <row r="85" spans="1:9" x14ac:dyDescent="0.25">
      <c r="A85" s="50">
        <f>'A) Base RI'!A87</f>
        <v>5530</v>
      </c>
      <c r="B85" s="33" t="str">
        <f>'A) Base RI'!B87</f>
        <v>Pailly</v>
      </c>
      <c r="C85" s="100">
        <f>'A) Base RI'!AN87</f>
        <v>561</v>
      </c>
      <c r="D85" s="116">
        <f>'D) Ecrêtage'!N85</f>
        <v>30.687400762846682</v>
      </c>
      <c r="E85" s="35">
        <f t="shared" si="7"/>
        <v>14.375883672872906</v>
      </c>
      <c r="F85" s="283">
        <f t="shared" si="8"/>
        <v>168757.42024457958</v>
      </c>
      <c r="G85" s="34">
        <f>+'A) Base RI'!AM87</f>
        <v>77.5</v>
      </c>
      <c r="H85" s="284">
        <f t="shared" si="9"/>
        <v>1.1395780402786486</v>
      </c>
      <c r="I85" s="58">
        <f t="shared" si="10"/>
        <v>192312.25024479834</v>
      </c>
    </row>
    <row r="86" spans="1:9" x14ac:dyDescent="0.25">
      <c r="A86" s="50">
        <f>'A) Base RI'!A88</f>
        <v>5531</v>
      </c>
      <c r="B86" s="33" t="str">
        <f>'A) Base RI'!B88</f>
        <v>Penthéréaz</v>
      </c>
      <c r="C86" s="100">
        <f>'A) Base RI'!AN88</f>
        <v>421</v>
      </c>
      <c r="D86" s="116">
        <f>'D) Ecrêtage'!N86</f>
        <v>35.589323344905296</v>
      </c>
      <c r="E86" s="35">
        <f t="shared" si="7"/>
        <v>9.4739610908142922</v>
      </c>
      <c r="F86" s="283">
        <f t="shared" si="8"/>
        <v>83998.602261043139</v>
      </c>
      <c r="G86" s="34">
        <f>+'A) Base RI'!AM88</f>
        <v>78</v>
      </c>
      <c r="H86" s="284">
        <f t="shared" si="9"/>
        <v>1.1469301566675432</v>
      </c>
      <c r="I86" s="58">
        <f t="shared" si="10"/>
        <v>96340.530051112859</v>
      </c>
    </row>
    <row r="87" spans="1:9" x14ac:dyDescent="0.25">
      <c r="A87" s="50">
        <f>'A) Base RI'!A89</f>
        <v>5533</v>
      </c>
      <c r="B87" s="33" t="str">
        <f>'A) Base RI'!B89</f>
        <v>Poliez-Pittet</v>
      </c>
      <c r="C87" s="100">
        <f>'A) Base RI'!AN89</f>
        <v>846</v>
      </c>
      <c r="D87" s="116">
        <f>'D) Ecrêtage'!N87</f>
        <v>30.436430925981419</v>
      </c>
      <c r="E87" s="35">
        <f t="shared" si="7"/>
        <v>14.626853509738169</v>
      </c>
      <c r="F87" s="283">
        <f t="shared" si="8"/>
        <v>237215.6773873019</v>
      </c>
      <c r="G87" s="34">
        <f>+'A) Base RI'!AM89</f>
        <v>71</v>
      </c>
      <c r="H87" s="284">
        <f t="shared" si="9"/>
        <v>1.0440005272230199</v>
      </c>
      <c r="I87" s="58">
        <f t="shared" si="10"/>
        <v>247653.29225790899</v>
      </c>
    </row>
    <row r="88" spans="1:9" x14ac:dyDescent="0.25">
      <c r="A88" s="50">
        <f>'A) Base RI'!A90</f>
        <v>5534</v>
      </c>
      <c r="B88" s="33" t="str">
        <f>'A) Base RI'!B90</f>
        <v>Rueyres</v>
      </c>
      <c r="C88" s="100">
        <f>'A) Base RI'!AN90</f>
        <v>255</v>
      </c>
      <c r="D88" s="116">
        <f>'D) Ecrêtage'!N88</f>
        <v>35.535377383830252</v>
      </c>
      <c r="E88" s="35">
        <f t="shared" si="7"/>
        <v>9.5279070518893363</v>
      </c>
      <c r="F88" s="283">
        <f t="shared" si="8"/>
        <v>47887.737238148402</v>
      </c>
      <c r="G88" s="34">
        <f>+'A) Base RI'!AM90</f>
        <v>73</v>
      </c>
      <c r="H88" s="284">
        <f t="shared" si="9"/>
        <v>1.0734089927785981</v>
      </c>
      <c r="I88" s="58">
        <f t="shared" si="10"/>
        <v>51403.127795247041</v>
      </c>
    </row>
    <row r="89" spans="1:9" x14ac:dyDescent="0.25">
      <c r="A89" s="50">
        <f>'A) Base RI'!A91</f>
        <v>5535</v>
      </c>
      <c r="B89" s="33" t="str">
        <f>'A) Base RI'!B91</f>
        <v>Saint-Barthélemy</v>
      </c>
      <c r="C89" s="100">
        <f>'A) Base RI'!AN91</f>
        <v>778</v>
      </c>
      <c r="D89" s="116">
        <f>'D) Ecrêtage'!N89</f>
        <v>28.268464093746868</v>
      </c>
      <c r="E89" s="35">
        <f t="shared" si="7"/>
        <v>16.79482034197272</v>
      </c>
      <c r="F89" s="283">
        <f t="shared" si="8"/>
        <v>271649.83699967881</v>
      </c>
      <c r="G89" s="34">
        <f>+'A) Base RI'!AM91</f>
        <v>77</v>
      </c>
      <c r="H89" s="284">
        <f t="shared" si="9"/>
        <v>1.1322259238897541</v>
      </c>
      <c r="I89" s="58">
        <f t="shared" si="10"/>
        <v>307568.98767146241</v>
      </c>
    </row>
    <row r="90" spans="1:9" x14ac:dyDescent="0.25">
      <c r="A90" s="50">
        <f>'A) Base RI'!A92</f>
        <v>5537</v>
      </c>
      <c r="B90" s="33" t="str">
        <f>'A) Base RI'!B92</f>
        <v>Villars-le-Terroir</v>
      </c>
      <c r="C90" s="100">
        <f>'A) Base RI'!AN92</f>
        <v>1213</v>
      </c>
      <c r="D90" s="116">
        <f>'D) Ecrêtage'!N90</f>
        <v>30.853960123773273</v>
      </c>
      <c r="E90" s="35">
        <f t="shared" si="7"/>
        <v>14.209324311946315</v>
      </c>
      <c r="F90" s="283">
        <f t="shared" si="8"/>
        <v>339719.79379460425</v>
      </c>
      <c r="G90" s="34">
        <f>+'A) Base RI'!AM92</f>
        <v>73</v>
      </c>
      <c r="H90" s="284">
        <f t="shared" si="9"/>
        <v>1.0734089927785981</v>
      </c>
      <c r="I90" s="58">
        <f t="shared" si="10"/>
        <v>364658.2816840192</v>
      </c>
    </row>
    <row r="91" spans="1:9" x14ac:dyDescent="0.25">
      <c r="A91" s="50">
        <f>'A) Base RI'!A93</f>
        <v>5539</v>
      </c>
      <c r="B91" s="33" t="str">
        <f>'A) Base RI'!B93</f>
        <v>Vuarrens</v>
      </c>
      <c r="C91" s="100">
        <f>'A) Base RI'!AN93</f>
        <v>1001</v>
      </c>
      <c r="D91" s="116">
        <f>'D) Ecrêtage'!N91</f>
        <v>28.866306160506159</v>
      </c>
      <c r="E91" s="35">
        <f t="shared" si="7"/>
        <v>16.196978275213429</v>
      </c>
      <c r="F91" s="283">
        <f t="shared" si="8"/>
        <v>328316.79888314503</v>
      </c>
      <c r="G91" s="34">
        <f>+'A) Base RI'!AM93</f>
        <v>75</v>
      </c>
      <c r="H91" s="284">
        <f t="shared" si="9"/>
        <v>1.1028174583341761</v>
      </c>
      <c r="I91" s="58">
        <f t="shared" si="10"/>
        <v>362073.49767272285</v>
      </c>
    </row>
    <row r="92" spans="1:9" x14ac:dyDescent="0.25">
      <c r="A92" s="50">
        <f>'A) Base RI'!A94</f>
        <v>5540</v>
      </c>
      <c r="B92" s="33" t="str">
        <f>'A) Base RI'!B94</f>
        <v>Montilliez</v>
      </c>
      <c r="C92" s="100">
        <f>'A) Base RI'!AN94</f>
        <v>1781</v>
      </c>
      <c r="D92" s="116">
        <f>'D) Ecrêtage'!N92</f>
        <v>33.455021321152707</v>
      </c>
      <c r="E92" s="35">
        <f t="shared" si="7"/>
        <v>11.608263114566881</v>
      </c>
      <c r="F92" s="283">
        <f t="shared" si="8"/>
        <v>413072.84580873145</v>
      </c>
      <c r="G92" s="34">
        <f>+'A) Base RI'!AM94</f>
        <v>74</v>
      </c>
      <c r="H92" s="284">
        <f t="shared" si="9"/>
        <v>1.088113225556387</v>
      </c>
      <c r="I92" s="58">
        <f t="shared" si="10"/>
        <v>449470.02664269489</v>
      </c>
    </row>
    <row r="93" spans="1:9" x14ac:dyDescent="0.25">
      <c r="A93" s="50">
        <f>'A) Base RI'!A95</f>
        <v>5541</v>
      </c>
      <c r="B93" s="33" t="str">
        <f>'A) Base RI'!B95</f>
        <v>Goumoëns</v>
      </c>
      <c r="C93" s="100">
        <f>'A) Base RI'!AN95</f>
        <v>1119</v>
      </c>
      <c r="D93" s="116">
        <f>'D) Ecrêtage'!N93</f>
        <v>32.228830704594778</v>
      </c>
      <c r="E93" s="35">
        <f t="shared" si="7"/>
        <v>12.83445373112481</v>
      </c>
      <c r="F93" s="283">
        <f t="shared" si="8"/>
        <v>298580.85994542489</v>
      </c>
      <c r="G93" s="34">
        <f>+'A) Base RI'!AM95</f>
        <v>77</v>
      </c>
      <c r="H93" s="284">
        <f t="shared" si="9"/>
        <v>1.1322259238897541</v>
      </c>
      <c r="I93" s="58">
        <f t="shared" si="10"/>
        <v>338060.99000750598</v>
      </c>
    </row>
    <row r="94" spans="1:9" x14ac:dyDescent="0.25">
      <c r="A94" s="50">
        <f>'A) Base RI'!A96</f>
        <v>5551</v>
      </c>
      <c r="B94" s="33" t="str">
        <f>'A) Base RI'!B96</f>
        <v>Bonvillars</v>
      </c>
      <c r="C94" s="100">
        <f>'A) Base RI'!AN96</f>
        <v>505</v>
      </c>
      <c r="D94" s="116">
        <f>'D) Ecrêtage'!N94</f>
        <v>45.930824842484249</v>
      </c>
      <c r="E94" s="35">
        <f t="shared" si="7"/>
        <v>0</v>
      </c>
      <c r="F94" s="283">
        <f t="shared" si="8"/>
        <v>0</v>
      </c>
      <c r="G94" s="34">
        <f>+'A) Base RI'!AM96</f>
        <v>55</v>
      </c>
      <c r="H94" s="284">
        <f t="shared" si="9"/>
        <v>0.80873280277839577</v>
      </c>
      <c r="I94" s="58">
        <f t="shared" si="10"/>
        <v>0</v>
      </c>
    </row>
    <row r="95" spans="1:9" x14ac:dyDescent="0.25">
      <c r="A95" s="50">
        <f>'A) Base RI'!A97</f>
        <v>5552</v>
      </c>
      <c r="B95" s="33" t="str">
        <f>'A) Base RI'!B97</f>
        <v>Bullet</v>
      </c>
      <c r="C95" s="100">
        <f>'A) Base RI'!AN97</f>
        <v>655</v>
      </c>
      <c r="D95" s="116">
        <f>'D) Ecrêtage'!N95</f>
        <v>27.158708564258077</v>
      </c>
      <c r="E95" s="35">
        <f t="shared" si="7"/>
        <v>17.90457587146151</v>
      </c>
      <c r="F95" s="283">
        <f t="shared" si="8"/>
        <v>231148.96972936168</v>
      </c>
      <c r="G95" s="34">
        <f>+'A) Base RI'!AM97</f>
        <v>73</v>
      </c>
      <c r="H95" s="284">
        <f t="shared" si="9"/>
        <v>1.0734089927785981</v>
      </c>
      <c r="I95" s="58">
        <f t="shared" si="10"/>
        <v>248117.38277900478</v>
      </c>
    </row>
    <row r="96" spans="1:9" x14ac:dyDescent="0.25">
      <c r="A96" s="50">
        <f>'A) Base RI'!A98</f>
        <v>5553</v>
      </c>
      <c r="B96" s="33" t="str">
        <f>'A) Base RI'!B98</f>
        <v>Champagne</v>
      </c>
      <c r="C96" s="100">
        <f>'A) Base RI'!AN98</f>
        <v>1034</v>
      </c>
      <c r="D96" s="116">
        <f>'D) Ecrêtage'!N96</f>
        <v>37.336545900907595</v>
      </c>
      <c r="E96" s="35">
        <f t="shared" si="7"/>
        <v>7.726738534811993</v>
      </c>
      <c r="F96" s="283">
        <f t="shared" si="8"/>
        <v>140214.80616967281</v>
      </c>
      <c r="G96" s="34">
        <f>+'A) Base RI'!AM98</f>
        <v>65</v>
      </c>
      <c r="H96" s="284">
        <f t="shared" si="9"/>
        <v>0.95577513055628593</v>
      </c>
      <c r="I96" s="58">
        <f t="shared" si="10"/>
        <v>134013.82467274336</v>
      </c>
    </row>
    <row r="97" spans="1:9" x14ac:dyDescent="0.25">
      <c r="A97" s="50">
        <f>'A) Base RI'!A99</f>
        <v>5554</v>
      </c>
      <c r="B97" s="33" t="str">
        <f>'A) Base RI'!B99</f>
        <v>Concise</v>
      </c>
      <c r="C97" s="100">
        <f>'A) Base RI'!AN99</f>
        <v>995</v>
      </c>
      <c r="D97" s="116">
        <f>'D) Ecrêtage'!N97</f>
        <v>30.029965963149078</v>
      </c>
      <c r="E97" s="35">
        <f t="shared" si="7"/>
        <v>15.03331847257051</v>
      </c>
      <c r="F97" s="283">
        <f t="shared" si="8"/>
        <v>302902.57557420508</v>
      </c>
      <c r="G97" s="34">
        <f>+'A) Base RI'!AM99</f>
        <v>75</v>
      </c>
      <c r="H97" s="284">
        <f t="shared" si="9"/>
        <v>1.1028174583341761</v>
      </c>
      <c r="I97" s="58">
        <f t="shared" si="10"/>
        <v>334046.24851762055</v>
      </c>
    </row>
    <row r="98" spans="1:9" x14ac:dyDescent="0.25">
      <c r="A98" s="50">
        <f>'A) Base RI'!A100</f>
        <v>5555</v>
      </c>
      <c r="B98" s="33" t="str">
        <f>'A) Base RI'!B100</f>
        <v>Corcelles-près-Concise</v>
      </c>
      <c r="C98" s="100">
        <f>'A) Base RI'!AN100</f>
        <v>401</v>
      </c>
      <c r="D98" s="116">
        <f>'D) Ecrêtage'!N98</f>
        <v>32.467074215868777</v>
      </c>
      <c r="E98" s="35">
        <f t="shared" si="7"/>
        <v>12.596210219850811</v>
      </c>
      <c r="F98" s="283">
        <f t="shared" si="8"/>
        <v>96829.209315730564</v>
      </c>
      <c r="G98" s="34">
        <f>+'A) Base RI'!AM100</f>
        <v>71</v>
      </c>
      <c r="H98" s="284">
        <f t="shared" si="9"/>
        <v>1.0440005272230199</v>
      </c>
      <c r="I98" s="58">
        <f t="shared" si="10"/>
        <v>101089.74557621086</v>
      </c>
    </row>
    <row r="99" spans="1:9" x14ac:dyDescent="0.25">
      <c r="A99" s="50">
        <f>'A) Base RI'!A101</f>
        <v>5556</v>
      </c>
      <c r="B99" s="33" t="str">
        <f>'A) Base RI'!B101</f>
        <v>Fiez</v>
      </c>
      <c r="C99" s="100">
        <f>'A) Base RI'!AN101</f>
        <v>447</v>
      </c>
      <c r="D99" s="116">
        <f>'D) Ecrêtage'!N99</f>
        <v>28.374120005619865</v>
      </c>
      <c r="E99" s="35">
        <f t="shared" si="7"/>
        <v>16.689164430099723</v>
      </c>
      <c r="F99" s="283">
        <f t="shared" si="8"/>
        <v>138980.85259974276</v>
      </c>
      <c r="G99" s="34">
        <f>+'A) Base RI'!AM101</f>
        <v>69</v>
      </c>
      <c r="H99" s="284">
        <f t="shared" si="9"/>
        <v>1.014592061667442</v>
      </c>
      <c r="I99" s="58">
        <f t="shared" si="10"/>
        <v>141008.86977147189</v>
      </c>
    </row>
    <row r="100" spans="1:9" x14ac:dyDescent="0.25">
      <c r="A100" s="50">
        <f>'A) Base RI'!A102</f>
        <v>5557</v>
      </c>
      <c r="B100" s="33" t="str">
        <f>'A) Base RI'!B102</f>
        <v>Fontaines-sur-Grandson</v>
      </c>
      <c r="C100" s="100">
        <f>'A) Base RI'!AN102</f>
        <v>218</v>
      </c>
      <c r="D100" s="116">
        <f>'D) Ecrêtage'!N100</f>
        <v>25.463488232947746</v>
      </c>
      <c r="E100" s="35">
        <f t="shared" si="7"/>
        <v>19.599796202771842</v>
      </c>
      <c r="F100" s="283">
        <f t="shared" si="8"/>
        <v>79601.436310165387</v>
      </c>
      <c r="G100" s="34">
        <f>+'A) Base RI'!AM102</f>
        <v>69</v>
      </c>
      <c r="H100" s="284">
        <f t="shared" si="9"/>
        <v>1.014592061667442</v>
      </c>
      <c r="I100" s="58">
        <f t="shared" si="10"/>
        <v>80762.98537762028</v>
      </c>
    </row>
    <row r="101" spans="1:9" x14ac:dyDescent="0.25">
      <c r="A101" s="50">
        <f>'A) Base RI'!A103</f>
        <v>5559</v>
      </c>
      <c r="B101" s="33" t="str">
        <f>'A) Base RI'!B103</f>
        <v>Giez</v>
      </c>
      <c r="C101" s="100">
        <f>'A) Base RI'!AN103</f>
        <v>412</v>
      </c>
      <c r="D101" s="116">
        <f>'D) Ecrêtage'!N101</f>
        <v>49.702182259488083</v>
      </c>
      <c r="E101" s="35">
        <f t="shared" si="7"/>
        <v>0</v>
      </c>
      <c r="F101" s="283">
        <f t="shared" si="8"/>
        <v>0</v>
      </c>
      <c r="G101" s="34">
        <f>+'A) Base RI'!AM103</f>
        <v>66</v>
      </c>
      <c r="H101" s="284">
        <f t="shared" si="9"/>
        <v>0.97047936333407503</v>
      </c>
      <c r="I101" s="58">
        <f t="shared" si="10"/>
        <v>0</v>
      </c>
    </row>
    <row r="102" spans="1:9" x14ac:dyDescent="0.25">
      <c r="A102" s="50">
        <f>'A) Base RI'!A104</f>
        <v>5560</v>
      </c>
      <c r="B102" s="33" t="str">
        <f>'A) Base RI'!B104</f>
        <v>Grandevent</v>
      </c>
      <c r="C102" s="100">
        <f>'A) Base RI'!AN104</f>
        <v>238</v>
      </c>
      <c r="D102" s="116">
        <f>'D) Ecrêtage'!N102</f>
        <v>31.367585887296094</v>
      </c>
      <c r="E102" s="35">
        <f t="shared" si="7"/>
        <v>13.695698548423493</v>
      </c>
      <c r="F102" s="283">
        <f t="shared" si="8"/>
        <v>59845.820033075172</v>
      </c>
      <c r="G102" s="34">
        <f>+'A) Base RI'!AM104</f>
        <v>68</v>
      </c>
      <c r="H102" s="284">
        <f t="shared" si="9"/>
        <v>0.999887828889653</v>
      </c>
      <c r="I102" s="58">
        <f t="shared" si="10"/>
        <v>59839.107060992435</v>
      </c>
    </row>
    <row r="103" spans="1:9" x14ac:dyDescent="0.25">
      <c r="A103" s="50">
        <f>'A) Base RI'!A105</f>
        <v>5561</v>
      </c>
      <c r="B103" s="33" t="str">
        <f>'A) Base RI'!B105</f>
        <v>Grandson</v>
      </c>
      <c r="C103" s="100">
        <f>'A) Base RI'!AN105</f>
        <v>3360</v>
      </c>
      <c r="D103" s="116">
        <f>'D) Ecrêtage'!N103</f>
        <v>36.992961266390616</v>
      </c>
      <c r="E103" s="35">
        <f t="shared" si="7"/>
        <v>8.0703231693289723</v>
      </c>
      <c r="F103" s="283">
        <f t="shared" si="8"/>
        <v>505176.40536585182</v>
      </c>
      <c r="G103" s="34">
        <f>+'A) Base RI'!AM105</f>
        <v>69</v>
      </c>
      <c r="H103" s="284">
        <f t="shared" si="9"/>
        <v>1.014592061667442</v>
      </c>
      <c r="I103" s="58">
        <f t="shared" si="10"/>
        <v>512547.97062588698</v>
      </c>
    </row>
    <row r="104" spans="1:9" x14ac:dyDescent="0.25">
      <c r="A104" s="50">
        <f>'A) Base RI'!A106</f>
        <v>5562</v>
      </c>
      <c r="B104" s="33" t="str">
        <f>'A) Base RI'!B106</f>
        <v>Mauborget</v>
      </c>
      <c r="C104" s="100">
        <f>'A) Base RI'!AN106</f>
        <v>122</v>
      </c>
      <c r="D104" s="116">
        <f>'D) Ecrêtage'!N104</f>
        <v>43.350922521467602</v>
      </c>
      <c r="E104" s="35">
        <f t="shared" si="7"/>
        <v>1.7123619142519857</v>
      </c>
      <c r="F104" s="283">
        <f t="shared" si="8"/>
        <v>3948.3641018822286</v>
      </c>
      <c r="G104" s="34">
        <f>+'A) Base RI'!AM106</f>
        <v>70</v>
      </c>
      <c r="H104" s="284">
        <f t="shared" si="9"/>
        <v>1.0292962944452311</v>
      </c>
      <c r="I104" s="58">
        <f t="shared" si="10"/>
        <v>4064.0365391879509</v>
      </c>
    </row>
    <row r="105" spans="1:9" x14ac:dyDescent="0.25">
      <c r="A105" s="50">
        <f>'A) Base RI'!A107</f>
        <v>5563</v>
      </c>
      <c r="B105" s="33" t="str">
        <f>'A) Base RI'!B107</f>
        <v>Mutrux</v>
      </c>
      <c r="C105" s="100">
        <f>'A) Base RI'!AN107</f>
        <v>158</v>
      </c>
      <c r="D105" s="116">
        <f>'D) Ecrêtage'!N105</f>
        <v>21.044684350560349</v>
      </c>
      <c r="E105" s="35">
        <f t="shared" si="7"/>
        <v>24.018600085159239</v>
      </c>
      <c r="F105" s="283">
        <f t="shared" si="8"/>
        <v>80433.72815118212</v>
      </c>
      <c r="G105" s="34">
        <f>+'A) Base RI'!AM107</f>
        <v>78.5</v>
      </c>
      <c r="H105" s="284">
        <f t="shared" si="9"/>
        <v>1.1542822730564377</v>
      </c>
      <c r="I105" s="58">
        <f t="shared" si="10"/>
        <v>92843.226560750074</v>
      </c>
    </row>
    <row r="106" spans="1:9" x14ac:dyDescent="0.25">
      <c r="A106" s="50">
        <f>'A) Base RI'!A108</f>
        <v>5564</v>
      </c>
      <c r="B106" s="33" t="str">
        <f>'A) Base RI'!B108</f>
        <v>Novalles</v>
      </c>
      <c r="C106" s="100">
        <f>'A) Base RI'!AN108</f>
        <v>101</v>
      </c>
      <c r="D106" s="116">
        <f>'D) Ecrêtage'!N106</f>
        <v>28.50961666232412</v>
      </c>
      <c r="E106" s="35">
        <f t="shared" si="7"/>
        <v>16.553667773395468</v>
      </c>
      <c r="F106" s="283">
        <f t="shared" si="8"/>
        <v>34307.807533717576</v>
      </c>
      <c r="G106" s="34">
        <f>+'A) Base RI'!AM108</f>
        <v>76</v>
      </c>
      <c r="H106" s="284">
        <f t="shared" si="9"/>
        <v>1.1175216911119652</v>
      </c>
      <c r="I106" s="58">
        <f t="shared" si="10"/>
        <v>38339.719093423882</v>
      </c>
    </row>
    <row r="107" spans="1:9" x14ac:dyDescent="0.25">
      <c r="A107" s="50">
        <f>'A) Base RI'!A109</f>
        <v>5565</v>
      </c>
      <c r="B107" s="33" t="str">
        <f>'A) Base RI'!B109</f>
        <v>Onnens</v>
      </c>
      <c r="C107" s="100">
        <f>'A) Base RI'!AN109</f>
        <v>494</v>
      </c>
      <c r="D107" s="116">
        <f>'D) Ecrêtage'!N107</f>
        <v>44.249696667704761</v>
      </c>
      <c r="E107" s="35">
        <f t="shared" si="7"/>
        <v>0.81358776801482691</v>
      </c>
      <c r="F107" s="283">
        <f t="shared" si="8"/>
        <v>7053.5618723581447</v>
      </c>
      <c r="G107" s="34">
        <f>+'A) Base RI'!AM109</f>
        <v>65</v>
      </c>
      <c r="H107" s="284">
        <f t="shared" si="9"/>
        <v>0.95577513055628593</v>
      </c>
      <c r="I107" s="58">
        <f t="shared" si="10"/>
        <v>6741.619019439946</v>
      </c>
    </row>
    <row r="108" spans="1:9" x14ac:dyDescent="0.25">
      <c r="A108" s="50">
        <f>'A) Base RI'!A110</f>
        <v>5566</v>
      </c>
      <c r="B108" s="33" t="str">
        <f>'A) Base RI'!B110</f>
        <v>Provence</v>
      </c>
      <c r="C108" s="100">
        <f>'A) Base RI'!AN110</f>
        <v>373</v>
      </c>
      <c r="D108" s="116">
        <f>'D) Ecrêtage'!N108</f>
        <v>22.20887520824369</v>
      </c>
      <c r="E108" s="35">
        <f t="shared" si="7"/>
        <v>22.854409227475898</v>
      </c>
      <c r="F108" s="283">
        <f t="shared" si="8"/>
        <v>186435.07181722694</v>
      </c>
      <c r="G108" s="34">
        <f>+'A) Base RI'!AM110</f>
        <v>81</v>
      </c>
      <c r="H108" s="284">
        <f t="shared" si="9"/>
        <v>1.1910428550009102</v>
      </c>
      <c r="I108" s="58">
        <f t="shared" si="10"/>
        <v>222052.16020948972</v>
      </c>
    </row>
    <row r="109" spans="1:9" x14ac:dyDescent="0.25">
      <c r="A109" s="50">
        <f>'A) Base RI'!A111</f>
        <v>5568</v>
      </c>
      <c r="B109" s="33" t="str">
        <f>'A) Base RI'!B111</f>
        <v>Sainte-Croix</v>
      </c>
      <c r="C109" s="100">
        <f>'A) Base RI'!AN111</f>
        <v>4845</v>
      </c>
      <c r="D109" s="116">
        <f>'D) Ecrêtage'!N109</f>
        <v>21.289332979507595</v>
      </c>
      <c r="E109" s="35">
        <f t="shared" si="7"/>
        <v>23.773951456211993</v>
      </c>
      <c r="F109" s="283">
        <f t="shared" si="8"/>
        <v>2176992.6218210603</v>
      </c>
      <c r="G109" s="34">
        <f>+'A) Base RI'!AM111</f>
        <v>70</v>
      </c>
      <c r="H109" s="284">
        <f t="shared" si="9"/>
        <v>1.0292962944452311</v>
      </c>
      <c r="I109" s="58">
        <f t="shared" si="10"/>
        <v>2240770.4386750255</v>
      </c>
    </row>
    <row r="110" spans="1:9" x14ac:dyDescent="0.25">
      <c r="A110" s="50">
        <f>'A) Base RI'!A112</f>
        <v>5571</v>
      </c>
      <c r="B110" s="33" t="str">
        <f>'A) Base RI'!B112</f>
        <v>Tévenon</v>
      </c>
      <c r="C110" s="100">
        <f>'A) Base RI'!AN112</f>
        <v>877</v>
      </c>
      <c r="D110" s="116">
        <f>'D) Ecrêtage'!N110</f>
        <v>25.661582345376253</v>
      </c>
      <c r="E110" s="35">
        <f t="shared" si="7"/>
        <v>19.401702090343335</v>
      </c>
      <c r="F110" s="283">
        <f t="shared" si="8"/>
        <v>335371.41977198509</v>
      </c>
      <c r="G110" s="34">
        <f>+'A) Base RI'!AM112</f>
        <v>73</v>
      </c>
      <c r="H110" s="284">
        <f t="shared" si="9"/>
        <v>1.0734089927785981</v>
      </c>
      <c r="I110" s="58">
        <f t="shared" si="10"/>
        <v>359990.69790417497</v>
      </c>
    </row>
    <row r="111" spans="1:9" x14ac:dyDescent="0.25">
      <c r="A111" s="50">
        <f>'A) Base RI'!A113</f>
        <v>5581</v>
      </c>
      <c r="B111" s="33" t="str">
        <f>'A) Base RI'!B113</f>
        <v>Belmont-sur-Lausanne</v>
      </c>
      <c r="C111" s="100">
        <f>'A) Base RI'!AN113</f>
        <v>3732</v>
      </c>
      <c r="D111" s="116">
        <f>'D) Ecrêtage'!N111</f>
        <v>50.367301130156974</v>
      </c>
      <c r="E111" s="35">
        <f t="shared" si="7"/>
        <v>0</v>
      </c>
      <c r="F111" s="283">
        <f t="shared" si="8"/>
        <v>0</v>
      </c>
      <c r="G111" s="34">
        <f>+'A) Base RI'!AM113</f>
        <v>69.5</v>
      </c>
      <c r="H111" s="284">
        <f t="shared" si="9"/>
        <v>1.0219441780563365</v>
      </c>
      <c r="I111" s="58">
        <f t="shared" si="10"/>
        <v>0</v>
      </c>
    </row>
    <row r="112" spans="1:9" x14ac:dyDescent="0.25">
      <c r="A112" s="50">
        <f>'A) Base RI'!A114</f>
        <v>5582</v>
      </c>
      <c r="B112" s="33" t="str">
        <f>'A) Base RI'!B114</f>
        <v>Cheseaux-sur-Lausanne</v>
      </c>
      <c r="C112" s="100">
        <f>'A) Base RI'!AN114</f>
        <v>4338</v>
      </c>
      <c r="D112" s="116">
        <f>'D) Ecrêtage'!N112</f>
        <v>40.999299556595226</v>
      </c>
      <c r="E112" s="35">
        <f t="shared" si="7"/>
        <v>4.0639848791243622</v>
      </c>
      <c r="F112" s="283">
        <f t="shared" si="8"/>
        <v>354618.72824947844</v>
      </c>
      <c r="G112" s="34">
        <f>+'A) Base RI'!AM114</f>
        <v>74.5</v>
      </c>
      <c r="H112" s="284">
        <f t="shared" si="9"/>
        <v>1.0954653419452816</v>
      </c>
      <c r="I112" s="58">
        <f t="shared" si="10"/>
        <v>388472.52640201576</v>
      </c>
    </row>
    <row r="113" spans="1:9" x14ac:dyDescent="0.25">
      <c r="A113" s="50">
        <f>'A) Base RI'!A115</f>
        <v>5583</v>
      </c>
      <c r="B113" s="33" t="str">
        <f>'A) Base RI'!B115</f>
        <v>Crissier</v>
      </c>
      <c r="C113" s="100">
        <f>'A) Base RI'!AN115</f>
        <v>7905</v>
      </c>
      <c r="D113" s="116">
        <f>'D) Ecrêtage'!N113</f>
        <v>43.398177745341314</v>
      </c>
      <c r="E113" s="35">
        <f t="shared" si="7"/>
        <v>1.6651066903782734</v>
      </c>
      <c r="F113" s="283">
        <f t="shared" si="8"/>
        <v>231004.83019957642</v>
      </c>
      <c r="G113" s="34">
        <f>+'A) Base RI'!AM115</f>
        <v>65</v>
      </c>
      <c r="H113" s="284">
        <f t="shared" si="9"/>
        <v>0.95577513055628593</v>
      </c>
      <c r="I113" s="58">
        <f t="shared" si="10"/>
        <v>220788.67174313281</v>
      </c>
    </row>
    <row r="114" spans="1:9" x14ac:dyDescent="0.25">
      <c r="A114" s="50">
        <f>'A) Base RI'!A116</f>
        <v>5584</v>
      </c>
      <c r="B114" s="33" t="str">
        <f>'A) Base RI'!B116</f>
        <v>Epalinges</v>
      </c>
      <c r="C114" s="100">
        <f>'A) Base RI'!AN116</f>
        <v>9624</v>
      </c>
      <c r="D114" s="116">
        <f>'D) Ecrêtage'!N114</f>
        <v>48.694435439179827</v>
      </c>
      <c r="E114" s="35">
        <f t="shared" si="7"/>
        <v>0</v>
      </c>
      <c r="F114" s="283">
        <f t="shared" si="8"/>
        <v>0</v>
      </c>
      <c r="G114" s="34">
        <f>+'A) Base RI'!AM116</f>
        <v>66</v>
      </c>
      <c r="H114" s="284">
        <f t="shared" si="9"/>
        <v>0.97047936333407503</v>
      </c>
      <c r="I114" s="58">
        <f t="shared" si="10"/>
        <v>0</v>
      </c>
    </row>
    <row r="115" spans="1:9" x14ac:dyDescent="0.25">
      <c r="A115" s="50">
        <f>'A) Base RI'!A117</f>
        <v>5585</v>
      </c>
      <c r="B115" s="33" t="str">
        <f>'A) Base RI'!B117</f>
        <v>Jouxtens-Mézery</v>
      </c>
      <c r="C115" s="100">
        <f>'A) Base RI'!AN117</f>
        <v>1471</v>
      </c>
      <c r="D115" s="116">
        <f>'D) Ecrêtage'!N115</f>
        <v>126.32324323361554</v>
      </c>
      <c r="E115" s="35">
        <f t="shared" si="7"/>
        <v>0</v>
      </c>
      <c r="F115" s="283">
        <f t="shared" si="8"/>
        <v>0</v>
      </c>
      <c r="G115" s="34">
        <f>+'A) Base RI'!AM117</f>
        <v>53</v>
      </c>
      <c r="H115" s="284">
        <f t="shared" si="9"/>
        <v>0.7793243372228178</v>
      </c>
      <c r="I115" s="58">
        <f t="shared" si="10"/>
        <v>0</v>
      </c>
    </row>
    <row r="116" spans="1:9" x14ac:dyDescent="0.25">
      <c r="A116" s="50">
        <f>'A) Base RI'!A118</f>
        <v>5586</v>
      </c>
      <c r="B116" s="33" t="str">
        <f>'A) Base RI'!B118</f>
        <v>Lausanne</v>
      </c>
      <c r="C116" s="100">
        <f>'A) Base RI'!AN118</f>
        <v>139720</v>
      </c>
      <c r="D116" s="116">
        <f>'D) Ecrêtage'!N116</f>
        <v>42.932789910139746</v>
      </c>
      <c r="E116" s="35">
        <f t="shared" si="7"/>
        <v>2.1304945255798415</v>
      </c>
      <c r="F116" s="283">
        <f t="shared" si="8"/>
        <v>6349358.5867819507</v>
      </c>
      <c r="G116" s="34">
        <f>+'A) Base RI'!AM118</f>
        <v>79</v>
      </c>
      <c r="H116" s="284">
        <f t="shared" si="9"/>
        <v>1.1616343894453323</v>
      </c>
      <c r="I116" s="58">
        <f t="shared" si="10"/>
        <v>7375633.2853259286</v>
      </c>
    </row>
    <row r="117" spans="1:9" x14ac:dyDescent="0.25">
      <c r="A117" s="50">
        <f>'A) Base RI'!A119</f>
        <v>5587</v>
      </c>
      <c r="B117" s="33" t="str">
        <f>'A) Base RI'!B119</f>
        <v>Le Mont-sur-Lausanne</v>
      </c>
      <c r="C117" s="100">
        <f>'A) Base RI'!AN119</f>
        <v>8516</v>
      </c>
      <c r="D117" s="116">
        <f>'D) Ecrêtage'!N117</f>
        <v>50.116183677783006</v>
      </c>
      <c r="E117" s="35">
        <f t="shared" si="7"/>
        <v>0</v>
      </c>
      <c r="F117" s="283">
        <f t="shared" si="8"/>
        <v>0</v>
      </c>
      <c r="G117" s="34">
        <f>+'A) Base RI'!AM119</f>
        <v>75</v>
      </c>
      <c r="H117" s="284">
        <f t="shared" si="9"/>
        <v>1.1028174583341761</v>
      </c>
      <c r="I117" s="58">
        <f t="shared" si="10"/>
        <v>0</v>
      </c>
    </row>
    <row r="118" spans="1:9" x14ac:dyDescent="0.25">
      <c r="A118" s="50">
        <f>'A) Base RI'!A120</f>
        <v>5588</v>
      </c>
      <c r="B118" s="33" t="str">
        <f>'A) Base RI'!B120</f>
        <v>Paudex</v>
      </c>
      <c r="C118" s="100">
        <f>'A) Base RI'!AN120</f>
        <v>1507</v>
      </c>
      <c r="D118" s="116">
        <f>'D) Ecrêtage'!N118</f>
        <v>76.46639128294045</v>
      </c>
      <c r="E118" s="35">
        <f t="shared" si="7"/>
        <v>0</v>
      </c>
      <c r="F118" s="283">
        <f t="shared" si="8"/>
        <v>0</v>
      </c>
      <c r="G118" s="34">
        <f>+'A) Base RI'!AM120</f>
        <v>61.5</v>
      </c>
      <c r="H118" s="284">
        <f t="shared" si="9"/>
        <v>0.90431031583402444</v>
      </c>
      <c r="I118" s="58">
        <f t="shared" si="10"/>
        <v>0</v>
      </c>
    </row>
    <row r="119" spans="1:9" x14ac:dyDescent="0.25">
      <c r="A119" s="50">
        <f>'A) Base RI'!A121</f>
        <v>5589</v>
      </c>
      <c r="B119" s="33" t="str">
        <f>'A) Base RI'!B121</f>
        <v>Prilly</v>
      </c>
      <c r="C119" s="100">
        <f>'A) Base RI'!AN121</f>
        <v>12392</v>
      </c>
      <c r="D119" s="116">
        <f>'D) Ecrêtage'!N119</f>
        <v>34.379693054109957</v>
      </c>
      <c r="E119" s="35">
        <f t="shared" si="7"/>
        <v>10.683591381609631</v>
      </c>
      <c r="F119" s="283">
        <f t="shared" si="8"/>
        <v>2627300.6730359909</v>
      </c>
      <c r="G119" s="34">
        <f>+'A) Base RI'!AM121</f>
        <v>73.5</v>
      </c>
      <c r="H119" s="284">
        <f t="shared" si="9"/>
        <v>1.0807611091674927</v>
      </c>
      <c r="I119" s="58">
        <f t="shared" si="10"/>
        <v>2839484.3895068774</v>
      </c>
    </row>
    <row r="120" spans="1:9" x14ac:dyDescent="0.25">
      <c r="A120" s="50">
        <f>'A) Base RI'!A122</f>
        <v>5590</v>
      </c>
      <c r="B120" s="33" t="str">
        <f>'A) Base RI'!B122</f>
        <v>Pully</v>
      </c>
      <c r="C120" s="100">
        <f>'A) Base RI'!AN122</f>
        <v>18336</v>
      </c>
      <c r="D120" s="116">
        <f>'D) Ecrêtage'!N120</f>
        <v>72.457225834089542</v>
      </c>
      <c r="E120" s="35">
        <f t="shared" si="7"/>
        <v>0</v>
      </c>
      <c r="F120" s="283">
        <f t="shared" si="8"/>
        <v>0</v>
      </c>
      <c r="G120" s="34">
        <f>+'A) Base RI'!AM122</f>
        <v>61</v>
      </c>
      <c r="H120" s="284">
        <f t="shared" si="9"/>
        <v>0.89695819944512989</v>
      </c>
      <c r="I120" s="58">
        <f t="shared" si="10"/>
        <v>0</v>
      </c>
    </row>
    <row r="121" spans="1:9" x14ac:dyDescent="0.25">
      <c r="A121" s="50">
        <f>'A) Base RI'!A123</f>
        <v>5591</v>
      </c>
      <c r="B121" s="33" t="str">
        <f>'A) Base RI'!B123</f>
        <v>Renens</v>
      </c>
      <c r="C121" s="100">
        <f>'A) Base RI'!AN123</f>
        <v>20968</v>
      </c>
      <c r="D121" s="116">
        <f>'D) Ecrêtage'!N121</f>
        <v>27.677165786488985</v>
      </c>
      <c r="E121" s="35">
        <f t="shared" si="7"/>
        <v>17.386118649230603</v>
      </c>
      <c r="F121" s="283">
        <f t="shared" si="8"/>
        <v>7726682.5190666411</v>
      </c>
      <c r="G121" s="34">
        <f>+'A) Base RI'!AM123</f>
        <v>78.5</v>
      </c>
      <c r="H121" s="284">
        <f t="shared" si="9"/>
        <v>1.1542822730564377</v>
      </c>
      <c r="I121" s="58">
        <f t="shared" si="10"/>
        <v>8918772.6612936854</v>
      </c>
    </row>
    <row r="122" spans="1:9" x14ac:dyDescent="0.25">
      <c r="A122" s="50">
        <f>'A) Base RI'!A124</f>
        <v>5592</v>
      </c>
      <c r="B122" s="33" t="str">
        <f>'A) Base RI'!B124</f>
        <v>Romanel-sur-Lausanne</v>
      </c>
      <c r="C122" s="100">
        <f>'A) Base RI'!AN124</f>
        <v>3311</v>
      </c>
      <c r="D122" s="116">
        <f>'D) Ecrêtage'!N122</f>
        <v>34.407792552961993</v>
      </c>
      <c r="E122" s="35">
        <f t="shared" si="7"/>
        <v>10.655491882757595</v>
      </c>
      <c r="F122" s="283">
        <f t="shared" si="8"/>
        <v>666798.30549001647</v>
      </c>
      <c r="G122" s="34">
        <f>+'A) Base RI'!AM124</f>
        <v>70</v>
      </c>
      <c r="H122" s="284">
        <f t="shared" si="9"/>
        <v>1.0292962944452311</v>
      </c>
      <c r="I122" s="58">
        <f t="shared" si="10"/>
        <v>686333.02498323319</v>
      </c>
    </row>
    <row r="123" spans="1:9" x14ac:dyDescent="0.25">
      <c r="A123" s="50">
        <f>'A) Base RI'!A125</f>
        <v>5601</v>
      </c>
      <c r="B123" s="33" t="str">
        <f>'A) Base RI'!B125</f>
        <v>Chexbres</v>
      </c>
      <c r="C123" s="100">
        <f>'A) Base RI'!AN125</f>
        <v>2238</v>
      </c>
      <c r="D123" s="116">
        <f>'D) Ecrêtage'!N123</f>
        <v>45.94918353602467</v>
      </c>
      <c r="E123" s="35">
        <f t="shared" si="7"/>
        <v>0</v>
      </c>
      <c r="F123" s="283">
        <f t="shared" si="8"/>
        <v>0</v>
      </c>
      <c r="G123" s="34">
        <f>+'A) Base RI'!AM125</f>
        <v>69</v>
      </c>
      <c r="H123" s="284">
        <f t="shared" si="9"/>
        <v>1.014592061667442</v>
      </c>
      <c r="I123" s="58">
        <f t="shared" si="10"/>
        <v>0</v>
      </c>
    </row>
    <row r="124" spans="1:9" x14ac:dyDescent="0.25">
      <c r="A124" s="50">
        <f>'A) Base RI'!A126</f>
        <v>5604</v>
      </c>
      <c r="B124" s="33" t="str">
        <f>'A) Base RI'!B126</f>
        <v>Forel (Lavaux)</v>
      </c>
      <c r="C124" s="100">
        <f>'A) Base RI'!AN126</f>
        <v>2082</v>
      </c>
      <c r="D124" s="116">
        <f>'D) Ecrêtage'!N124</f>
        <v>36.703106765472761</v>
      </c>
      <c r="E124" s="35">
        <f t="shared" si="7"/>
        <v>8.3601776702468271</v>
      </c>
      <c r="F124" s="283">
        <f t="shared" si="8"/>
        <v>328971.31928867858</v>
      </c>
      <c r="G124" s="34">
        <f>+'A) Base RI'!AM126</f>
        <v>70</v>
      </c>
      <c r="H124" s="284">
        <f t="shared" si="9"/>
        <v>1.0292962944452311</v>
      </c>
      <c r="I124" s="58">
        <f t="shared" si="10"/>
        <v>338608.95992259582</v>
      </c>
    </row>
    <row r="125" spans="1:9" x14ac:dyDescent="0.25">
      <c r="A125" s="50">
        <f>'A) Base RI'!A127</f>
        <v>5606</v>
      </c>
      <c r="B125" s="33" t="str">
        <f>'A) Base RI'!B127</f>
        <v>Lutry</v>
      </c>
      <c r="C125" s="100">
        <f>'A) Base RI'!AN127</f>
        <v>10285</v>
      </c>
      <c r="D125" s="116">
        <f>'D) Ecrêtage'!N125</f>
        <v>75.885345392882527</v>
      </c>
      <c r="E125" s="35">
        <f t="shared" si="7"/>
        <v>0</v>
      </c>
      <c r="F125" s="283">
        <f t="shared" si="8"/>
        <v>0</v>
      </c>
      <c r="G125" s="34">
        <f>+'A) Base RI'!AM127</f>
        <v>55.5</v>
      </c>
      <c r="H125" s="284">
        <f t="shared" si="9"/>
        <v>0.81608491916729031</v>
      </c>
      <c r="I125" s="58">
        <f t="shared" si="10"/>
        <v>0</v>
      </c>
    </row>
    <row r="126" spans="1:9" x14ac:dyDescent="0.25">
      <c r="A126" s="50">
        <f>'A) Base RI'!A128</f>
        <v>5607</v>
      </c>
      <c r="B126" s="33" t="str">
        <f>'A) Base RI'!B128</f>
        <v>Puidoux</v>
      </c>
      <c r="C126" s="100">
        <f>'A) Base RI'!AN128</f>
        <v>2880</v>
      </c>
      <c r="D126" s="116">
        <f>'D) Ecrêtage'!N126</f>
        <v>38.802485347653558</v>
      </c>
      <c r="E126" s="35">
        <f t="shared" si="7"/>
        <v>6.2607990880660296</v>
      </c>
      <c r="F126" s="283">
        <f t="shared" si="8"/>
        <v>340787.81596161012</v>
      </c>
      <c r="G126" s="34">
        <f>+'A) Base RI'!AM128</f>
        <v>70</v>
      </c>
      <c r="H126" s="284">
        <f t="shared" si="9"/>
        <v>1.0292962944452311</v>
      </c>
      <c r="I126" s="58">
        <f t="shared" si="10"/>
        <v>350771.63616136869</v>
      </c>
    </row>
    <row r="127" spans="1:9" x14ac:dyDescent="0.25">
      <c r="A127" s="50">
        <f>'A) Base RI'!A129</f>
        <v>5609</v>
      </c>
      <c r="B127" s="33" t="str">
        <f>'A) Base RI'!B129</f>
        <v>Rivaz</v>
      </c>
      <c r="C127" s="100">
        <f>'A) Base RI'!AN129</f>
        <v>358</v>
      </c>
      <c r="D127" s="116">
        <f>'D) Ecrêtage'!N127</f>
        <v>37.762314696696436</v>
      </c>
      <c r="E127" s="35">
        <f t="shared" si="7"/>
        <v>7.3009697390231523</v>
      </c>
      <c r="F127" s="283">
        <f t="shared" si="8"/>
        <v>44812.695170847597</v>
      </c>
      <c r="G127" s="34">
        <f>+'A) Base RI'!AM129</f>
        <v>63.5</v>
      </c>
      <c r="H127" s="284">
        <f t="shared" si="9"/>
        <v>0.9337187813896024</v>
      </c>
      <c r="I127" s="58">
        <f t="shared" si="10"/>
        <v>41842.455125707536</v>
      </c>
    </row>
    <row r="128" spans="1:9" x14ac:dyDescent="0.25">
      <c r="A128" s="50">
        <f>'A) Base RI'!A130</f>
        <v>5610</v>
      </c>
      <c r="B128" s="33" t="str">
        <f>'A) Base RI'!B130</f>
        <v>St-Saphorin (Lavaux)</v>
      </c>
      <c r="C128" s="100">
        <f>'A) Base RI'!AN130</f>
        <v>391</v>
      </c>
      <c r="D128" s="116">
        <f>'D) Ecrêtage'!N128</f>
        <v>54.972047131896254</v>
      </c>
      <c r="E128" s="35">
        <f t="shared" si="7"/>
        <v>0</v>
      </c>
      <c r="F128" s="283">
        <f t="shared" si="8"/>
        <v>0</v>
      </c>
      <c r="G128" s="34">
        <f>+'A) Base RI'!AM130</f>
        <v>70</v>
      </c>
      <c r="H128" s="284">
        <f t="shared" si="9"/>
        <v>1.0292962944452311</v>
      </c>
      <c r="I128" s="58">
        <f t="shared" si="10"/>
        <v>0</v>
      </c>
    </row>
    <row r="129" spans="1:9" x14ac:dyDescent="0.25">
      <c r="A129" s="50">
        <f>'A) Base RI'!A131</f>
        <v>5611</v>
      </c>
      <c r="B129" s="33" t="str">
        <f>'A) Base RI'!B131</f>
        <v>Savigny</v>
      </c>
      <c r="C129" s="100">
        <f>'A) Base RI'!AN131</f>
        <v>3353</v>
      </c>
      <c r="D129" s="116">
        <f>'D) Ecrêtage'!N129</f>
        <v>41.081868439972283</v>
      </c>
      <c r="E129" s="35">
        <f t="shared" si="7"/>
        <v>3.9814159957473052</v>
      </c>
      <c r="F129" s="283">
        <f t="shared" si="8"/>
        <v>248704.68434258955</v>
      </c>
      <c r="G129" s="34">
        <f>+'A) Base RI'!AM131</f>
        <v>69</v>
      </c>
      <c r="H129" s="284">
        <f t="shared" si="9"/>
        <v>1.014592061667442</v>
      </c>
      <c r="I129" s="58">
        <f t="shared" si="10"/>
        <v>252333.7984334983</v>
      </c>
    </row>
    <row r="130" spans="1:9" x14ac:dyDescent="0.25">
      <c r="A130" s="50">
        <f>'A) Base RI'!A132</f>
        <v>5613</v>
      </c>
      <c r="B130" s="33" t="str">
        <f>'A) Base RI'!B132</f>
        <v>Bourg-en-Lavaux</v>
      </c>
      <c r="C130" s="100">
        <f>'A) Base RI'!AN132</f>
        <v>5367</v>
      </c>
      <c r="D130" s="116">
        <f>'D) Ecrêtage'!N130</f>
        <v>54.77763014414132</v>
      </c>
      <c r="E130" s="35">
        <f t="shared" si="7"/>
        <v>0</v>
      </c>
      <c r="F130" s="283">
        <f t="shared" si="8"/>
        <v>0</v>
      </c>
      <c r="G130" s="34">
        <f>+'A) Base RI'!AM132</f>
        <v>61</v>
      </c>
      <c r="H130" s="284">
        <f t="shared" si="9"/>
        <v>0.89695819944512989</v>
      </c>
      <c r="I130" s="58">
        <f t="shared" si="10"/>
        <v>0</v>
      </c>
    </row>
    <row r="131" spans="1:9" x14ac:dyDescent="0.25">
      <c r="A131" s="50">
        <f>'A) Base RI'!A133</f>
        <v>5621</v>
      </c>
      <c r="B131" s="33" t="str">
        <f>'A) Base RI'!B133</f>
        <v>Aclens</v>
      </c>
      <c r="C131" s="100">
        <f>'A) Base RI'!AN133</f>
        <v>535</v>
      </c>
      <c r="D131" s="116">
        <f>'D) Ecrêtage'!N131</f>
        <v>70.449319243583872</v>
      </c>
      <c r="E131" s="35">
        <f t="shared" si="7"/>
        <v>0</v>
      </c>
      <c r="F131" s="283">
        <f t="shared" si="8"/>
        <v>0</v>
      </c>
      <c r="G131" s="34">
        <f>+'A) Base RI'!AM133</f>
        <v>62</v>
      </c>
      <c r="H131" s="284">
        <f t="shared" si="9"/>
        <v>0.91166243222291887</v>
      </c>
      <c r="I131" s="58">
        <f t="shared" si="10"/>
        <v>0</v>
      </c>
    </row>
    <row r="132" spans="1:9" x14ac:dyDescent="0.25">
      <c r="A132" s="50">
        <f>'A) Base RI'!A134</f>
        <v>5622</v>
      </c>
      <c r="B132" s="33" t="str">
        <f>'A) Base RI'!B134</f>
        <v>Bremblens</v>
      </c>
      <c r="C132" s="100">
        <f>'A) Base RI'!AN134</f>
        <v>548</v>
      </c>
      <c r="D132" s="116">
        <f>'D) Ecrêtage'!N132</f>
        <v>46.259637524883871</v>
      </c>
      <c r="E132" s="35">
        <f t="shared" si="7"/>
        <v>0</v>
      </c>
      <c r="F132" s="283">
        <f t="shared" si="8"/>
        <v>0</v>
      </c>
      <c r="G132" s="34">
        <f>+'A) Base RI'!AM134</f>
        <v>66</v>
      </c>
      <c r="H132" s="284">
        <f t="shared" si="9"/>
        <v>0.97047936333407503</v>
      </c>
      <c r="I132" s="58">
        <f t="shared" si="10"/>
        <v>0</v>
      </c>
    </row>
    <row r="133" spans="1:9" x14ac:dyDescent="0.25">
      <c r="A133" s="50">
        <f>'A) Base RI'!A135</f>
        <v>5623</v>
      </c>
      <c r="B133" s="33" t="str">
        <f>'A) Base RI'!B135</f>
        <v>Buchillon</v>
      </c>
      <c r="C133" s="100">
        <f>'A) Base RI'!AN135</f>
        <v>650</v>
      </c>
      <c r="D133" s="116">
        <f>'D) Ecrêtage'!N133</f>
        <v>147.0081204148741</v>
      </c>
      <c r="E133" s="35">
        <f t="shared" si="7"/>
        <v>0</v>
      </c>
      <c r="F133" s="283">
        <f t="shared" si="8"/>
        <v>0</v>
      </c>
      <c r="G133" s="34">
        <f>+'A) Base RI'!AM135</f>
        <v>53</v>
      </c>
      <c r="H133" s="284">
        <f t="shared" si="9"/>
        <v>0.7793243372228178</v>
      </c>
      <c r="I133" s="58">
        <f t="shared" si="10"/>
        <v>0</v>
      </c>
    </row>
    <row r="134" spans="1:9" x14ac:dyDescent="0.25">
      <c r="A134" s="50">
        <f>'A) Base RI'!A136</f>
        <v>5624</v>
      </c>
      <c r="B134" s="33" t="str">
        <f>'A) Base RI'!B136</f>
        <v>Bussigny</v>
      </c>
      <c r="C134" s="100">
        <f>'A) Base RI'!AN136</f>
        <v>8759</v>
      </c>
      <c r="D134" s="116">
        <f>'D) Ecrêtage'!N134</f>
        <v>43.815987111669273</v>
      </c>
      <c r="E134" s="35">
        <f t="shared" ref="E134:E197" si="11">IF($D$314-D134&lt;0,0,$D$314-D134)</f>
        <v>1.2472973240503151</v>
      </c>
      <c r="F134" s="283">
        <f t="shared" ref="F134:F197" si="12">(C134*E134*G134)*$E$4</f>
        <v>185835.56421567764</v>
      </c>
      <c r="G134" s="34">
        <f>+'A) Base RI'!AM136</f>
        <v>63</v>
      </c>
      <c r="H134" s="284">
        <f t="shared" ref="H134:H197" si="13">G134/$G$314</f>
        <v>0.92636666500070797</v>
      </c>
      <c r="I134" s="58">
        <f t="shared" ref="I134:I197" si="14">F134*H134</f>
        <v>172151.8718610022</v>
      </c>
    </row>
    <row r="135" spans="1:9" x14ac:dyDescent="0.25">
      <c r="A135" s="50">
        <f>'A) Base RI'!A137</f>
        <v>5625</v>
      </c>
      <c r="B135" s="33" t="str">
        <f>'A) Base RI'!B137</f>
        <v>Bussy-Chardonney</v>
      </c>
      <c r="C135" s="100">
        <f>'A) Base RI'!AN137</f>
        <v>376</v>
      </c>
      <c r="D135" s="116">
        <f>'D) Ecrêtage'!N135</f>
        <v>35.947741350700127</v>
      </c>
      <c r="E135" s="35">
        <f t="shared" si="11"/>
        <v>9.1155430850194605</v>
      </c>
      <c r="F135" s="283">
        <f t="shared" si="12"/>
        <v>72181.974851311708</v>
      </c>
      <c r="G135" s="34">
        <f>+'A) Base RI'!AM137</f>
        <v>78</v>
      </c>
      <c r="H135" s="284">
        <f t="shared" si="13"/>
        <v>1.1469301566675432</v>
      </c>
      <c r="I135" s="58">
        <f t="shared" si="14"/>
        <v>82787.683724787596</v>
      </c>
    </row>
    <row r="136" spans="1:9" x14ac:dyDescent="0.25">
      <c r="A136" s="50">
        <f>'A) Base RI'!A138</f>
        <v>5627</v>
      </c>
      <c r="B136" s="33" t="str">
        <f>'A) Base RI'!B138</f>
        <v>Chavannes-près-Renens</v>
      </c>
      <c r="C136" s="100">
        <f>'A) Base RI'!AN138</f>
        <v>7741</v>
      </c>
      <c r="D136" s="116">
        <f>'D) Ecrêtage'!N136</f>
        <v>23.531383482219994</v>
      </c>
      <c r="E136" s="35">
        <f t="shared" si="11"/>
        <v>21.531900953499594</v>
      </c>
      <c r="F136" s="283">
        <f t="shared" si="12"/>
        <v>3555251.2378445915</v>
      </c>
      <c r="G136" s="34">
        <f>+'A) Base RI'!AM138</f>
        <v>79</v>
      </c>
      <c r="H136" s="284">
        <f t="shared" si="13"/>
        <v>1.1616343894453323</v>
      </c>
      <c r="I136" s="58">
        <f t="shared" si="14"/>
        <v>4129902.1009983639</v>
      </c>
    </row>
    <row r="137" spans="1:9" x14ac:dyDescent="0.25">
      <c r="A137" s="50">
        <f>'A) Base RI'!A139</f>
        <v>5628</v>
      </c>
      <c r="B137" s="33" t="str">
        <f>'A) Base RI'!B139</f>
        <v>Chigny</v>
      </c>
      <c r="C137" s="100">
        <f>'A) Base RI'!AN139</f>
        <v>358</v>
      </c>
      <c r="D137" s="116">
        <f>'D) Ecrêtage'!N137</f>
        <v>71.834794942118421</v>
      </c>
      <c r="E137" s="35">
        <f t="shared" si="11"/>
        <v>0</v>
      </c>
      <c r="F137" s="283">
        <f t="shared" si="12"/>
        <v>0</v>
      </c>
      <c r="G137" s="34">
        <f>+'A) Base RI'!AM139</f>
        <v>62</v>
      </c>
      <c r="H137" s="284">
        <f t="shared" si="13"/>
        <v>0.91166243222291887</v>
      </c>
      <c r="I137" s="58">
        <f t="shared" si="14"/>
        <v>0</v>
      </c>
    </row>
    <row r="138" spans="1:9" x14ac:dyDescent="0.25">
      <c r="A138" s="50">
        <f>'A) Base RI'!A140</f>
        <v>5629</v>
      </c>
      <c r="B138" s="33" t="str">
        <f>'A) Base RI'!B140</f>
        <v>Clarmont</v>
      </c>
      <c r="C138" s="100">
        <f>'A) Base RI'!AN140</f>
        <v>190</v>
      </c>
      <c r="D138" s="116">
        <f>'D) Ecrêtage'!N138</f>
        <v>36.632063157894727</v>
      </c>
      <c r="E138" s="35">
        <f t="shared" si="11"/>
        <v>8.4312212778248607</v>
      </c>
      <c r="F138" s="283">
        <f t="shared" si="12"/>
        <v>32439.123866431153</v>
      </c>
      <c r="G138" s="34">
        <f>+'A) Base RI'!AM140</f>
        <v>75</v>
      </c>
      <c r="H138" s="284">
        <f t="shared" si="13"/>
        <v>1.1028174583341761</v>
      </c>
      <c r="I138" s="58">
        <f t="shared" si="14"/>
        <v>35774.432132965114</v>
      </c>
    </row>
    <row r="139" spans="1:9" x14ac:dyDescent="0.25">
      <c r="A139" s="50">
        <f>'A) Base RI'!A141</f>
        <v>5631</v>
      </c>
      <c r="B139" s="33" t="str">
        <f>'A) Base RI'!B141</f>
        <v>Denens</v>
      </c>
      <c r="C139" s="100">
        <f>'A) Base RI'!AN141</f>
        <v>747</v>
      </c>
      <c r="D139" s="116">
        <f>'D) Ecrêtage'!N139</f>
        <v>58.192680992509437</v>
      </c>
      <c r="E139" s="35">
        <f t="shared" si="11"/>
        <v>0</v>
      </c>
      <c r="F139" s="283">
        <f t="shared" si="12"/>
        <v>0</v>
      </c>
      <c r="G139" s="34">
        <f>+'A) Base RI'!AM141</f>
        <v>70</v>
      </c>
      <c r="H139" s="284">
        <f t="shared" si="13"/>
        <v>1.0292962944452311</v>
      </c>
      <c r="I139" s="58">
        <f t="shared" si="14"/>
        <v>0</v>
      </c>
    </row>
    <row r="140" spans="1:9" x14ac:dyDescent="0.25">
      <c r="A140" s="50">
        <f>'A) Base RI'!A142</f>
        <v>5632</v>
      </c>
      <c r="B140" s="33" t="str">
        <f>'A) Base RI'!B142</f>
        <v>Denges</v>
      </c>
      <c r="C140" s="100">
        <f>'A) Base RI'!AN142</f>
        <v>1610</v>
      </c>
      <c r="D140" s="116">
        <f>'D) Ecrêtage'!N140</f>
        <v>42.863475255459825</v>
      </c>
      <c r="E140" s="35">
        <f t="shared" si="11"/>
        <v>2.1998091802597628</v>
      </c>
      <c r="F140" s="283">
        <f t="shared" si="12"/>
        <v>59287.937140852977</v>
      </c>
      <c r="G140" s="34">
        <f>+'A) Base RI'!AM142</f>
        <v>62</v>
      </c>
      <c r="H140" s="284">
        <f t="shared" si="13"/>
        <v>0.91166243222291887</v>
      </c>
      <c r="I140" s="58">
        <f t="shared" si="14"/>
        <v>54050.584975309554</v>
      </c>
    </row>
    <row r="141" spans="1:9" x14ac:dyDescent="0.25">
      <c r="A141" s="50">
        <f>'A) Base RI'!A143</f>
        <v>5633</v>
      </c>
      <c r="B141" s="33" t="str">
        <f>'A) Base RI'!B143</f>
        <v>Echandens</v>
      </c>
      <c r="C141" s="100">
        <f>'A) Base RI'!AN143</f>
        <v>2789</v>
      </c>
      <c r="D141" s="116">
        <f>'D) Ecrêtage'!N141</f>
        <v>49.831031992042462</v>
      </c>
      <c r="E141" s="35">
        <f t="shared" si="11"/>
        <v>0</v>
      </c>
      <c r="F141" s="283">
        <f t="shared" si="12"/>
        <v>0</v>
      </c>
      <c r="G141" s="34">
        <f>+'A) Base RI'!AM143</f>
        <v>62</v>
      </c>
      <c r="H141" s="284">
        <f t="shared" si="13"/>
        <v>0.91166243222291887</v>
      </c>
      <c r="I141" s="58">
        <f t="shared" si="14"/>
        <v>0</v>
      </c>
    </row>
    <row r="142" spans="1:9" x14ac:dyDescent="0.25">
      <c r="A142" s="50">
        <f>'A) Base RI'!A144</f>
        <v>5634</v>
      </c>
      <c r="B142" s="33" t="str">
        <f>'A) Base RI'!B144</f>
        <v>Echichens</v>
      </c>
      <c r="C142" s="100">
        <f>'A) Base RI'!AN144</f>
        <v>3050</v>
      </c>
      <c r="D142" s="116">
        <f>'D) Ecrêtage'!N142</f>
        <v>56.592371383148361</v>
      </c>
      <c r="E142" s="35">
        <f t="shared" si="11"/>
        <v>0</v>
      </c>
      <c r="F142" s="283">
        <f t="shared" si="12"/>
        <v>0</v>
      </c>
      <c r="G142" s="34">
        <f>+'A) Base RI'!AM144</f>
        <v>68</v>
      </c>
      <c r="H142" s="284">
        <f t="shared" si="13"/>
        <v>0.999887828889653</v>
      </c>
      <c r="I142" s="58">
        <f t="shared" si="14"/>
        <v>0</v>
      </c>
    </row>
    <row r="143" spans="1:9" x14ac:dyDescent="0.25">
      <c r="A143" s="50">
        <f>'A) Base RI'!A145</f>
        <v>5635</v>
      </c>
      <c r="B143" s="33" t="str">
        <f>'A) Base RI'!B145</f>
        <v>Ecublens</v>
      </c>
      <c r="C143" s="100">
        <f>'A) Base RI'!AN145</f>
        <v>12939</v>
      </c>
      <c r="D143" s="116">
        <f>'D) Ecrêtage'!N143</f>
        <v>33.782076717755757</v>
      </c>
      <c r="E143" s="35">
        <f t="shared" si="11"/>
        <v>11.281207717963831</v>
      </c>
      <c r="F143" s="283">
        <f t="shared" si="12"/>
        <v>2522319.2063320437</v>
      </c>
      <c r="G143" s="34">
        <f>+'A) Base RI'!AM145</f>
        <v>64</v>
      </c>
      <c r="H143" s="284">
        <f t="shared" si="13"/>
        <v>0.94107089777849695</v>
      </c>
      <c r="I143" s="58">
        <f t="shared" si="14"/>
        <v>2373681.1999868425</v>
      </c>
    </row>
    <row r="144" spans="1:9" x14ac:dyDescent="0.25">
      <c r="A144" s="50">
        <f>'A) Base RI'!A146</f>
        <v>5636</v>
      </c>
      <c r="B144" s="33" t="str">
        <f>'A) Base RI'!B146</f>
        <v>Etoy</v>
      </c>
      <c r="C144" s="100">
        <f>'A) Base RI'!AN146</f>
        <v>2905</v>
      </c>
      <c r="D144" s="116">
        <f>'D) Ecrêtage'!N144</f>
        <v>63.023749856317501</v>
      </c>
      <c r="E144" s="35">
        <f t="shared" si="11"/>
        <v>0</v>
      </c>
      <c r="F144" s="283">
        <f t="shared" si="12"/>
        <v>0</v>
      </c>
      <c r="G144" s="34">
        <f>+'A) Base RI'!AM146</f>
        <v>61</v>
      </c>
      <c r="H144" s="284">
        <f t="shared" si="13"/>
        <v>0.89695819944512989</v>
      </c>
      <c r="I144" s="58">
        <f t="shared" si="14"/>
        <v>0</v>
      </c>
    </row>
    <row r="145" spans="1:9" x14ac:dyDescent="0.25">
      <c r="A145" s="50">
        <f>'A) Base RI'!A147</f>
        <v>5637</v>
      </c>
      <c r="B145" s="33" t="str">
        <f>'A) Base RI'!B147</f>
        <v>Lavigny</v>
      </c>
      <c r="C145" s="100">
        <f>'A) Base RI'!AN147</f>
        <v>999</v>
      </c>
      <c r="D145" s="116">
        <f>'D) Ecrêtage'!N145</f>
        <v>35.892911210987272</v>
      </c>
      <c r="E145" s="35">
        <f t="shared" si="11"/>
        <v>9.170373224732316</v>
      </c>
      <c r="F145" s="283">
        <f t="shared" si="12"/>
        <v>184277.59535807505</v>
      </c>
      <c r="G145" s="34">
        <f>+'A) Base RI'!AM147</f>
        <v>74.5</v>
      </c>
      <c r="H145" s="284">
        <f t="shared" si="13"/>
        <v>1.0954653419452816</v>
      </c>
      <c r="I145" s="58">
        <f t="shared" si="14"/>
        <v>201869.71901178791</v>
      </c>
    </row>
    <row r="146" spans="1:9" x14ac:dyDescent="0.25">
      <c r="A146" s="50">
        <f>'A) Base RI'!A148</f>
        <v>5638</v>
      </c>
      <c r="B146" s="33" t="str">
        <f>'A) Base RI'!B148</f>
        <v>Lonay</v>
      </c>
      <c r="C146" s="100">
        <f>'A) Base RI'!AN148</f>
        <v>2593</v>
      </c>
      <c r="D146" s="116">
        <f>'D) Ecrêtage'!N146</f>
        <v>63.177240532003424</v>
      </c>
      <c r="E146" s="35">
        <f t="shared" si="11"/>
        <v>0</v>
      </c>
      <c r="F146" s="283">
        <f t="shared" si="12"/>
        <v>0</v>
      </c>
      <c r="G146" s="34">
        <f>+'A) Base RI'!AM148</f>
        <v>55</v>
      </c>
      <c r="H146" s="284">
        <f t="shared" si="13"/>
        <v>0.80873280277839577</v>
      </c>
      <c r="I146" s="58">
        <f t="shared" si="14"/>
        <v>0</v>
      </c>
    </row>
    <row r="147" spans="1:9" x14ac:dyDescent="0.25">
      <c r="A147" s="50">
        <f>'A) Base RI'!A149</f>
        <v>5639</v>
      </c>
      <c r="B147" s="33" t="str">
        <f>'A) Base RI'!B149</f>
        <v>Lully</v>
      </c>
      <c r="C147" s="100">
        <f>'A) Base RI'!AN149</f>
        <v>790</v>
      </c>
      <c r="D147" s="116">
        <f>'D) Ecrêtage'!N147</f>
        <v>58.529794836525298</v>
      </c>
      <c r="E147" s="35">
        <f t="shared" si="11"/>
        <v>0</v>
      </c>
      <c r="F147" s="283">
        <f t="shared" si="12"/>
        <v>0</v>
      </c>
      <c r="G147" s="34">
        <f>+'A) Base RI'!AM149</f>
        <v>61</v>
      </c>
      <c r="H147" s="284">
        <f t="shared" si="13"/>
        <v>0.89695819944512989</v>
      </c>
      <c r="I147" s="58">
        <f t="shared" si="14"/>
        <v>0</v>
      </c>
    </row>
    <row r="148" spans="1:9" x14ac:dyDescent="0.25">
      <c r="A148" s="50">
        <f>'A) Base RI'!A150</f>
        <v>5640</v>
      </c>
      <c r="B148" s="33" t="str">
        <f>'A) Base RI'!B150</f>
        <v>Lussy-sur-Morges</v>
      </c>
      <c r="C148" s="100">
        <f>'A) Base RI'!AN150</f>
        <v>687</v>
      </c>
      <c r="D148" s="116">
        <f>'D) Ecrêtage'!N148</f>
        <v>72.897513154292184</v>
      </c>
      <c r="E148" s="35">
        <f t="shared" si="11"/>
        <v>0</v>
      </c>
      <c r="F148" s="283">
        <f t="shared" si="12"/>
        <v>0</v>
      </c>
      <c r="G148" s="34">
        <f>+'A) Base RI'!AM150</f>
        <v>66</v>
      </c>
      <c r="H148" s="284">
        <f t="shared" si="13"/>
        <v>0.97047936333407503</v>
      </c>
      <c r="I148" s="58">
        <f t="shared" si="14"/>
        <v>0</v>
      </c>
    </row>
    <row r="149" spans="1:9" x14ac:dyDescent="0.25">
      <c r="A149" s="50">
        <f>'A) Base RI'!A151</f>
        <v>5642</v>
      </c>
      <c r="B149" s="33" t="str">
        <f>'A) Base RI'!B151</f>
        <v>Morges</v>
      </c>
      <c r="C149" s="100">
        <f>'A) Base RI'!AN151</f>
        <v>15725</v>
      </c>
      <c r="D149" s="116">
        <f>'D) Ecrêtage'!N149</f>
        <v>48.281246079398414</v>
      </c>
      <c r="E149" s="35">
        <f t="shared" si="11"/>
        <v>0</v>
      </c>
      <c r="F149" s="283">
        <f t="shared" si="12"/>
        <v>0</v>
      </c>
      <c r="G149" s="34">
        <f>+'A) Base RI'!AM151</f>
        <v>68.5</v>
      </c>
      <c r="H149" s="284">
        <f t="shared" si="13"/>
        <v>1.0072399452785474</v>
      </c>
      <c r="I149" s="58">
        <f t="shared" si="14"/>
        <v>0</v>
      </c>
    </row>
    <row r="150" spans="1:9" x14ac:dyDescent="0.25">
      <c r="A150" s="50">
        <f>'A) Base RI'!A152</f>
        <v>5643</v>
      </c>
      <c r="B150" s="33" t="str">
        <f>'A) Base RI'!B152</f>
        <v>Préverenges</v>
      </c>
      <c r="C150" s="100">
        <f>'A) Base RI'!AN152</f>
        <v>5298</v>
      </c>
      <c r="D150" s="116">
        <f>'D) Ecrêtage'!N150</f>
        <v>49.085242426387317</v>
      </c>
      <c r="E150" s="35">
        <f t="shared" si="11"/>
        <v>0</v>
      </c>
      <c r="F150" s="283">
        <f t="shared" si="12"/>
        <v>0</v>
      </c>
      <c r="G150" s="34">
        <f>+'A) Base RI'!AM152</f>
        <v>64</v>
      </c>
      <c r="H150" s="284">
        <f t="shared" si="13"/>
        <v>0.94107089777849695</v>
      </c>
      <c r="I150" s="58">
        <f t="shared" si="14"/>
        <v>0</v>
      </c>
    </row>
    <row r="151" spans="1:9" x14ac:dyDescent="0.25">
      <c r="A151" s="50">
        <f>'A) Base RI'!A153</f>
        <v>5644</v>
      </c>
      <c r="B151" s="33" t="str">
        <f>'A) Base RI'!B153</f>
        <v>Reverolle</v>
      </c>
      <c r="C151" s="100">
        <f>'A) Base RI'!AN153</f>
        <v>399</v>
      </c>
      <c r="D151" s="116">
        <f>'D) Ecrêtage'!N151</f>
        <v>33.437631249175574</v>
      </c>
      <c r="E151" s="35">
        <f t="shared" si="11"/>
        <v>11.625653186544014</v>
      </c>
      <c r="F151" s="283">
        <f t="shared" si="12"/>
        <v>95184.802951765392</v>
      </c>
      <c r="G151" s="34">
        <f>+'A) Base RI'!AM153</f>
        <v>76</v>
      </c>
      <c r="H151" s="284">
        <f t="shared" si="13"/>
        <v>1.1175216911119652</v>
      </c>
      <c r="I151" s="58">
        <f t="shared" si="14"/>
        <v>106371.08196281604</v>
      </c>
    </row>
    <row r="152" spans="1:9" x14ac:dyDescent="0.25">
      <c r="A152" s="50">
        <f>'A) Base RI'!A154</f>
        <v>5645</v>
      </c>
      <c r="B152" s="33" t="str">
        <f>'A) Base RI'!B154</f>
        <v>Romanel-sur-Morges</v>
      </c>
      <c r="C152" s="100">
        <f>'A) Base RI'!AN154</f>
        <v>458</v>
      </c>
      <c r="D152" s="116">
        <f>'D) Ecrêtage'!N152</f>
        <v>57.642209789695485</v>
      </c>
      <c r="E152" s="35">
        <f t="shared" si="11"/>
        <v>0</v>
      </c>
      <c r="F152" s="283">
        <f t="shared" si="12"/>
        <v>0</v>
      </c>
      <c r="G152" s="34">
        <f>+'A) Base RI'!AM154</f>
        <v>56</v>
      </c>
      <c r="H152" s="284">
        <f t="shared" si="13"/>
        <v>0.82343703555618486</v>
      </c>
      <c r="I152" s="58">
        <f t="shared" si="14"/>
        <v>0</v>
      </c>
    </row>
    <row r="153" spans="1:9" x14ac:dyDescent="0.25">
      <c r="A153" s="50">
        <f>'A) Base RI'!A155</f>
        <v>5646</v>
      </c>
      <c r="B153" s="33" t="str">
        <f>'A) Base RI'!B155</f>
        <v>Saint-Prex</v>
      </c>
      <c r="C153" s="100">
        <f>'A) Base RI'!AN155</f>
        <v>5684</v>
      </c>
      <c r="D153" s="116">
        <f>'D) Ecrêtage'!N153</f>
        <v>81.86062944590779</v>
      </c>
      <c r="E153" s="35">
        <f t="shared" si="11"/>
        <v>0</v>
      </c>
      <c r="F153" s="283">
        <f t="shared" si="12"/>
        <v>0</v>
      </c>
      <c r="G153" s="34">
        <f>+'A) Base RI'!AM155</f>
        <v>55</v>
      </c>
      <c r="H153" s="284">
        <f t="shared" si="13"/>
        <v>0.80873280277839577</v>
      </c>
      <c r="I153" s="58">
        <f t="shared" si="14"/>
        <v>0</v>
      </c>
    </row>
    <row r="154" spans="1:9" x14ac:dyDescent="0.25">
      <c r="A154" s="50">
        <f>'A) Base RI'!A156</f>
        <v>5648</v>
      </c>
      <c r="B154" s="33" t="str">
        <f>'A) Base RI'!B156</f>
        <v>Saint-Sulpice</v>
      </c>
      <c r="C154" s="100">
        <f>'A) Base RI'!AN156</f>
        <v>4669</v>
      </c>
      <c r="D154" s="116">
        <f>'D) Ecrêtage'!N154</f>
        <v>58.340149588759218</v>
      </c>
      <c r="E154" s="35">
        <f t="shared" si="11"/>
        <v>0</v>
      </c>
      <c r="F154" s="283">
        <f t="shared" si="12"/>
        <v>0</v>
      </c>
      <c r="G154" s="34">
        <f>+'A) Base RI'!AM156</f>
        <v>55</v>
      </c>
      <c r="H154" s="284">
        <f t="shared" si="13"/>
        <v>0.80873280277839577</v>
      </c>
      <c r="I154" s="58">
        <f t="shared" si="14"/>
        <v>0</v>
      </c>
    </row>
    <row r="155" spans="1:9" x14ac:dyDescent="0.25">
      <c r="A155" s="50">
        <f>'A) Base RI'!A157</f>
        <v>5649</v>
      </c>
      <c r="B155" s="33" t="str">
        <f>'A) Base RI'!B157</f>
        <v>Tolochenaz</v>
      </c>
      <c r="C155" s="100">
        <f>'A) Base RI'!AN157</f>
        <v>1933</v>
      </c>
      <c r="D155" s="116">
        <f>'D) Ecrêtage'!N155</f>
        <v>67.01248498420992</v>
      </c>
      <c r="E155" s="35">
        <f t="shared" si="11"/>
        <v>0</v>
      </c>
      <c r="F155" s="283">
        <f t="shared" si="12"/>
        <v>0</v>
      </c>
      <c r="G155" s="34">
        <f>+'A) Base RI'!AM157</f>
        <v>65</v>
      </c>
      <c r="H155" s="284">
        <f t="shared" si="13"/>
        <v>0.95577513055628593</v>
      </c>
      <c r="I155" s="58">
        <f t="shared" si="14"/>
        <v>0</v>
      </c>
    </row>
    <row r="156" spans="1:9" x14ac:dyDescent="0.25">
      <c r="A156" s="50">
        <f>'A) Base RI'!A158</f>
        <v>5650</v>
      </c>
      <c r="B156" s="33" t="str">
        <f>'A) Base RI'!B158</f>
        <v>Vaux-sur-Morges</v>
      </c>
      <c r="C156" s="100">
        <f>'A) Base RI'!AN158</f>
        <v>184</v>
      </c>
      <c r="D156" s="116">
        <f>'D) Ecrêtage'!N156</f>
        <v>698.94474229626508</v>
      </c>
      <c r="E156" s="35">
        <f t="shared" si="11"/>
        <v>0</v>
      </c>
      <c r="F156" s="283">
        <f t="shared" si="12"/>
        <v>0</v>
      </c>
      <c r="G156" s="34">
        <f>+'A) Base RI'!AM158</f>
        <v>56</v>
      </c>
      <c r="H156" s="284">
        <f t="shared" si="13"/>
        <v>0.82343703555618486</v>
      </c>
      <c r="I156" s="58">
        <f t="shared" si="14"/>
        <v>0</v>
      </c>
    </row>
    <row r="157" spans="1:9" x14ac:dyDescent="0.25">
      <c r="A157" s="50">
        <f>'A) Base RI'!A159</f>
        <v>5651</v>
      </c>
      <c r="B157" s="33" t="str">
        <f>'A) Base RI'!B159</f>
        <v>Villars-Sainte-Croix</v>
      </c>
      <c r="C157" s="100">
        <f>'A) Base RI'!AN159</f>
        <v>963</v>
      </c>
      <c r="D157" s="116">
        <f>'D) Ecrêtage'!N157</f>
        <v>59.458550686745014</v>
      </c>
      <c r="E157" s="35">
        <f t="shared" si="11"/>
        <v>0</v>
      </c>
      <c r="F157" s="283">
        <f t="shared" si="12"/>
        <v>0</v>
      </c>
      <c r="G157" s="34">
        <f>+'A) Base RI'!AM159</f>
        <v>59</v>
      </c>
      <c r="H157" s="284">
        <f t="shared" si="13"/>
        <v>0.86754973388955192</v>
      </c>
      <c r="I157" s="58">
        <f t="shared" si="14"/>
        <v>0</v>
      </c>
    </row>
    <row r="158" spans="1:9" x14ac:dyDescent="0.25">
      <c r="A158" s="50">
        <f>'A) Base RI'!A160</f>
        <v>5652</v>
      </c>
      <c r="B158" s="33" t="str">
        <f>'A) Base RI'!B160</f>
        <v>Villars-sous-Yens</v>
      </c>
      <c r="C158" s="100">
        <f>'A) Base RI'!AN160</f>
        <v>608</v>
      </c>
      <c r="D158" s="116">
        <f>'D) Ecrêtage'!N158</f>
        <v>49.014719060191595</v>
      </c>
      <c r="E158" s="35">
        <f t="shared" si="11"/>
        <v>0</v>
      </c>
      <c r="F158" s="283">
        <f t="shared" si="12"/>
        <v>0</v>
      </c>
      <c r="G158" s="34">
        <f>+'A) Base RI'!AM160</f>
        <v>76</v>
      </c>
      <c r="H158" s="284">
        <f t="shared" si="13"/>
        <v>1.1175216911119652</v>
      </c>
      <c r="I158" s="58">
        <f t="shared" si="14"/>
        <v>0</v>
      </c>
    </row>
    <row r="159" spans="1:9" x14ac:dyDescent="0.25">
      <c r="A159" s="50">
        <f>'A) Base RI'!A161</f>
        <v>5653</v>
      </c>
      <c r="B159" s="33" t="str">
        <f>'A) Base RI'!B161</f>
        <v>Vufflens-le-Château</v>
      </c>
      <c r="C159" s="100">
        <f>'A) Base RI'!AN161</f>
        <v>886</v>
      </c>
      <c r="D159" s="116">
        <f>'D) Ecrêtage'!N159</f>
        <v>67.311413724672136</v>
      </c>
      <c r="E159" s="35">
        <f t="shared" si="11"/>
        <v>0</v>
      </c>
      <c r="F159" s="283">
        <f t="shared" si="12"/>
        <v>0</v>
      </c>
      <c r="G159" s="34">
        <f>+'A) Base RI'!AM161</f>
        <v>55</v>
      </c>
      <c r="H159" s="284">
        <f t="shared" si="13"/>
        <v>0.80873280277839577</v>
      </c>
      <c r="I159" s="58">
        <f t="shared" si="14"/>
        <v>0</v>
      </c>
    </row>
    <row r="160" spans="1:9" x14ac:dyDescent="0.25">
      <c r="A160" s="50">
        <f>'A) Base RI'!A162</f>
        <v>5654</v>
      </c>
      <c r="B160" s="33" t="str">
        <f>'A) Base RI'!B162</f>
        <v>Vullierens</v>
      </c>
      <c r="C160" s="100">
        <f>'A) Base RI'!AN162</f>
        <v>507</v>
      </c>
      <c r="D160" s="116">
        <f>'D) Ecrêtage'!N160</f>
        <v>38.029391155403303</v>
      </c>
      <c r="E160" s="35">
        <f t="shared" si="11"/>
        <v>7.0338932803162848</v>
      </c>
      <c r="F160" s="283">
        <f t="shared" si="12"/>
        <v>73178.093486829719</v>
      </c>
      <c r="G160" s="34">
        <f>+'A) Base RI'!AM162</f>
        <v>76</v>
      </c>
      <c r="H160" s="284">
        <f t="shared" si="13"/>
        <v>1.1175216911119652</v>
      </c>
      <c r="I160" s="58">
        <f t="shared" si="14"/>
        <v>81778.106785751428</v>
      </c>
    </row>
    <row r="161" spans="1:9" x14ac:dyDescent="0.25">
      <c r="A161" s="50">
        <f>'A) Base RI'!A163</f>
        <v>5655</v>
      </c>
      <c r="B161" s="33" t="str">
        <f>'A) Base RI'!B163</f>
        <v>Yens</v>
      </c>
      <c r="C161" s="100">
        <f>'A) Base RI'!AN163</f>
        <v>1429</v>
      </c>
      <c r="D161" s="116">
        <f>'D) Ecrêtage'!N161</f>
        <v>60.083819800352508</v>
      </c>
      <c r="E161" s="35">
        <f t="shared" si="11"/>
        <v>0</v>
      </c>
      <c r="F161" s="283">
        <f t="shared" si="12"/>
        <v>0</v>
      </c>
      <c r="G161" s="34">
        <f>+'A) Base RI'!AM163</f>
        <v>73</v>
      </c>
      <c r="H161" s="284">
        <f t="shared" si="13"/>
        <v>1.0734089927785981</v>
      </c>
      <c r="I161" s="58">
        <f t="shared" si="14"/>
        <v>0</v>
      </c>
    </row>
    <row r="162" spans="1:9" x14ac:dyDescent="0.25">
      <c r="A162" s="50">
        <f>'A) Base RI'!A164</f>
        <v>5661</v>
      </c>
      <c r="B162" s="33" t="str">
        <f>'A) Base RI'!B164</f>
        <v>Boulens</v>
      </c>
      <c r="C162" s="100">
        <f>'A) Base RI'!AN164</f>
        <v>384</v>
      </c>
      <c r="D162" s="116">
        <f>'D) Ecrêtage'!N162</f>
        <v>26.925967827004218</v>
      </c>
      <c r="E162" s="35">
        <f t="shared" si="11"/>
        <v>18.13731660871537</v>
      </c>
      <c r="F162" s="283">
        <f t="shared" si="12"/>
        <v>148557.68189333717</v>
      </c>
      <c r="G162" s="34">
        <f>+'A) Base RI'!AM164</f>
        <v>79</v>
      </c>
      <c r="H162" s="284">
        <f t="shared" si="13"/>
        <v>1.1616343894453323</v>
      </c>
      <c r="I162" s="58">
        <f t="shared" si="14"/>
        <v>172569.71210358062</v>
      </c>
    </row>
    <row r="163" spans="1:9" x14ac:dyDescent="0.25">
      <c r="A163" s="50">
        <f>'A) Base RI'!A165</f>
        <v>5663</v>
      </c>
      <c r="B163" s="33" t="str">
        <f>'A) Base RI'!B165</f>
        <v>Bussy-sur-Moudon</v>
      </c>
      <c r="C163" s="100">
        <f>'A) Base RI'!AN165</f>
        <v>214</v>
      </c>
      <c r="D163" s="116">
        <f>'D) Ecrêtage'!N163</f>
        <v>24.740954439252342</v>
      </c>
      <c r="E163" s="35">
        <f t="shared" si="11"/>
        <v>20.322329996467246</v>
      </c>
      <c r="F163" s="283">
        <f t="shared" si="12"/>
        <v>93937.938175670206</v>
      </c>
      <c r="G163" s="34">
        <f>+'A) Base RI'!AM165</f>
        <v>80</v>
      </c>
      <c r="H163" s="284">
        <f t="shared" si="13"/>
        <v>1.1763386222231211</v>
      </c>
      <c r="I163" s="58">
        <f t="shared" si="14"/>
        <v>110502.82476804862</v>
      </c>
    </row>
    <row r="164" spans="1:9" x14ac:dyDescent="0.25">
      <c r="A164" s="50">
        <f>'A) Base RI'!A166</f>
        <v>5665</v>
      </c>
      <c r="B164" s="33" t="str">
        <f>'A) Base RI'!B166</f>
        <v>Chavannes-sur-Moudon</v>
      </c>
      <c r="C164" s="100">
        <f>'A) Base RI'!AN166</f>
        <v>216</v>
      </c>
      <c r="D164" s="116">
        <f>'D) Ecrêtage'!N164</f>
        <v>21.381620370370367</v>
      </c>
      <c r="E164" s="35">
        <f t="shared" si="11"/>
        <v>23.681664065349221</v>
      </c>
      <c r="F164" s="283">
        <f t="shared" si="12"/>
        <v>100821.36932525516</v>
      </c>
      <c r="G164" s="34">
        <f>+'A) Base RI'!AM166</f>
        <v>73</v>
      </c>
      <c r="H164" s="284">
        <f t="shared" si="13"/>
        <v>1.0734089927785981</v>
      </c>
      <c r="I164" s="58">
        <f t="shared" si="14"/>
        <v>108222.56449798119</v>
      </c>
    </row>
    <row r="165" spans="1:9" x14ac:dyDescent="0.25">
      <c r="A165" s="50">
        <f>'A) Base RI'!A167</f>
        <v>5669</v>
      </c>
      <c r="B165" s="33" t="str">
        <f>'A) Base RI'!B167</f>
        <v>Curtilles</v>
      </c>
      <c r="C165" s="100">
        <f>'A) Base RI'!AN167</f>
        <v>313</v>
      </c>
      <c r="D165" s="116">
        <f>'D) Ecrêtage'!N165</f>
        <v>24.906916719914797</v>
      </c>
      <c r="E165" s="35">
        <f t="shared" si="11"/>
        <v>20.156367715804791</v>
      </c>
      <c r="F165" s="283">
        <f t="shared" si="12"/>
        <v>127756.09767469972</v>
      </c>
      <c r="G165" s="34">
        <f>+'A) Base RI'!AM167</f>
        <v>75</v>
      </c>
      <c r="H165" s="284">
        <f t="shared" si="13"/>
        <v>1.1028174583341761</v>
      </c>
      <c r="I165" s="58">
        <f t="shared" si="14"/>
        <v>140891.6549243051</v>
      </c>
    </row>
    <row r="166" spans="1:9" x14ac:dyDescent="0.25">
      <c r="A166" s="50">
        <f>'A) Base RI'!A168</f>
        <v>5671</v>
      </c>
      <c r="B166" s="33" t="str">
        <f>'A) Base RI'!B168</f>
        <v>Dompierre</v>
      </c>
      <c r="C166" s="100">
        <f>'A) Base RI'!AN168</f>
        <v>239</v>
      </c>
      <c r="D166" s="116">
        <f>'D) Ecrêtage'!N166</f>
        <v>25.769430439330542</v>
      </c>
      <c r="E166" s="35">
        <f t="shared" si="11"/>
        <v>19.293853996389046</v>
      </c>
      <c r="F166" s="283">
        <f t="shared" si="12"/>
        <v>99602.59187095883</v>
      </c>
      <c r="G166" s="34">
        <f>+'A) Base RI'!AM168</f>
        <v>80</v>
      </c>
      <c r="H166" s="284">
        <f t="shared" si="13"/>
        <v>1.1763386222231211</v>
      </c>
      <c r="I166" s="58">
        <f t="shared" si="14"/>
        <v>117166.37569133556</v>
      </c>
    </row>
    <row r="167" spans="1:9" x14ac:dyDescent="0.25">
      <c r="A167" s="50">
        <f>'A) Base RI'!A169</f>
        <v>5673</v>
      </c>
      <c r="B167" s="33" t="str">
        <f>'A) Base RI'!B169</f>
        <v>Hermenches</v>
      </c>
      <c r="C167" s="100">
        <f>'A) Base RI'!AN169</f>
        <v>364</v>
      </c>
      <c r="D167" s="116">
        <f>'D) Ecrêtage'!N167</f>
        <v>25.53278717948718</v>
      </c>
      <c r="E167" s="35">
        <f t="shared" si="11"/>
        <v>19.530497256232408</v>
      </c>
      <c r="F167" s="283">
        <f t="shared" si="12"/>
        <v>143959.29527568907</v>
      </c>
      <c r="G167" s="34">
        <f>+'A) Base RI'!AM169</f>
        <v>75</v>
      </c>
      <c r="H167" s="284">
        <f t="shared" si="13"/>
        <v>1.1028174583341761</v>
      </c>
      <c r="I167" s="58">
        <f t="shared" si="14"/>
        <v>158760.82411951458</v>
      </c>
    </row>
    <row r="168" spans="1:9" x14ac:dyDescent="0.25">
      <c r="A168" s="50">
        <f>'A) Base RI'!A170</f>
        <v>5674</v>
      </c>
      <c r="B168" s="33" t="str">
        <f>'A) Base RI'!B170</f>
        <v>Lovatens</v>
      </c>
      <c r="C168" s="100">
        <f>'A) Base RI'!AN170</f>
        <v>146</v>
      </c>
      <c r="D168" s="116">
        <f>'D) Ecrêtage'!N168</f>
        <v>22.445418917155905</v>
      </c>
      <c r="E168" s="35">
        <f t="shared" si="11"/>
        <v>22.617865518563683</v>
      </c>
      <c r="F168" s="283">
        <f t="shared" si="12"/>
        <v>66869.719405633528</v>
      </c>
      <c r="G168" s="34">
        <f>+'A) Base RI'!AM170</f>
        <v>75</v>
      </c>
      <c r="H168" s="284">
        <f t="shared" si="13"/>
        <v>1.1028174583341761</v>
      </c>
      <c r="I168" s="58">
        <f t="shared" si="14"/>
        <v>73745.093994440307</v>
      </c>
    </row>
    <row r="169" spans="1:9" x14ac:dyDescent="0.25">
      <c r="A169" s="50">
        <f>'A) Base RI'!A171</f>
        <v>5675</v>
      </c>
      <c r="B169" s="33" t="str">
        <f>'A) Base RI'!B171</f>
        <v>Lucens</v>
      </c>
      <c r="C169" s="100">
        <f>'A) Base RI'!AN171</f>
        <v>4199</v>
      </c>
      <c r="D169" s="116">
        <f>'D) Ecrêtage'!N169</f>
        <v>21.943968276529858</v>
      </c>
      <c r="E169" s="35">
        <f t="shared" si="11"/>
        <v>23.119316159189729</v>
      </c>
      <c r="F169" s="283">
        <f t="shared" si="12"/>
        <v>1808563.2993319139</v>
      </c>
      <c r="G169" s="34">
        <f>+'A) Base RI'!AM171</f>
        <v>69</v>
      </c>
      <c r="H169" s="284">
        <f t="shared" si="13"/>
        <v>1.014592061667442</v>
      </c>
      <c r="I169" s="58">
        <f t="shared" si="14"/>
        <v>1834953.9665252375</v>
      </c>
    </row>
    <row r="170" spans="1:9" x14ac:dyDescent="0.25">
      <c r="A170" s="50">
        <f>'A) Base RI'!A172</f>
        <v>5678</v>
      </c>
      <c r="B170" s="33" t="str">
        <f>'A) Base RI'!B172</f>
        <v>Moudon</v>
      </c>
      <c r="C170" s="100">
        <f>'A) Base RI'!AN172</f>
        <v>6135</v>
      </c>
      <c r="D170" s="116">
        <f>'D) Ecrêtage'!N170</f>
        <v>19.527105721271393</v>
      </c>
      <c r="E170" s="35">
        <f t="shared" si="11"/>
        <v>25.536178714448194</v>
      </c>
      <c r="F170" s="283">
        <f t="shared" si="12"/>
        <v>3172455.2423660788</v>
      </c>
      <c r="G170" s="34">
        <f>+'A) Base RI'!AM172</f>
        <v>75</v>
      </c>
      <c r="H170" s="284">
        <f t="shared" si="13"/>
        <v>1.1028174583341761</v>
      </c>
      <c r="I170" s="58">
        <f t="shared" si="14"/>
        <v>3498639.0270650918</v>
      </c>
    </row>
    <row r="171" spans="1:9" x14ac:dyDescent="0.25">
      <c r="A171" s="50">
        <f>'A) Base RI'!A173</f>
        <v>5680</v>
      </c>
      <c r="B171" s="33" t="str">
        <f>'A) Base RI'!B173</f>
        <v>Ogens</v>
      </c>
      <c r="C171" s="100">
        <f>'A) Base RI'!AN173</f>
        <v>299</v>
      </c>
      <c r="D171" s="116">
        <f>'D) Ecrêtage'!N171</f>
        <v>21.556277906411687</v>
      </c>
      <c r="E171" s="35">
        <f t="shared" si="11"/>
        <v>23.507006529307901</v>
      </c>
      <c r="F171" s="283">
        <f t="shared" si="12"/>
        <v>148022.20969466009</v>
      </c>
      <c r="G171" s="34">
        <f>+'A) Base RI'!AM173</f>
        <v>78</v>
      </c>
      <c r="H171" s="284">
        <f t="shared" si="13"/>
        <v>1.1469301566675432</v>
      </c>
      <c r="I171" s="58">
        <f t="shared" si="14"/>
        <v>169771.13615537243</v>
      </c>
    </row>
    <row r="172" spans="1:9" x14ac:dyDescent="0.25">
      <c r="A172" s="50">
        <f>'A) Base RI'!A174</f>
        <v>5683</v>
      </c>
      <c r="B172" s="33" t="str">
        <f>'A) Base RI'!B174</f>
        <v>Prévonloup</v>
      </c>
      <c r="C172" s="100">
        <f>'A) Base RI'!AN174</f>
        <v>184</v>
      </c>
      <c r="D172" s="116">
        <f>'D) Ecrêtage'!N172</f>
        <v>20.242621180963575</v>
      </c>
      <c r="E172" s="35">
        <f t="shared" si="11"/>
        <v>24.820663254756013</v>
      </c>
      <c r="F172" s="283">
        <f t="shared" si="12"/>
        <v>91248.700736724626</v>
      </c>
      <c r="G172" s="34">
        <f>+'A) Base RI'!AM174</f>
        <v>74</v>
      </c>
      <c r="H172" s="284">
        <f t="shared" si="13"/>
        <v>1.088113225556387</v>
      </c>
      <c r="I172" s="58">
        <f t="shared" si="14"/>
        <v>99288.918086466903</v>
      </c>
    </row>
    <row r="173" spans="1:9" x14ac:dyDescent="0.25">
      <c r="A173" s="50">
        <f>'A) Base RI'!A175</f>
        <v>5684</v>
      </c>
      <c r="B173" s="33" t="str">
        <f>'A) Base RI'!B175</f>
        <v>Rossenges</v>
      </c>
      <c r="C173" s="100">
        <f>'A) Base RI'!AN175</f>
        <v>65</v>
      </c>
      <c r="D173" s="116">
        <f>'D) Ecrêtage'!N173</f>
        <v>30.022210256410254</v>
      </c>
      <c r="E173" s="35">
        <f t="shared" si="11"/>
        <v>15.041074179309334</v>
      </c>
      <c r="F173" s="283">
        <f t="shared" si="12"/>
        <v>19797.813888515913</v>
      </c>
      <c r="G173" s="34">
        <f>+'A) Base RI'!AM175</f>
        <v>75</v>
      </c>
      <c r="H173" s="284">
        <f t="shared" si="13"/>
        <v>1.1028174583341761</v>
      </c>
      <c r="I173" s="58">
        <f t="shared" si="14"/>
        <v>21833.37479310617</v>
      </c>
    </row>
    <row r="174" spans="1:9" x14ac:dyDescent="0.25">
      <c r="A174" s="50">
        <f>'A) Base RI'!A176</f>
        <v>5688</v>
      </c>
      <c r="B174" s="33" t="str">
        <f>'A) Base RI'!B176</f>
        <v>Syens</v>
      </c>
      <c r="C174" s="100">
        <f>'A) Base RI'!AN176</f>
        <v>159</v>
      </c>
      <c r="D174" s="116">
        <f>'D) Ecrêtage'!N174</f>
        <v>24.949316994442782</v>
      </c>
      <c r="E174" s="35">
        <f t="shared" si="11"/>
        <v>20.113967441276806</v>
      </c>
      <c r="F174" s="283">
        <f t="shared" si="12"/>
        <v>65280.042242403404</v>
      </c>
      <c r="G174" s="34">
        <f>+'A) Base RI'!AM176</f>
        <v>75.599999999999994</v>
      </c>
      <c r="H174" s="284">
        <f t="shared" si="13"/>
        <v>1.1116399980008493</v>
      </c>
      <c r="I174" s="58">
        <f t="shared" si="14"/>
        <v>72567.906027840683</v>
      </c>
    </row>
    <row r="175" spans="1:9" x14ac:dyDescent="0.25">
      <c r="A175" s="50">
        <f>'A) Base RI'!A177</f>
        <v>5690</v>
      </c>
      <c r="B175" s="33" t="str">
        <f>'A) Base RI'!B177</f>
        <v>Villars-le-Comte</v>
      </c>
      <c r="C175" s="100">
        <f>'A) Base RI'!AN177</f>
        <v>132</v>
      </c>
      <c r="D175" s="116">
        <f>'D) Ecrêtage'!N175</f>
        <v>30.753083513708518</v>
      </c>
      <c r="E175" s="35">
        <f t="shared" si="11"/>
        <v>14.31020092201107</v>
      </c>
      <c r="F175" s="283">
        <f t="shared" si="12"/>
        <v>35701.089260233224</v>
      </c>
      <c r="G175" s="34">
        <f>+'A) Base RI'!AM177</f>
        <v>70</v>
      </c>
      <c r="H175" s="284">
        <f t="shared" si="13"/>
        <v>1.0292962944452311</v>
      </c>
      <c r="I175" s="58">
        <f t="shared" si="14"/>
        <v>36746.998883216496</v>
      </c>
    </row>
    <row r="176" spans="1:9" x14ac:dyDescent="0.25">
      <c r="A176" s="50">
        <f>'A) Base RI'!A178</f>
        <v>5692</v>
      </c>
      <c r="B176" s="33" t="str">
        <f>'A) Base RI'!B178</f>
        <v>Vucherens</v>
      </c>
      <c r="C176" s="100">
        <f>'A) Base RI'!AN178</f>
        <v>577</v>
      </c>
      <c r="D176" s="116">
        <f>'D) Ecrêtage'!N176</f>
        <v>28.085983590373605</v>
      </c>
      <c r="E176" s="35">
        <f t="shared" si="11"/>
        <v>16.977300845345983</v>
      </c>
      <c r="F176" s="283">
        <f t="shared" si="12"/>
        <v>208946.60219701962</v>
      </c>
      <c r="G176" s="34">
        <f>+'A) Base RI'!AM178</f>
        <v>79</v>
      </c>
      <c r="H176" s="284">
        <f t="shared" si="13"/>
        <v>1.1616343894453323</v>
      </c>
      <c r="I176" s="58">
        <f t="shared" si="14"/>
        <v>242719.55866981161</v>
      </c>
    </row>
    <row r="177" spans="1:9" x14ac:dyDescent="0.25">
      <c r="A177" s="50">
        <f>'A) Base RI'!A179</f>
        <v>5693</v>
      </c>
      <c r="B177" s="33" t="str">
        <f>'A) Base RI'!B179</f>
        <v>Montanaire</v>
      </c>
      <c r="C177" s="100">
        <f>'A) Base RI'!AN179</f>
        <v>2685</v>
      </c>
      <c r="D177" s="116">
        <f>'D) Ecrêtage'!N177</f>
        <v>26.044654200289674</v>
      </c>
      <c r="E177" s="35">
        <f t="shared" si="11"/>
        <v>19.018630235429914</v>
      </c>
      <c r="F177" s="283">
        <f t="shared" si="12"/>
        <v>992704.03122059396</v>
      </c>
      <c r="G177" s="34">
        <f>+'A) Base RI'!AM179</f>
        <v>72</v>
      </c>
      <c r="H177" s="284">
        <f t="shared" si="13"/>
        <v>1.058704760000809</v>
      </c>
      <c r="I177" s="58">
        <f t="shared" si="14"/>
        <v>1050980.4831252345</v>
      </c>
    </row>
    <row r="178" spans="1:9" x14ac:dyDescent="0.25">
      <c r="A178" s="50">
        <f>'A) Base RI'!A180</f>
        <v>5701</v>
      </c>
      <c r="B178" s="33" t="str">
        <f>'A) Base RI'!B180</f>
        <v>Arnex-sur-Nyon</v>
      </c>
      <c r="C178" s="100">
        <f>'A) Base RI'!AN180</f>
        <v>235</v>
      </c>
      <c r="D178" s="116">
        <f>'D) Ecrêtage'!N178</f>
        <v>57.106430292021564</v>
      </c>
      <c r="E178" s="35">
        <f t="shared" si="11"/>
        <v>0</v>
      </c>
      <c r="F178" s="283">
        <f t="shared" si="12"/>
        <v>0</v>
      </c>
      <c r="G178" s="34">
        <f>+'A) Base RI'!AM180</f>
        <v>70</v>
      </c>
      <c r="H178" s="284">
        <f t="shared" si="13"/>
        <v>1.0292962944452311</v>
      </c>
      <c r="I178" s="58">
        <f t="shared" si="14"/>
        <v>0</v>
      </c>
    </row>
    <row r="179" spans="1:9" x14ac:dyDescent="0.25">
      <c r="A179" s="50">
        <f>'A) Base RI'!A181</f>
        <v>5702</v>
      </c>
      <c r="B179" s="33" t="str">
        <f>'A) Base RI'!B181</f>
        <v>Arzier-Le Muids</v>
      </c>
      <c r="C179" s="100">
        <f>'A) Base RI'!AN181</f>
        <v>2697</v>
      </c>
      <c r="D179" s="116">
        <f>'D) Ecrêtage'!N179</f>
        <v>63.526027109015025</v>
      </c>
      <c r="E179" s="35">
        <f t="shared" si="11"/>
        <v>0</v>
      </c>
      <c r="F179" s="283">
        <f t="shared" si="12"/>
        <v>0</v>
      </c>
      <c r="G179" s="34">
        <f>+'A) Base RI'!AM181</f>
        <v>64</v>
      </c>
      <c r="H179" s="284">
        <f t="shared" si="13"/>
        <v>0.94107089777849695</v>
      </c>
      <c r="I179" s="58">
        <f t="shared" si="14"/>
        <v>0</v>
      </c>
    </row>
    <row r="180" spans="1:9" x14ac:dyDescent="0.25">
      <c r="A180" s="50">
        <f>'A) Base RI'!A182</f>
        <v>5703</v>
      </c>
      <c r="B180" s="33" t="str">
        <f>'A) Base RI'!B182</f>
        <v>Bassins</v>
      </c>
      <c r="C180" s="100">
        <f>'A) Base RI'!AN182</f>
        <v>1347</v>
      </c>
      <c r="D180" s="116">
        <f>'D) Ecrêtage'!N180</f>
        <v>41.013535670573532</v>
      </c>
      <c r="E180" s="35">
        <f t="shared" si="11"/>
        <v>4.049748765146056</v>
      </c>
      <c r="F180" s="283">
        <f t="shared" si="12"/>
        <v>108991.13150130172</v>
      </c>
      <c r="G180" s="34">
        <f>+'A) Base RI'!AM182</f>
        <v>74</v>
      </c>
      <c r="H180" s="284">
        <f t="shared" si="13"/>
        <v>1.088113225556387</v>
      </c>
      <c r="I180" s="58">
        <f t="shared" si="14"/>
        <v>118594.69165492176</v>
      </c>
    </row>
    <row r="181" spans="1:9" x14ac:dyDescent="0.25">
      <c r="A181" s="50">
        <f>'A) Base RI'!A183</f>
        <v>5704</v>
      </c>
      <c r="B181" s="33" t="str">
        <f>'A) Base RI'!B183</f>
        <v>Begnins</v>
      </c>
      <c r="C181" s="100">
        <f>'A) Base RI'!AN183</f>
        <v>1952</v>
      </c>
      <c r="D181" s="116">
        <f>'D) Ecrêtage'!N181</f>
        <v>62.025176961221874</v>
      </c>
      <c r="E181" s="35">
        <f t="shared" si="11"/>
        <v>0</v>
      </c>
      <c r="F181" s="283">
        <f t="shared" si="12"/>
        <v>0</v>
      </c>
      <c r="G181" s="34">
        <f>+'A) Base RI'!AM183</f>
        <v>64</v>
      </c>
      <c r="H181" s="284">
        <f t="shared" si="13"/>
        <v>0.94107089777849695</v>
      </c>
      <c r="I181" s="58">
        <f t="shared" si="14"/>
        <v>0</v>
      </c>
    </row>
    <row r="182" spans="1:9" x14ac:dyDescent="0.25">
      <c r="A182" s="50">
        <f>'A) Base RI'!A184</f>
        <v>5705</v>
      </c>
      <c r="B182" s="33" t="str">
        <f>'A) Base RI'!B184</f>
        <v>Bogis-Bossey</v>
      </c>
      <c r="C182" s="100">
        <f>'A) Base RI'!AN184</f>
        <v>867</v>
      </c>
      <c r="D182" s="116">
        <f>'D) Ecrêtage'!N182</f>
        <v>56.719527759878794</v>
      </c>
      <c r="E182" s="35">
        <f t="shared" si="11"/>
        <v>0</v>
      </c>
      <c r="F182" s="283">
        <f t="shared" si="12"/>
        <v>0</v>
      </c>
      <c r="G182" s="34">
        <f>+'A) Base RI'!AM184</f>
        <v>70</v>
      </c>
      <c r="H182" s="284">
        <f t="shared" si="13"/>
        <v>1.0292962944452311</v>
      </c>
      <c r="I182" s="58">
        <f t="shared" si="14"/>
        <v>0</v>
      </c>
    </row>
    <row r="183" spans="1:9" x14ac:dyDescent="0.25">
      <c r="A183" s="50">
        <f>'A) Base RI'!A185</f>
        <v>5706</v>
      </c>
      <c r="B183" s="33" t="str">
        <f>'A) Base RI'!B185</f>
        <v>Borex</v>
      </c>
      <c r="C183" s="100">
        <f>'A) Base RI'!AN185</f>
        <v>1140</v>
      </c>
      <c r="D183" s="116">
        <f>'D) Ecrêtage'!N183</f>
        <v>61.039961243132531</v>
      </c>
      <c r="E183" s="35">
        <f t="shared" si="11"/>
        <v>0</v>
      </c>
      <c r="F183" s="283">
        <f t="shared" si="12"/>
        <v>0</v>
      </c>
      <c r="G183" s="34">
        <f>+'A) Base RI'!AM185</f>
        <v>58</v>
      </c>
      <c r="H183" s="284">
        <f t="shared" si="13"/>
        <v>0.85284550111176283</v>
      </c>
      <c r="I183" s="58">
        <f t="shared" si="14"/>
        <v>0</v>
      </c>
    </row>
    <row r="184" spans="1:9" x14ac:dyDescent="0.25">
      <c r="A184" s="50">
        <f>'A) Base RI'!A186</f>
        <v>5707</v>
      </c>
      <c r="B184" s="33" t="str">
        <f>'A) Base RI'!B186</f>
        <v>Chavannes-de-Bogis</v>
      </c>
      <c r="C184" s="100">
        <f>'A) Base RI'!AN186</f>
        <v>1281</v>
      </c>
      <c r="D184" s="116">
        <f>'D) Ecrêtage'!N184</f>
        <v>59.733224612783673</v>
      </c>
      <c r="E184" s="35">
        <f t="shared" si="11"/>
        <v>0</v>
      </c>
      <c r="F184" s="283">
        <f t="shared" si="12"/>
        <v>0</v>
      </c>
      <c r="G184" s="34">
        <f>+'A) Base RI'!AM186</f>
        <v>59</v>
      </c>
      <c r="H184" s="284">
        <f t="shared" si="13"/>
        <v>0.86754973388955192</v>
      </c>
      <c r="I184" s="58">
        <f t="shared" si="14"/>
        <v>0</v>
      </c>
    </row>
    <row r="185" spans="1:9" x14ac:dyDescent="0.25">
      <c r="A185" s="50">
        <f>'A) Base RI'!A187</f>
        <v>5708</v>
      </c>
      <c r="B185" s="33" t="str">
        <f>'A) Base RI'!B187</f>
        <v>Chavannes-des-Bois</v>
      </c>
      <c r="C185" s="100">
        <f>'A) Base RI'!AN187</f>
        <v>964</v>
      </c>
      <c r="D185" s="116">
        <f>'D) Ecrêtage'!N185</f>
        <v>58.512945682752985</v>
      </c>
      <c r="E185" s="35">
        <f t="shared" si="11"/>
        <v>0</v>
      </c>
      <c r="F185" s="283">
        <f t="shared" si="12"/>
        <v>0</v>
      </c>
      <c r="G185" s="34">
        <f>+'A) Base RI'!AM187</f>
        <v>63</v>
      </c>
      <c r="H185" s="284">
        <f t="shared" si="13"/>
        <v>0.92636666500070797</v>
      </c>
      <c r="I185" s="58">
        <f t="shared" si="14"/>
        <v>0</v>
      </c>
    </row>
    <row r="186" spans="1:9" x14ac:dyDescent="0.25">
      <c r="A186" s="50">
        <f>'A) Base RI'!A188</f>
        <v>5709</v>
      </c>
      <c r="B186" s="33" t="str">
        <f>'A) Base RI'!B188</f>
        <v>Chéserex</v>
      </c>
      <c r="C186" s="100">
        <f>'A) Base RI'!AN188</f>
        <v>1227</v>
      </c>
      <c r="D186" s="116">
        <f>'D) Ecrêtage'!N186</f>
        <v>81.690490313589649</v>
      </c>
      <c r="E186" s="35">
        <f t="shared" si="11"/>
        <v>0</v>
      </c>
      <c r="F186" s="283">
        <f t="shared" si="12"/>
        <v>0</v>
      </c>
      <c r="G186" s="34">
        <f>+'A) Base RI'!AM188</f>
        <v>57</v>
      </c>
      <c r="H186" s="284">
        <f t="shared" si="13"/>
        <v>0.83814126833397384</v>
      </c>
      <c r="I186" s="58">
        <f t="shared" si="14"/>
        <v>0</v>
      </c>
    </row>
    <row r="187" spans="1:9" x14ac:dyDescent="0.25">
      <c r="A187" s="50">
        <f>'A) Base RI'!A189</f>
        <v>5710</v>
      </c>
      <c r="B187" s="33" t="str">
        <f>'A) Base RI'!B189</f>
        <v>Coinsins</v>
      </c>
      <c r="C187" s="100">
        <f>'A) Base RI'!AN189</f>
        <v>499</v>
      </c>
      <c r="D187" s="116">
        <f>'D) Ecrêtage'!N187</f>
        <v>192.16185031352464</v>
      </c>
      <c r="E187" s="35">
        <f t="shared" si="11"/>
        <v>0</v>
      </c>
      <c r="F187" s="283">
        <f t="shared" si="12"/>
        <v>0</v>
      </c>
      <c r="G187" s="34">
        <f>+'A) Base RI'!AM189</f>
        <v>51</v>
      </c>
      <c r="H187" s="284">
        <f t="shared" si="13"/>
        <v>0.74991587166723972</v>
      </c>
      <c r="I187" s="58">
        <f t="shared" si="14"/>
        <v>0</v>
      </c>
    </row>
    <row r="188" spans="1:9" x14ac:dyDescent="0.25">
      <c r="A188" s="50">
        <f>'A) Base RI'!A190</f>
        <v>5711</v>
      </c>
      <c r="B188" s="33" t="str">
        <f>'A) Base RI'!B190</f>
        <v>Commugny</v>
      </c>
      <c r="C188" s="100">
        <f>'A) Base RI'!AN190</f>
        <v>2877</v>
      </c>
      <c r="D188" s="116">
        <f>'D) Ecrêtage'!N188</f>
        <v>87.693780768594337</v>
      </c>
      <c r="E188" s="35">
        <f t="shared" si="11"/>
        <v>0</v>
      </c>
      <c r="F188" s="283">
        <f t="shared" si="12"/>
        <v>0</v>
      </c>
      <c r="G188" s="34">
        <f>+'A) Base RI'!AM190</f>
        <v>57</v>
      </c>
      <c r="H188" s="284">
        <f t="shared" si="13"/>
        <v>0.83814126833397384</v>
      </c>
      <c r="I188" s="58">
        <f t="shared" si="14"/>
        <v>0</v>
      </c>
    </row>
    <row r="189" spans="1:9" x14ac:dyDescent="0.25">
      <c r="A189" s="50">
        <f>'A) Base RI'!A191</f>
        <v>5712</v>
      </c>
      <c r="B189" s="33" t="str">
        <f>'A) Base RI'!B191</f>
        <v>Coppet</v>
      </c>
      <c r="C189" s="100">
        <f>'A) Base RI'!AN191</f>
        <v>3126</v>
      </c>
      <c r="D189" s="116">
        <f>'D) Ecrêtage'!N189</f>
        <v>96.37908682215776</v>
      </c>
      <c r="E189" s="35">
        <f t="shared" si="11"/>
        <v>0</v>
      </c>
      <c r="F189" s="283">
        <f t="shared" si="12"/>
        <v>0</v>
      </c>
      <c r="G189" s="34">
        <f>+'A) Base RI'!AM191</f>
        <v>53</v>
      </c>
      <c r="H189" s="284">
        <f t="shared" si="13"/>
        <v>0.7793243372228178</v>
      </c>
      <c r="I189" s="58">
        <f t="shared" si="14"/>
        <v>0</v>
      </c>
    </row>
    <row r="190" spans="1:9" x14ac:dyDescent="0.25">
      <c r="A190" s="50">
        <f>'A) Base RI'!A192</f>
        <v>5713</v>
      </c>
      <c r="B190" s="33" t="str">
        <f>'A) Base RI'!B192</f>
        <v>Crans-près-Céligny</v>
      </c>
      <c r="C190" s="100">
        <f>'A) Base RI'!AN192</f>
        <v>2193</v>
      </c>
      <c r="D190" s="116">
        <f>'D) Ecrêtage'!N190</f>
        <v>107.76964789076365</v>
      </c>
      <c r="E190" s="35">
        <f t="shared" si="11"/>
        <v>0</v>
      </c>
      <c r="F190" s="283">
        <f t="shared" si="12"/>
        <v>0</v>
      </c>
      <c r="G190" s="34">
        <f>+'A) Base RI'!AM192</f>
        <v>53</v>
      </c>
      <c r="H190" s="284">
        <f t="shared" si="13"/>
        <v>0.7793243372228178</v>
      </c>
      <c r="I190" s="58">
        <f t="shared" si="14"/>
        <v>0</v>
      </c>
    </row>
    <row r="191" spans="1:9" x14ac:dyDescent="0.25">
      <c r="A191" s="50">
        <f>'A) Base RI'!A193</f>
        <v>5714</v>
      </c>
      <c r="B191" s="33" t="str">
        <f>'A) Base RI'!B193</f>
        <v>Crassier</v>
      </c>
      <c r="C191" s="100">
        <f>'A) Base RI'!AN193</f>
        <v>1175</v>
      </c>
      <c r="D191" s="116">
        <f>'D) Ecrêtage'!N191</f>
        <v>63.729610263906061</v>
      </c>
      <c r="E191" s="35">
        <f t="shared" si="11"/>
        <v>0</v>
      </c>
      <c r="F191" s="283">
        <f t="shared" si="12"/>
        <v>0</v>
      </c>
      <c r="G191" s="34">
        <f>+'A) Base RI'!AM193</f>
        <v>64</v>
      </c>
      <c r="H191" s="284">
        <f t="shared" si="13"/>
        <v>0.94107089777849695</v>
      </c>
      <c r="I191" s="58">
        <f t="shared" si="14"/>
        <v>0</v>
      </c>
    </row>
    <row r="192" spans="1:9" x14ac:dyDescent="0.25">
      <c r="A192" s="50">
        <f>'A) Base RI'!A194</f>
        <v>5715</v>
      </c>
      <c r="B192" s="33" t="str">
        <f>'A) Base RI'!B194</f>
        <v>Duillier</v>
      </c>
      <c r="C192" s="100">
        <f>'A) Base RI'!AN194</f>
        <v>1085</v>
      </c>
      <c r="D192" s="116">
        <f>'D) Ecrêtage'!N192</f>
        <v>68.421488896885066</v>
      </c>
      <c r="E192" s="35">
        <f t="shared" si="11"/>
        <v>0</v>
      </c>
      <c r="F192" s="283">
        <f t="shared" si="12"/>
        <v>0</v>
      </c>
      <c r="G192" s="34">
        <f>+'A) Base RI'!AM194</f>
        <v>66</v>
      </c>
      <c r="H192" s="284">
        <f t="shared" si="13"/>
        <v>0.97047936333407503</v>
      </c>
      <c r="I192" s="58">
        <f t="shared" si="14"/>
        <v>0</v>
      </c>
    </row>
    <row r="193" spans="1:9" x14ac:dyDescent="0.25">
      <c r="A193" s="50">
        <f>'A) Base RI'!A195</f>
        <v>5716</v>
      </c>
      <c r="B193" s="33" t="str">
        <f>'A) Base RI'!B195</f>
        <v>Eysins</v>
      </c>
      <c r="C193" s="100">
        <f>'A) Base RI'!AN195</f>
        <v>1618</v>
      </c>
      <c r="D193" s="116">
        <f>'D) Ecrêtage'!N193</f>
        <v>96.372545679177648</v>
      </c>
      <c r="E193" s="35">
        <f t="shared" si="11"/>
        <v>0</v>
      </c>
      <c r="F193" s="283">
        <f t="shared" si="12"/>
        <v>0</v>
      </c>
      <c r="G193" s="34">
        <f>+'A) Base RI'!AM195</f>
        <v>61</v>
      </c>
      <c r="H193" s="284">
        <f t="shared" si="13"/>
        <v>0.89695819944512989</v>
      </c>
      <c r="I193" s="58">
        <f t="shared" si="14"/>
        <v>0</v>
      </c>
    </row>
    <row r="194" spans="1:9" x14ac:dyDescent="0.25">
      <c r="A194" s="50">
        <f>'A) Base RI'!A196</f>
        <v>5717</v>
      </c>
      <c r="B194" s="33" t="str">
        <f>'A) Base RI'!B196</f>
        <v>Founex</v>
      </c>
      <c r="C194" s="100">
        <f>'A) Base RI'!AN196</f>
        <v>3790</v>
      </c>
      <c r="D194" s="116">
        <f>'D) Ecrêtage'!N194</f>
        <v>89.517732186315726</v>
      </c>
      <c r="E194" s="35">
        <f t="shared" si="11"/>
        <v>0</v>
      </c>
      <c r="F194" s="283">
        <f t="shared" si="12"/>
        <v>0</v>
      </c>
      <c r="G194" s="34">
        <f>+'A) Base RI'!AM196</f>
        <v>57</v>
      </c>
      <c r="H194" s="284">
        <f t="shared" si="13"/>
        <v>0.83814126833397384</v>
      </c>
      <c r="I194" s="58">
        <f t="shared" si="14"/>
        <v>0</v>
      </c>
    </row>
    <row r="195" spans="1:9" x14ac:dyDescent="0.25">
      <c r="A195" s="50">
        <f>'A) Base RI'!A197</f>
        <v>5718</v>
      </c>
      <c r="B195" s="33" t="str">
        <f>'A) Base RI'!B197</f>
        <v>Genolier</v>
      </c>
      <c r="C195" s="100">
        <f>'A) Base RI'!AN197</f>
        <v>1961</v>
      </c>
      <c r="D195" s="116">
        <f>'D) Ecrêtage'!N195</f>
        <v>80.427917187421485</v>
      </c>
      <c r="E195" s="35">
        <f t="shared" si="11"/>
        <v>0</v>
      </c>
      <c r="F195" s="283">
        <f t="shared" si="12"/>
        <v>0</v>
      </c>
      <c r="G195" s="34">
        <f>+'A) Base RI'!AM197</f>
        <v>55</v>
      </c>
      <c r="H195" s="284">
        <f t="shared" si="13"/>
        <v>0.80873280277839577</v>
      </c>
      <c r="I195" s="58">
        <f t="shared" si="14"/>
        <v>0</v>
      </c>
    </row>
    <row r="196" spans="1:9" x14ac:dyDescent="0.25">
      <c r="A196" s="50">
        <f>'A) Base RI'!A198</f>
        <v>5719</v>
      </c>
      <c r="B196" s="33" t="str">
        <f>'A) Base RI'!B198</f>
        <v>Gingins</v>
      </c>
      <c r="C196" s="100">
        <f>'A) Base RI'!AN198</f>
        <v>1226</v>
      </c>
      <c r="D196" s="116">
        <f>'D) Ecrêtage'!N196</f>
        <v>83.377812222315669</v>
      </c>
      <c r="E196" s="35">
        <f t="shared" si="11"/>
        <v>0</v>
      </c>
      <c r="F196" s="283">
        <f t="shared" si="12"/>
        <v>0</v>
      </c>
      <c r="G196" s="34">
        <f>+'A) Base RI'!AM198</f>
        <v>57</v>
      </c>
      <c r="H196" s="284">
        <f t="shared" si="13"/>
        <v>0.83814126833397384</v>
      </c>
      <c r="I196" s="58">
        <f t="shared" si="14"/>
        <v>0</v>
      </c>
    </row>
    <row r="197" spans="1:9" x14ac:dyDescent="0.25">
      <c r="A197" s="50">
        <f>'A) Base RI'!A199</f>
        <v>5720</v>
      </c>
      <c r="B197" s="33" t="str">
        <f>'A) Base RI'!B199</f>
        <v>Givrins</v>
      </c>
      <c r="C197" s="100">
        <f>'A) Base RI'!AN199</f>
        <v>1033</v>
      </c>
      <c r="D197" s="116">
        <f>'D) Ecrêtage'!N197</f>
        <v>63.191906591929524</v>
      </c>
      <c r="E197" s="35">
        <f t="shared" si="11"/>
        <v>0</v>
      </c>
      <c r="F197" s="283">
        <f t="shared" si="12"/>
        <v>0</v>
      </c>
      <c r="G197" s="34">
        <f>+'A) Base RI'!AM199</f>
        <v>67</v>
      </c>
      <c r="H197" s="284">
        <f t="shared" si="13"/>
        <v>0.98518359611186401</v>
      </c>
      <c r="I197" s="58">
        <f t="shared" si="14"/>
        <v>0</v>
      </c>
    </row>
    <row r="198" spans="1:9" x14ac:dyDescent="0.25">
      <c r="A198" s="50">
        <f>'A) Base RI'!A200</f>
        <v>5721</v>
      </c>
      <c r="B198" s="33" t="str">
        <f>'A) Base RI'!B200</f>
        <v>Gland</v>
      </c>
      <c r="C198" s="100">
        <f>'A) Base RI'!AN200</f>
        <v>13101</v>
      </c>
      <c r="D198" s="116">
        <f>'D) Ecrêtage'!N198</f>
        <v>49.959865427066632</v>
      </c>
      <c r="E198" s="35">
        <f t="shared" ref="E198:E261" si="15">IF($D$314-D198&lt;0,0,$D$314-D198)</f>
        <v>0</v>
      </c>
      <c r="F198" s="283">
        <f t="shared" ref="F198:F261" si="16">(C198*E198*G198)*$E$4</f>
        <v>0</v>
      </c>
      <c r="G198" s="34">
        <f>+'A) Base RI'!AM200</f>
        <v>62.5</v>
      </c>
      <c r="H198" s="284">
        <f t="shared" ref="H198:H261" si="17">G198/$G$314</f>
        <v>0.91901454861181342</v>
      </c>
      <c r="I198" s="58">
        <f t="shared" ref="I198:I261" si="18">F198*H198</f>
        <v>0</v>
      </c>
    </row>
    <row r="199" spans="1:9" x14ac:dyDescent="0.25">
      <c r="A199" s="50">
        <f>'A) Base RI'!A201</f>
        <v>5722</v>
      </c>
      <c r="B199" s="33" t="str">
        <f>'A) Base RI'!B201</f>
        <v>Grens</v>
      </c>
      <c r="C199" s="100">
        <f>'A) Base RI'!AN201</f>
        <v>391</v>
      </c>
      <c r="D199" s="116">
        <f>'D) Ecrêtage'!N199</f>
        <v>56.534196417598793</v>
      </c>
      <c r="E199" s="35">
        <f t="shared" si="15"/>
        <v>0</v>
      </c>
      <c r="F199" s="283">
        <f t="shared" si="16"/>
        <v>0</v>
      </c>
      <c r="G199" s="34">
        <f>+'A) Base RI'!AM201</f>
        <v>62</v>
      </c>
      <c r="H199" s="284">
        <f t="shared" si="17"/>
        <v>0.91166243222291887</v>
      </c>
      <c r="I199" s="58">
        <f t="shared" si="18"/>
        <v>0</v>
      </c>
    </row>
    <row r="200" spans="1:9" x14ac:dyDescent="0.25">
      <c r="A200" s="50">
        <f>'A) Base RI'!A202</f>
        <v>5723</v>
      </c>
      <c r="B200" s="33" t="str">
        <f>'A) Base RI'!B202</f>
        <v>Mies</v>
      </c>
      <c r="C200" s="100">
        <f>'A) Base RI'!AN202</f>
        <v>2075</v>
      </c>
      <c r="D200" s="116">
        <f>'D) Ecrêtage'!N200</f>
        <v>189.85732258250246</v>
      </c>
      <c r="E200" s="35">
        <f t="shared" si="15"/>
        <v>0</v>
      </c>
      <c r="F200" s="283">
        <f t="shared" si="16"/>
        <v>0</v>
      </c>
      <c r="G200" s="34">
        <f>+'A) Base RI'!AM202</f>
        <v>49</v>
      </c>
      <c r="H200" s="284">
        <f t="shared" si="17"/>
        <v>0.72050740611166175</v>
      </c>
      <c r="I200" s="58">
        <f t="shared" si="18"/>
        <v>0</v>
      </c>
    </row>
    <row r="201" spans="1:9" x14ac:dyDescent="0.25">
      <c r="A201" s="50">
        <f>'A) Base RI'!A203</f>
        <v>5724</v>
      </c>
      <c r="B201" s="33" t="str">
        <f>'A) Base RI'!B203</f>
        <v>Nyon</v>
      </c>
      <c r="C201" s="100">
        <f>'A) Base RI'!AN203</f>
        <v>21239</v>
      </c>
      <c r="D201" s="116">
        <f>'D) Ecrêtage'!N201</f>
        <v>61.652971699379663</v>
      </c>
      <c r="E201" s="35">
        <f t="shared" si="15"/>
        <v>0</v>
      </c>
      <c r="F201" s="283">
        <f t="shared" si="16"/>
        <v>0</v>
      </c>
      <c r="G201" s="34">
        <f>+'A) Base RI'!AM203</f>
        <v>61</v>
      </c>
      <c r="H201" s="284">
        <f t="shared" si="17"/>
        <v>0.89695819944512989</v>
      </c>
      <c r="I201" s="58">
        <f t="shared" si="18"/>
        <v>0</v>
      </c>
    </row>
    <row r="202" spans="1:9" x14ac:dyDescent="0.25">
      <c r="A202" s="50">
        <f>'A) Base RI'!A204</f>
        <v>5725</v>
      </c>
      <c r="B202" s="33" t="str">
        <f>'A) Base RI'!B204</f>
        <v>Prangins</v>
      </c>
      <c r="C202" s="100">
        <f>'A) Base RI'!AN204</f>
        <v>4040</v>
      </c>
      <c r="D202" s="116">
        <f>'D) Ecrêtage'!N202</f>
        <v>75.374069789927546</v>
      </c>
      <c r="E202" s="35">
        <f t="shared" si="15"/>
        <v>0</v>
      </c>
      <c r="F202" s="283">
        <f t="shared" si="16"/>
        <v>0</v>
      </c>
      <c r="G202" s="34">
        <f>+'A) Base RI'!AM204</f>
        <v>56</v>
      </c>
      <c r="H202" s="284">
        <f t="shared" si="17"/>
        <v>0.82343703555618486</v>
      </c>
      <c r="I202" s="58">
        <f t="shared" si="18"/>
        <v>0</v>
      </c>
    </row>
    <row r="203" spans="1:9" x14ac:dyDescent="0.25">
      <c r="A203" s="50">
        <f>'A) Base RI'!A205</f>
        <v>5726</v>
      </c>
      <c r="B203" s="33" t="str">
        <f>'A) Base RI'!B205</f>
        <v>La Rippe</v>
      </c>
      <c r="C203" s="100">
        <f>'A) Base RI'!AN205</f>
        <v>1161</v>
      </c>
      <c r="D203" s="116">
        <f>'D) Ecrêtage'!N203</f>
        <v>51.528010600940839</v>
      </c>
      <c r="E203" s="35">
        <f t="shared" si="15"/>
        <v>0</v>
      </c>
      <c r="F203" s="283">
        <f t="shared" si="16"/>
        <v>0</v>
      </c>
      <c r="G203" s="34">
        <f>+'A) Base RI'!AM205</f>
        <v>65</v>
      </c>
      <c r="H203" s="284">
        <f t="shared" si="17"/>
        <v>0.95577513055628593</v>
      </c>
      <c r="I203" s="58">
        <f t="shared" si="18"/>
        <v>0</v>
      </c>
    </row>
    <row r="204" spans="1:9" x14ac:dyDescent="0.25">
      <c r="A204" s="50">
        <f>'A) Base RI'!A206</f>
        <v>5727</v>
      </c>
      <c r="B204" s="33" t="str">
        <f>'A) Base RI'!B206</f>
        <v>Saint-Cergue</v>
      </c>
      <c r="C204" s="100">
        <f>'A) Base RI'!AN206</f>
        <v>2583</v>
      </c>
      <c r="D204" s="116">
        <f>'D) Ecrêtage'!N204</f>
        <v>32.809916567924702</v>
      </c>
      <c r="E204" s="35">
        <f t="shared" si="15"/>
        <v>12.253367867794886</v>
      </c>
      <c r="F204" s="283">
        <f t="shared" si="16"/>
        <v>564011.00478880282</v>
      </c>
      <c r="G204" s="34">
        <f>+'A) Base RI'!AM206</f>
        <v>66</v>
      </c>
      <c r="H204" s="284">
        <f t="shared" si="17"/>
        <v>0.97047936333407503</v>
      </c>
      <c r="I204" s="58">
        <f t="shared" si="18"/>
        <v>547361.04084084928</v>
      </c>
    </row>
    <row r="205" spans="1:9" x14ac:dyDescent="0.25">
      <c r="A205" s="50">
        <f>'A) Base RI'!A207</f>
        <v>5728</v>
      </c>
      <c r="B205" s="33" t="str">
        <f>'A) Base RI'!B207</f>
        <v>Signy-Avenex</v>
      </c>
      <c r="C205" s="100">
        <f>'A) Base RI'!AN207</f>
        <v>592</v>
      </c>
      <c r="D205" s="116">
        <f>'D) Ecrêtage'!N205</f>
        <v>71.605303113112541</v>
      </c>
      <c r="E205" s="35">
        <f t="shared" si="15"/>
        <v>0</v>
      </c>
      <c r="F205" s="283">
        <f t="shared" si="16"/>
        <v>0</v>
      </c>
      <c r="G205" s="34">
        <f>+'A) Base RI'!AM207</f>
        <v>58</v>
      </c>
      <c r="H205" s="284">
        <f t="shared" si="17"/>
        <v>0.85284550111176283</v>
      </c>
      <c r="I205" s="58">
        <f t="shared" si="18"/>
        <v>0</v>
      </c>
    </row>
    <row r="206" spans="1:9" x14ac:dyDescent="0.25">
      <c r="A206" s="50">
        <f>'A) Base RI'!A208</f>
        <v>5729</v>
      </c>
      <c r="B206" s="33" t="str">
        <f>'A) Base RI'!B208</f>
        <v>Tannay</v>
      </c>
      <c r="C206" s="100">
        <f>'A) Base RI'!AN208</f>
        <v>1593</v>
      </c>
      <c r="D206" s="116">
        <f>'D) Ecrêtage'!N206</f>
        <v>84.446379248166295</v>
      </c>
      <c r="E206" s="35">
        <f t="shared" si="15"/>
        <v>0</v>
      </c>
      <c r="F206" s="283">
        <f t="shared" si="16"/>
        <v>0</v>
      </c>
      <c r="G206" s="34">
        <f>+'A) Base RI'!AM208</f>
        <v>61</v>
      </c>
      <c r="H206" s="284">
        <f t="shared" si="17"/>
        <v>0.89695819944512989</v>
      </c>
      <c r="I206" s="58">
        <f t="shared" si="18"/>
        <v>0</v>
      </c>
    </row>
    <row r="207" spans="1:9" x14ac:dyDescent="0.25">
      <c r="A207" s="50">
        <f>'A) Base RI'!A209</f>
        <v>5730</v>
      </c>
      <c r="B207" s="33" t="str">
        <f>'A) Base RI'!B209</f>
        <v>Trélex</v>
      </c>
      <c r="C207" s="100">
        <f>'A) Base RI'!AN209</f>
        <v>1408</v>
      </c>
      <c r="D207" s="116">
        <f>'D) Ecrêtage'!N207</f>
        <v>99.920860926642206</v>
      </c>
      <c r="E207" s="35">
        <f t="shared" si="15"/>
        <v>0</v>
      </c>
      <c r="F207" s="283">
        <f t="shared" si="16"/>
        <v>0</v>
      </c>
      <c r="G207" s="34">
        <f>+'A) Base RI'!AM209</f>
        <v>57</v>
      </c>
      <c r="H207" s="284">
        <f t="shared" si="17"/>
        <v>0.83814126833397384</v>
      </c>
      <c r="I207" s="58">
        <f t="shared" si="18"/>
        <v>0</v>
      </c>
    </row>
    <row r="208" spans="1:9" x14ac:dyDescent="0.25">
      <c r="A208" s="50">
        <f>'A) Base RI'!A210</f>
        <v>5731</v>
      </c>
      <c r="B208" s="33" t="str">
        <f>'A) Base RI'!B210</f>
        <v>Le Vaud</v>
      </c>
      <c r="C208" s="100">
        <f>'A) Base RI'!AN210</f>
        <v>1319</v>
      </c>
      <c r="D208" s="116">
        <f>'D) Ecrêtage'!N208</f>
        <v>40.05660951899587</v>
      </c>
      <c r="E208" s="35">
        <f t="shared" si="15"/>
        <v>5.0066749167237177</v>
      </c>
      <c r="F208" s="283">
        <f t="shared" si="16"/>
        <v>133727.03535696134</v>
      </c>
      <c r="G208" s="34">
        <f>+'A) Base RI'!AM210</f>
        <v>75</v>
      </c>
      <c r="H208" s="284">
        <f t="shared" si="17"/>
        <v>1.1028174583341761</v>
      </c>
      <c r="I208" s="58">
        <f t="shared" si="18"/>
        <v>147476.50924292862</v>
      </c>
    </row>
    <row r="209" spans="1:9" x14ac:dyDescent="0.25">
      <c r="A209" s="50">
        <f>'A) Base RI'!A211</f>
        <v>5732</v>
      </c>
      <c r="B209" s="33" t="str">
        <f>'A) Base RI'!B211</f>
        <v>Vich</v>
      </c>
      <c r="C209" s="100">
        <f>'A) Base RI'!AN211</f>
        <v>1039</v>
      </c>
      <c r="D209" s="116">
        <f>'D) Ecrêtage'!N209</f>
        <v>60.938331972969863</v>
      </c>
      <c r="E209" s="35">
        <f t="shared" si="15"/>
        <v>0</v>
      </c>
      <c r="F209" s="283">
        <f t="shared" si="16"/>
        <v>0</v>
      </c>
      <c r="G209" s="34">
        <f>+'A) Base RI'!AM211</f>
        <v>67</v>
      </c>
      <c r="H209" s="284">
        <f t="shared" si="17"/>
        <v>0.98518359611186401</v>
      </c>
      <c r="I209" s="58">
        <f t="shared" si="18"/>
        <v>0</v>
      </c>
    </row>
    <row r="210" spans="1:9" x14ac:dyDescent="0.25">
      <c r="A210" s="50">
        <f>'A) Base RI'!A212</f>
        <v>5741</v>
      </c>
      <c r="B210" s="33" t="str">
        <f>'A) Base RI'!B212</f>
        <v>L'Abergement</v>
      </c>
      <c r="C210" s="100">
        <f>'A) Base RI'!AN212</f>
        <v>248</v>
      </c>
      <c r="D210" s="116">
        <f>'D) Ecrêtage'!N210</f>
        <v>30.098105834328955</v>
      </c>
      <c r="E210" s="35">
        <f t="shared" si="15"/>
        <v>14.965178601390633</v>
      </c>
      <c r="F210" s="283">
        <f t="shared" si="16"/>
        <v>81167.53709107847</v>
      </c>
      <c r="G210" s="34">
        <f>+'A) Base RI'!AM212</f>
        <v>81</v>
      </c>
      <c r="H210" s="284">
        <f t="shared" si="17"/>
        <v>1.1910428550009102</v>
      </c>
      <c r="I210" s="58">
        <f t="shared" si="18"/>
        <v>96674.015110350374</v>
      </c>
    </row>
    <row r="211" spans="1:9" x14ac:dyDescent="0.25">
      <c r="A211" s="50">
        <f>'A) Base RI'!A213</f>
        <v>5742</v>
      </c>
      <c r="B211" s="33" t="str">
        <f>'A) Base RI'!B213</f>
        <v>Agiez</v>
      </c>
      <c r="C211" s="100">
        <f>'A) Base RI'!AN213</f>
        <v>327</v>
      </c>
      <c r="D211" s="116">
        <f>'D) Ecrêtage'!N211</f>
        <v>27.928143811363277</v>
      </c>
      <c r="E211" s="35">
        <f t="shared" si="15"/>
        <v>17.13514062435631</v>
      </c>
      <c r="F211" s="283">
        <f t="shared" si="16"/>
        <v>114977.47899505583</v>
      </c>
      <c r="G211" s="34">
        <f>+'A) Base RI'!AM213</f>
        <v>76</v>
      </c>
      <c r="H211" s="284">
        <f t="shared" si="17"/>
        <v>1.1175216911119652</v>
      </c>
      <c r="I211" s="58">
        <f t="shared" si="18"/>
        <v>128489.82676634526</v>
      </c>
    </row>
    <row r="212" spans="1:9" x14ac:dyDescent="0.25">
      <c r="A212" s="50">
        <f>'A) Base RI'!A214</f>
        <v>5743</v>
      </c>
      <c r="B212" s="33" t="str">
        <f>'A) Base RI'!B214</f>
        <v>Arnex-sur-Orbe</v>
      </c>
      <c r="C212" s="100">
        <f>'A) Base RI'!AN214</f>
        <v>631</v>
      </c>
      <c r="D212" s="116">
        <f>'D) Ecrêtage'!N212</f>
        <v>29.101276024140855</v>
      </c>
      <c r="E212" s="35">
        <f t="shared" si="15"/>
        <v>15.962008411578733</v>
      </c>
      <c r="F212" s="283">
        <f t="shared" si="16"/>
        <v>198519.65823488886</v>
      </c>
      <c r="G212" s="34">
        <f>+'A) Base RI'!AM214</f>
        <v>73</v>
      </c>
      <c r="H212" s="284">
        <f t="shared" si="17"/>
        <v>1.0734089927785981</v>
      </c>
      <c r="I212" s="58">
        <f t="shared" si="18"/>
        <v>213092.78639266358</v>
      </c>
    </row>
    <row r="213" spans="1:9" x14ac:dyDescent="0.25">
      <c r="A213" s="50">
        <f>'A) Base RI'!A215</f>
        <v>5744</v>
      </c>
      <c r="B213" s="33" t="str">
        <f>'A) Base RI'!B215</f>
        <v>Ballaigues</v>
      </c>
      <c r="C213" s="100">
        <f>'A) Base RI'!AN215</f>
        <v>1075</v>
      </c>
      <c r="D213" s="116">
        <f>'D) Ecrêtage'!N213</f>
        <v>42.805005496828748</v>
      </c>
      <c r="E213" s="35">
        <f t="shared" si="15"/>
        <v>2.2582789388908395</v>
      </c>
      <c r="F213" s="283">
        <f t="shared" si="16"/>
        <v>43260.720492862376</v>
      </c>
      <c r="G213" s="34">
        <f>+'A) Base RI'!AM215</f>
        <v>66</v>
      </c>
      <c r="H213" s="284">
        <f t="shared" si="17"/>
        <v>0.97047936333407503</v>
      </c>
      <c r="I213" s="58">
        <f t="shared" si="18"/>
        <v>41983.636481286449</v>
      </c>
    </row>
    <row r="214" spans="1:9" x14ac:dyDescent="0.25">
      <c r="A214" s="50">
        <f>'A) Base RI'!A216</f>
        <v>5745</v>
      </c>
      <c r="B214" s="33" t="str">
        <f>'A) Base RI'!B216</f>
        <v>Baulmes</v>
      </c>
      <c r="C214" s="100">
        <f>'A) Base RI'!AN216</f>
        <v>1027</v>
      </c>
      <c r="D214" s="116">
        <f>'D) Ecrêtage'!N214</f>
        <v>26.327824507527527</v>
      </c>
      <c r="E214" s="35">
        <f t="shared" si="15"/>
        <v>18.735459928192061</v>
      </c>
      <c r="F214" s="283">
        <f t="shared" si="16"/>
        <v>405222.14331209339</v>
      </c>
      <c r="G214" s="34">
        <f>+'A) Base RI'!AM216</f>
        <v>78</v>
      </c>
      <c r="H214" s="284">
        <f t="shared" si="17"/>
        <v>1.1469301566675432</v>
      </c>
      <c r="I214" s="58">
        <f t="shared" si="18"/>
        <v>464761.4963140969</v>
      </c>
    </row>
    <row r="215" spans="1:9" x14ac:dyDescent="0.25">
      <c r="A215" s="50">
        <f>'A) Base RI'!A217</f>
        <v>5746</v>
      </c>
      <c r="B215" s="33" t="str">
        <f>'A) Base RI'!B217</f>
        <v>Bavois</v>
      </c>
      <c r="C215" s="100">
        <f>'A) Base RI'!AN217</f>
        <v>942</v>
      </c>
      <c r="D215" s="116">
        <f>'D) Ecrêtage'!N215</f>
        <v>28.400779115648238</v>
      </c>
      <c r="E215" s="35">
        <f t="shared" si="15"/>
        <v>16.66250532007135</v>
      </c>
      <c r="F215" s="283">
        <f t="shared" si="16"/>
        <v>309369.73702680715</v>
      </c>
      <c r="G215" s="34">
        <f>+'A) Base RI'!AM217</f>
        <v>73</v>
      </c>
      <c r="H215" s="284">
        <f t="shared" si="17"/>
        <v>1.0734089927785981</v>
      </c>
      <c r="I215" s="58">
        <f t="shared" si="18"/>
        <v>332080.25781812484</v>
      </c>
    </row>
    <row r="216" spans="1:9" x14ac:dyDescent="0.25">
      <c r="A216" s="50">
        <f>'A) Base RI'!A218</f>
        <v>5747</v>
      </c>
      <c r="B216" s="33" t="str">
        <f>'A) Base RI'!B218</f>
        <v>Bofflens</v>
      </c>
      <c r="C216" s="100">
        <f>'A) Base RI'!AN218</f>
        <v>196</v>
      </c>
      <c r="D216" s="116">
        <f>'D) Ecrêtage'!N216</f>
        <v>25.435871783496005</v>
      </c>
      <c r="E216" s="35">
        <f t="shared" si="15"/>
        <v>19.627412652223583</v>
      </c>
      <c r="F216" s="283">
        <f t="shared" si="16"/>
        <v>71669.104751341365</v>
      </c>
      <c r="G216" s="34">
        <f>+'A) Base RI'!AM218</f>
        <v>69</v>
      </c>
      <c r="H216" s="284">
        <f t="shared" si="17"/>
        <v>1.014592061667442</v>
      </c>
      <c r="I216" s="58">
        <f t="shared" si="18"/>
        <v>72714.904747523295</v>
      </c>
    </row>
    <row r="217" spans="1:9" x14ac:dyDescent="0.25">
      <c r="A217" s="50">
        <f>'A) Base RI'!A219</f>
        <v>5748</v>
      </c>
      <c r="B217" s="33" t="str">
        <f>'A) Base RI'!B219</f>
        <v>Bretonnières</v>
      </c>
      <c r="C217" s="100">
        <f>'A) Base RI'!AN219</f>
        <v>265</v>
      </c>
      <c r="D217" s="116">
        <f>'D) Ecrêtage'!N217</f>
        <v>20.956010307477293</v>
      </c>
      <c r="E217" s="35">
        <f t="shared" si="15"/>
        <v>24.107274128242295</v>
      </c>
      <c r="F217" s="283">
        <f t="shared" si="16"/>
        <v>124191.03339905301</v>
      </c>
      <c r="G217" s="34">
        <f>+'A) Base RI'!AM219</f>
        <v>72</v>
      </c>
      <c r="H217" s="284">
        <f t="shared" si="17"/>
        <v>1.058704760000809</v>
      </c>
      <c r="I217" s="58">
        <f t="shared" si="18"/>
        <v>131481.63820899688</v>
      </c>
    </row>
    <row r="218" spans="1:9" x14ac:dyDescent="0.25">
      <c r="A218" s="50">
        <f>'A) Base RI'!A220</f>
        <v>5749</v>
      </c>
      <c r="B218" s="33" t="str">
        <f>'A) Base RI'!B220</f>
        <v>Chavornay</v>
      </c>
      <c r="C218" s="100">
        <f>'A) Base RI'!AN220</f>
        <v>4996</v>
      </c>
      <c r="D218" s="116">
        <f>'D) Ecrêtage'!N218</f>
        <v>28.177581287252018</v>
      </c>
      <c r="E218" s="35">
        <f t="shared" si="15"/>
        <v>16.88570314846757</v>
      </c>
      <c r="F218" s="283">
        <f t="shared" si="16"/>
        <v>1639977.3137542228</v>
      </c>
      <c r="G218" s="34">
        <f>+'A) Base RI'!AM220</f>
        <v>72</v>
      </c>
      <c r="H218" s="284">
        <f t="shared" si="17"/>
        <v>1.058704760000809</v>
      </c>
      <c r="I218" s="58">
        <f t="shared" si="18"/>
        <v>1736251.7883649359</v>
      </c>
    </row>
    <row r="219" spans="1:9" x14ac:dyDescent="0.25">
      <c r="A219" s="50">
        <f>'A) Base RI'!A221</f>
        <v>5750</v>
      </c>
      <c r="B219" s="33" t="str">
        <f>'A) Base RI'!B221</f>
        <v>Les Clées</v>
      </c>
      <c r="C219" s="100">
        <f>'A) Base RI'!AN221</f>
        <v>185</v>
      </c>
      <c r="D219" s="116">
        <f>'D) Ecrêtage'!N219</f>
        <v>27.866577702702706</v>
      </c>
      <c r="E219" s="35">
        <f t="shared" si="15"/>
        <v>17.196706733016882</v>
      </c>
      <c r="F219" s="283">
        <f t="shared" si="16"/>
        <v>68718.040105135471</v>
      </c>
      <c r="G219" s="34">
        <f>+'A) Base RI'!AM221</f>
        <v>80</v>
      </c>
      <c r="H219" s="284">
        <f t="shared" si="17"/>
        <v>1.1763386222231211</v>
      </c>
      <c r="I219" s="58">
        <f t="shared" si="18"/>
        <v>80835.684619148247</v>
      </c>
    </row>
    <row r="220" spans="1:9" x14ac:dyDescent="0.25">
      <c r="A220" s="50">
        <f>'A) Base RI'!A222</f>
        <v>5752</v>
      </c>
      <c r="B220" s="33" t="str">
        <f>'A) Base RI'!B222</f>
        <v>Croy</v>
      </c>
      <c r="C220" s="100">
        <f>'A) Base RI'!AN222</f>
        <v>404</v>
      </c>
      <c r="D220" s="116">
        <f>'D) Ecrêtage'!N220</f>
        <v>26.616350061164418</v>
      </c>
      <c r="E220" s="35">
        <f t="shared" si="15"/>
        <v>18.44693437455517</v>
      </c>
      <c r="F220" s="283">
        <f t="shared" si="16"/>
        <v>148902.17851665936</v>
      </c>
      <c r="G220" s="34">
        <f>+'A) Base RI'!AM222</f>
        <v>74</v>
      </c>
      <c r="H220" s="284">
        <f t="shared" si="17"/>
        <v>1.088113225556387</v>
      </c>
      <c r="I220" s="58">
        <f t="shared" si="18"/>
        <v>162022.42975813517</v>
      </c>
    </row>
    <row r="221" spans="1:9" x14ac:dyDescent="0.25">
      <c r="A221" s="50">
        <f>'A) Base RI'!A223</f>
        <v>5754</v>
      </c>
      <c r="B221" s="33" t="str">
        <f>'A) Base RI'!B223</f>
        <v>Juriens</v>
      </c>
      <c r="C221" s="100">
        <f>'A) Base RI'!AN223</f>
        <v>308</v>
      </c>
      <c r="D221" s="116">
        <f>'D) Ecrêtage'!N221</f>
        <v>26.090768535262207</v>
      </c>
      <c r="E221" s="35">
        <f t="shared" si="15"/>
        <v>18.972515900457381</v>
      </c>
      <c r="F221" s="283">
        <f t="shared" si="16"/>
        <v>124642.59936028084</v>
      </c>
      <c r="G221" s="34">
        <f>+'A) Base RI'!AM223</f>
        <v>79</v>
      </c>
      <c r="H221" s="284">
        <f t="shared" si="17"/>
        <v>1.1616343894453323</v>
      </c>
      <c r="I221" s="58">
        <f t="shared" si="18"/>
        <v>144789.12980675901</v>
      </c>
    </row>
    <row r="222" spans="1:9" x14ac:dyDescent="0.25">
      <c r="A222" s="50">
        <f>'A) Base RI'!A224</f>
        <v>5755</v>
      </c>
      <c r="B222" s="33" t="str">
        <f>'A) Base RI'!B224</f>
        <v>Lignerolle</v>
      </c>
      <c r="C222" s="100">
        <f>'A) Base RI'!AN224</f>
        <v>422</v>
      </c>
      <c r="D222" s="116">
        <f>'D) Ecrêtage'!N222</f>
        <v>22.712766968517265</v>
      </c>
      <c r="E222" s="35">
        <f t="shared" si="15"/>
        <v>22.350517467202323</v>
      </c>
      <c r="F222" s="283">
        <f t="shared" si="16"/>
        <v>203729.43681704262</v>
      </c>
      <c r="G222" s="34">
        <f>+'A) Base RI'!AM224</f>
        <v>80</v>
      </c>
      <c r="H222" s="284">
        <f t="shared" si="17"/>
        <v>1.1763386222231211</v>
      </c>
      <c r="I222" s="58">
        <f t="shared" si="18"/>
        <v>239654.80501165232</v>
      </c>
    </row>
    <row r="223" spans="1:9" x14ac:dyDescent="0.25">
      <c r="A223" s="50">
        <f>'A) Base RI'!A225</f>
        <v>5756</v>
      </c>
      <c r="B223" s="33" t="str">
        <f>'A) Base RI'!B225</f>
        <v>Montcherand</v>
      </c>
      <c r="C223" s="100">
        <f>'A) Base RI'!AN225</f>
        <v>489</v>
      </c>
      <c r="D223" s="116">
        <f>'D) Ecrêtage'!N223</f>
        <v>32.40218927516473</v>
      </c>
      <c r="E223" s="35">
        <f t="shared" si="15"/>
        <v>12.661095160554858</v>
      </c>
      <c r="F223" s="283">
        <f t="shared" si="16"/>
        <v>120358.39637146017</v>
      </c>
      <c r="G223" s="34">
        <f>+'A) Base RI'!AM225</f>
        <v>72</v>
      </c>
      <c r="H223" s="284">
        <f t="shared" si="17"/>
        <v>1.058704760000809</v>
      </c>
      <c r="I223" s="58">
        <f t="shared" si="18"/>
        <v>127424.00714452898</v>
      </c>
    </row>
    <row r="224" spans="1:9" x14ac:dyDescent="0.25">
      <c r="A224" s="50">
        <f>'A) Base RI'!A226</f>
        <v>5757</v>
      </c>
      <c r="B224" s="33" t="str">
        <f>'A) Base RI'!B226</f>
        <v>Orbe</v>
      </c>
      <c r="C224" s="100">
        <f>'A) Base RI'!AN226</f>
        <v>6942</v>
      </c>
      <c r="D224" s="116">
        <f>'D) Ecrêtage'!N224</f>
        <v>32.778119090647181</v>
      </c>
      <c r="E224" s="35">
        <f t="shared" si="15"/>
        <v>12.285165345072407</v>
      </c>
      <c r="F224" s="283">
        <f t="shared" si="16"/>
        <v>1773046.4145919923</v>
      </c>
      <c r="G224" s="34">
        <f>+'A) Base RI'!AM226</f>
        <v>77</v>
      </c>
      <c r="H224" s="284">
        <f t="shared" si="17"/>
        <v>1.1322259238897541</v>
      </c>
      <c r="I224" s="58">
        <f t="shared" si="18"/>
        <v>2007489.1148608343</v>
      </c>
    </row>
    <row r="225" spans="1:9" x14ac:dyDescent="0.25">
      <c r="A225" s="50">
        <f>'A) Base RI'!A227</f>
        <v>5758</v>
      </c>
      <c r="B225" s="33" t="str">
        <f>'A) Base RI'!B227</f>
        <v>La Praz</v>
      </c>
      <c r="C225" s="100">
        <f>'A) Base RI'!AN227</f>
        <v>165</v>
      </c>
      <c r="D225" s="116">
        <f>'D) Ecrêtage'!N225</f>
        <v>26.984226603383231</v>
      </c>
      <c r="E225" s="35">
        <f t="shared" si="15"/>
        <v>18.079057832336357</v>
      </c>
      <c r="F225" s="283">
        <f t="shared" si="16"/>
        <v>66850.028193738544</v>
      </c>
      <c r="G225" s="34">
        <f>+'A) Base RI'!AM227</f>
        <v>83</v>
      </c>
      <c r="H225" s="284">
        <f t="shared" si="17"/>
        <v>1.2204513205564882</v>
      </c>
      <c r="I225" s="58">
        <f t="shared" si="18"/>
        <v>81587.20518828668</v>
      </c>
    </row>
    <row r="226" spans="1:9" x14ac:dyDescent="0.25">
      <c r="A226" s="50">
        <f>'A) Base RI'!A228</f>
        <v>5759</v>
      </c>
      <c r="B226" s="33" t="str">
        <f>'A) Base RI'!B228</f>
        <v>Premier</v>
      </c>
      <c r="C226" s="100">
        <f>'A) Base RI'!AN228</f>
        <v>213</v>
      </c>
      <c r="D226" s="116">
        <f>'D) Ecrêtage'!N226</f>
        <v>22.275432678374777</v>
      </c>
      <c r="E226" s="35">
        <f t="shared" si="15"/>
        <v>22.787851757344811</v>
      </c>
      <c r="F226" s="283">
        <f t="shared" si="16"/>
        <v>106152.87771975691</v>
      </c>
      <c r="G226" s="34">
        <f>+'A) Base RI'!AM228</f>
        <v>81</v>
      </c>
      <c r="H226" s="284">
        <f t="shared" si="17"/>
        <v>1.1910428550009102</v>
      </c>
      <c r="I226" s="58">
        <f t="shared" si="18"/>
        <v>126432.62654590179</v>
      </c>
    </row>
    <row r="227" spans="1:9" x14ac:dyDescent="0.25">
      <c r="A227" s="50">
        <f>'A) Base RI'!A229</f>
        <v>5760</v>
      </c>
      <c r="B227" s="33" t="str">
        <f>'A) Base RI'!B229</f>
        <v>Rances</v>
      </c>
      <c r="C227" s="100">
        <f>'A) Base RI'!AN229</f>
        <v>482</v>
      </c>
      <c r="D227" s="116">
        <f>'D) Ecrêtage'!N227</f>
        <v>23.709159130403943</v>
      </c>
      <c r="E227" s="35">
        <f t="shared" si="15"/>
        <v>21.354125305315645</v>
      </c>
      <c r="F227" s="283">
        <f t="shared" si="16"/>
        <v>216764.01764423473</v>
      </c>
      <c r="G227" s="34">
        <f>+'A) Base RI'!AM229</f>
        <v>78</v>
      </c>
      <c r="H227" s="284">
        <f t="shared" si="17"/>
        <v>1.1469301566675432</v>
      </c>
      <c r="I227" s="58">
        <f t="shared" si="18"/>
        <v>248613.18871658822</v>
      </c>
    </row>
    <row r="228" spans="1:9" x14ac:dyDescent="0.25">
      <c r="A228" s="50">
        <f>'A) Base RI'!A230</f>
        <v>5761</v>
      </c>
      <c r="B228" s="33" t="str">
        <f>'A) Base RI'!B230</f>
        <v>Romainmôtier-Envy</v>
      </c>
      <c r="C228" s="100">
        <f>'A) Base RI'!AN230</f>
        <v>540</v>
      </c>
      <c r="D228" s="116">
        <f>'D) Ecrêtage'!N228</f>
        <v>27.487731969904811</v>
      </c>
      <c r="E228" s="35">
        <f t="shared" si="15"/>
        <v>17.575552465814777</v>
      </c>
      <c r="F228" s="283">
        <f t="shared" si="16"/>
        <v>207563.75951077937</v>
      </c>
      <c r="G228" s="34">
        <f>+'A) Base RI'!AM230</f>
        <v>81</v>
      </c>
      <c r="H228" s="284">
        <f t="shared" si="17"/>
        <v>1.1910428550009102</v>
      </c>
      <c r="I228" s="58">
        <f t="shared" si="18"/>
        <v>247217.332722441</v>
      </c>
    </row>
    <row r="229" spans="1:9" x14ac:dyDescent="0.25">
      <c r="A229" s="50">
        <f>'A) Base RI'!A231</f>
        <v>5762</v>
      </c>
      <c r="B229" s="33" t="str">
        <f>'A) Base RI'!B231</f>
        <v>Sergey</v>
      </c>
      <c r="C229" s="100">
        <f>'A) Base RI'!AN231</f>
        <v>146</v>
      </c>
      <c r="D229" s="116">
        <f>'D) Ecrêtage'!N229</f>
        <v>26.144553916403225</v>
      </c>
      <c r="E229" s="35">
        <f t="shared" si="15"/>
        <v>18.918730519316362</v>
      </c>
      <c r="F229" s="283">
        <f t="shared" si="16"/>
        <v>58170.555851573183</v>
      </c>
      <c r="G229" s="34">
        <f>+'A) Base RI'!AM231</f>
        <v>78</v>
      </c>
      <c r="H229" s="284">
        <f t="shared" si="17"/>
        <v>1.1469301566675432</v>
      </c>
      <c r="I229" s="58">
        <f t="shared" si="18"/>
        <v>66717.564736282904</v>
      </c>
    </row>
    <row r="230" spans="1:9" x14ac:dyDescent="0.25">
      <c r="A230" s="50">
        <f>'A) Base RI'!A232</f>
        <v>5763</v>
      </c>
      <c r="B230" s="33" t="str">
        <f>'A) Base RI'!B232</f>
        <v>Valeyres-sous-Rances</v>
      </c>
      <c r="C230" s="100">
        <f>'A) Base RI'!AN232</f>
        <v>622</v>
      </c>
      <c r="D230" s="116">
        <f>'D) Ecrêtage'!N230</f>
        <v>33.831960178085581</v>
      </c>
      <c r="E230" s="35">
        <f t="shared" si="15"/>
        <v>11.231324257634007</v>
      </c>
      <c r="F230" s="283">
        <f t="shared" si="16"/>
        <v>122602.25872875859</v>
      </c>
      <c r="G230" s="34">
        <f>+'A) Base RI'!AM232</f>
        <v>65</v>
      </c>
      <c r="H230" s="284">
        <f t="shared" si="17"/>
        <v>0.95577513055628593</v>
      </c>
      <c r="I230" s="58">
        <f t="shared" si="18"/>
        <v>117180.1898429748</v>
      </c>
    </row>
    <row r="231" spans="1:9" x14ac:dyDescent="0.25">
      <c r="A231" s="50">
        <f>'A) Base RI'!A233</f>
        <v>5764</v>
      </c>
      <c r="B231" s="33" t="str">
        <f>'A) Base RI'!B233</f>
        <v>Vallorbe</v>
      </c>
      <c r="C231" s="100">
        <f>'A) Base RI'!AN233</f>
        <v>3852</v>
      </c>
      <c r="D231" s="116">
        <f>'D) Ecrêtage'!N231</f>
        <v>22.401117298965843</v>
      </c>
      <c r="E231" s="35">
        <f t="shared" si="15"/>
        <v>22.662167136753745</v>
      </c>
      <c r="F231" s="283">
        <f t="shared" si="16"/>
        <v>1720577.9025503837</v>
      </c>
      <c r="G231" s="34">
        <f>+'A) Base RI'!AM233</f>
        <v>73</v>
      </c>
      <c r="H231" s="284">
        <f t="shared" si="17"/>
        <v>1.0734089927785981</v>
      </c>
      <c r="I231" s="58">
        <f t="shared" si="18"/>
        <v>1846883.7933737203</v>
      </c>
    </row>
    <row r="232" spans="1:9" x14ac:dyDescent="0.25">
      <c r="A232" s="50">
        <f>'A) Base RI'!A234</f>
        <v>5765</v>
      </c>
      <c r="B232" s="33" t="str">
        <f>'A) Base RI'!B234</f>
        <v>Vaulion</v>
      </c>
      <c r="C232" s="100">
        <f>'A) Base RI'!AN234</f>
        <v>469</v>
      </c>
      <c r="D232" s="116">
        <f>'D) Ecrêtage'!N232</f>
        <v>20.980087130485135</v>
      </c>
      <c r="E232" s="35">
        <f t="shared" si="15"/>
        <v>24.083197305234453</v>
      </c>
      <c r="F232" s="283">
        <f t="shared" si="16"/>
        <v>247022.07725570895</v>
      </c>
      <c r="G232" s="34">
        <f>+'A) Base RI'!AM234</f>
        <v>81</v>
      </c>
      <c r="H232" s="284">
        <f t="shared" si="17"/>
        <v>1.1910428550009102</v>
      </c>
      <c r="I232" s="58">
        <f t="shared" si="18"/>
        <v>294213.88014289498</v>
      </c>
    </row>
    <row r="233" spans="1:9" x14ac:dyDescent="0.25">
      <c r="A233" s="50">
        <f>'A) Base RI'!A235</f>
        <v>5766</v>
      </c>
      <c r="B233" s="33" t="str">
        <f>'A) Base RI'!B235</f>
        <v>Vuiteboeuf</v>
      </c>
      <c r="C233" s="100">
        <f>'A) Base RI'!AN235</f>
        <v>584</v>
      </c>
      <c r="D233" s="116">
        <f>'D) Ecrêtage'!N233</f>
        <v>22.835645951406711</v>
      </c>
      <c r="E233" s="35">
        <f t="shared" si="15"/>
        <v>22.227638484312877</v>
      </c>
      <c r="F233" s="283">
        <f t="shared" si="16"/>
        <v>269873.76078789699</v>
      </c>
      <c r="G233" s="34">
        <f>+'A) Base RI'!AM235</f>
        <v>77</v>
      </c>
      <c r="H233" s="284">
        <f t="shared" si="17"/>
        <v>1.1322259238897541</v>
      </c>
      <c r="I233" s="58">
        <f t="shared" si="18"/>
        <v>305558.06814167916</v>
      </c>
    </row>
    <row r="234" spans="1:9" x14ac:dyDescent="0.25">
      <c r="A234" s="50">
        <f>'A) Base RI'!A236</f>
        <v>5785</v>
      </c>
      <c r="B234" s="33" t="str">
        <f>'A) Base RI'!B236</f>
        <v>Corcelles-le-Jorat</v>
      </c>
      <c r="C234" s="100">
        <f>'A) Base RI'!AN236</f>
        <v>445</v>
      </c>
      <c r="D234" s="116">
        <f>'D) Ecrêtage'!N234</f>
        <v>35.168497008609378</v>
      </c>
      <c r="E234" s="35">
        <f t="shared" si="15"/>
        <v>9.8947874271102094</v>
      </c>
      <c r="F234" s="283">
        <f t="shared" si="16"/>
        <v>91542.120621281458</v>
      </c>
      <c r="G234" s="34">
        <f>+'A) Base RI'!AM236</f>
        <v>77</v>
      </c>
      <c r="H234" s="284">
        <f t="shared" si="17"/>
        <v>1.1322259238897541</v>
      </c>
      <c r="I234" s="58">
        <f t="shared" si="18"/>
        <v>103646.3620952577</v>
      </c>
    </row>
    <row r="235" spans="1:9" x14ac:dyDescent="0.25">
      <c r="A235" s="50">
        <f>'A) Base RI'!A237</f>
        <v>5788</v>
      </c>
      <c r="B235" s="33" t="str">
        <f>'A) Base RI'!B237</f>
        <v>Essertes</v>
      </c>
      <c r="C235" s="100">
        <f>'A) Base RI'!AN237</f>
        <v>374</v>
      </c>
      <c r="D235" s="116">
        <f>'D) Ecrêtage'!N235</f>
        <v>31.950413324420676</v>
      </c>
      <c r="E235" s="35">
        <f t="shared" si="15"/>
        <v>13.112871111298912</v>
      </c>
      <c r="F235" s="283">
        <f t="shared" si="16"/>
        <v>95337.91618696542</v>
      </c>
      <c r="G235" s="34">
        <f>+'A) Base RI'!AM237</f>
        <v>72</v>
      </c>
      <c r="H235" s="284">
        <f t="shared" si="17"/>
        <v>1.058704760000809</v>
      </c>
      <c r="I235" s="58">
        <f t="shared" si="18"/>
        <v>100934.70567569847</v>
      </c>
    </row>
    <row r="236" spans="1:9" x14ac:dyDescent="0.25">
      <c r="A236" s="50">
        <f>'A) Base RI'!A238</f>
        <v>5790</v>
      </c>
      <c r="B236" s="33" t="str">
        <f>'A) Base RI'!B238</f>
        <v>Maracon</v>
      </c>
      <c r="C236" s="100">
        <f>'A) Base RI'!AN238</f>
        <v>492</v>
      </c>
      <c r="D236" s="116">
        <f>'D) Ecrêtage'!N236</f>
        <v>27.010470956354297</v>
      </c>
      <c r="E236" s="35">
        <f t="shared" si="15"/>
        <v>18.052813479365291</v>
      </c>
      <c r="F236" s="283">
        <f t="shared" si="16"/>
        <v>182258.31643751531</v>
      </c>
      <c r="G236" s="34">
        <f>+'A) Base RI'!AM238</f>
        <v>76</v>
      </c>
      <c r="H236" s="284">
        <f t="shared" si="17"/>
        <v>1.1175216911119652</v>
      </c>
      <c r="I236" s="58">
        <f t="shared" si="18"/>
        <v>203677.62200447181</v>
      </c>
    </row>
    <row r="237" spans="1:9" x14ac:dyDescent="0.25">
      <c r="A237" s="50">
        <f>'A) Base RI'!A239</f>
        <v>5792</v>
      </c>
      <c r="B237" s="33" t="str">
        <f>'A) Base RI'!B239</f>
        <v>Montpreveyres</v>
      </c>
      <c r="C237" s="100">
        <f>'A) Base RI'!AN239</f>
        <v>643</v>
      </c>
      <c r="D237" s="116">
        <f>'D) Ecrêtage'!N237</f>
        <v>29.165432328169498</v>
      </c>
      <c r="E237" s="35">
        <f t="shared" si="15"/>
        <v>15.89785210755009</v>
      </c>
      <c r="F237" s="283">
        <f t="shared" si="16"/>
        <v>212522.01003816642</v>
      </c>
      <c r="G237" s="34">
        <f>+'A) Base RI'!AM239</f>
        <v>77</v>
      </c>
      <c r="H237" s="284">
        <f t="shared" si="17"/>
        <v>1.1322259238897541</v>
      </c>
      <c r="I237" s="58">
        <f t="shared" si="18"/>
        <v>240622.92916237056</v>
      </c>
    </row>
    <row r="238" spans="1:9" x14ac:dyDescent="0.25">
      <c r="A238" s="50">
        <f>'A) Base RI'!A240</f>
        <v>5798</v>
      </c>
      <c r="B238" s="33" t="str">
        <f>'A) Base RI'!B240</f>
        <v>Ropraz</v>
      </c>
      <c r="C238" s="100">
        <f>'A) Base RI'!AN240</f>
        <v>494</v>
      </c>
      <c r="D238" s="116">
        <f>'D) Ecrêtage'!N238</f>
        <v>27.863844064254923</v>
      </c>
      <c r="E238" s="35">
        <f t="shared" si="15"/>
        <v>17.199440371464664</v>
      </c>
      <c r="F238" s="283">
        <f t="shared" si="16"/>
        <v>177789.75514781167</v>
      </c>
      <c r="G238" s="34">
        <f>+'A) Base RI'!AM240</f>
        <v>77.5</v>
      </c>
      <c r="H238" s="284">
        <f t="shared" si="17"/>
        <v>1.1395780402786486</v>
      </c>
      <c r="I238" s="58">
        <f t="shared" si="18"/>
        <v>202605.30075296399</v>
      </c>
    </row>
    <row r="239" spans="1:9" x14ac:dyDescent="0.25">
      <c r="A239" s="50">
        <f>'A) Base RI'!A241</f>
        <v>5799</v>
      </c>
      <c r="B239" s="33" t="str">
        <f>'A) Base RI'!B241</f>
        <v>Servion</v>
      </c>
      <c r="C239" s="100">
        <f>'A) Base RI'!AN241</f>
        <v>1942</v>
      </c>
      <c r="D239" s="116">
        <f>'D) Ecrêtage'!N239</f>
        <v>35.703394155136635</v>
      </c>
      <c r="E239" s="35">
        <f t="shared" si="15"/>
        <v>9.3598902805829525</v>
      </c>
      <c r="F239" s="283">
        <f t="shared" si="16"/>
        <v>338635.77601073968</v>
      </c>
      <c r="G239" s="34">
        <f>+'A) Base RI'!AM241</f>
        <v>69</v>
      </c>
      <c r="H239" s="284">
        <f t="shared" si="17"/>
        <v>1.014592061667442</v>
      </c>
      <c r="I239" s="58">
        <f t="shared" si="18"/>
        <v>343577.17013709043</v>
      </c>
    </row>
    <row r="240" spans="1:9" x14ac:dyDescent="0.25">
      <c r="A240" s="50">
        <f>'A) Base RI'!A242</f>
        <v>5803</v>
      </c>
      <c r="B240" s="33" t="str">
        <f>'A) Base RI'!B242</f>
        <v>Vulliens</v>
      </c>
      <c r="C240" s="100">
        <f>'A) Base RI'!AN242</f>
        <v>595</v>
      </c>
      <c r="D240" s="116">
        <f>'D) Ecrêtage'!N240</f>
        <v>27.932238526179699</v>
      </c>
      <c r="E240" s="35">
        <f t="shared" si="15"/>
        <v>17.131045909539889</v>
      </c>
      <c r="F240" s="283">
        <f t="shared" si="16"/>
        <v>214663.99697867149</v>
      </c>
      <c r="G240" s="34">
        <f>+'A) Base RI'!AM242</f>
        <v>78</v>
      </c>
      <c r="H240" s="284">
        <f t="shared" si="17"/>
        <v>1.1469301566675432</v>
      </c>
      <c r="I240" s="58">
        <f t="shared" si="18"/>
        <v>246204.61168562871</v>
      </c>
    </row>
    <row r="241" spans="1:9" x14ac:dyDescent="0.25">
      <c r="A241" s="50">
        <f>'A) Base RI'!A243</f>
        <v>5804</v>
      </c>
      <c r="B241" s="33" t="str">
        <f>'A) Base RI'!B243</f>
        <v>Jorat-Menthue</v>
      </c>
      <c r="C241" s="100">
        <f>'A) Base RI'!AN243</f>
        <v>1586</v>
      </c>
      <c r="D241" s="116">
        <f>'D) Ecrêtage'!N241</f>
        <v>29.987094542524876</v>
      </c>
      <c r="E241" s="35">
        <f t="shared" si="15"/>
        <v>15.076189893194712</v>
      </c>
      <c r="F241" s="283">
        <f t="shared" si="16"/>
        <v>464826.67459659651</v>
      </c>
      <c r="G241" s="34">
        <f>+'A) Base RI'!AM243</f>
        <v>72</v>
      </c>
      <c r="H241" s="284">
        <f t="shared" si="17"/>
        <v>1.058704760000809</v>
      </c>
      <c r="I241" s="58">
        <f t="shared" si="18"/>
        <v>492114.21297076385</v>
      </c>
    </row>
    <row r="242" spans="1:9" x14ac:dyDescent="0.25">
      <c r="A242" s="50">
        <f>'A) Base RI'!A244</f>
        <v>5805</v>
      </c>
      <c r="B242" s="33" t="str">
        <f>'A) Base RI'!B244</f>
        <v>Oron</v>
      </c>
      <c r="C242" s="100">
        <f>'A) Base RI'!AN244</f>
        <v>5501</v>
      </c>
      <c r="D242" s="116">
        <f>'D) Ecrêtage'!N242</f>
        <v>28.6028087790482</v>
      </c>
      <c r="E242" s="35">
        <f t="shared" si="15"/>
        <v>16.460475656671388</v>
      </c>
      <c r="F242" s="283">
        <f t="shared" si="16"/>
        <v>1686929.2968223179</v>
      </c>
      <c r="G242" s="34">
        <f>+'A) Base RI'!AM244</f>
        <v>69</v>
      </c>
      <c r="H242" s="284">
        <f t="shared" si="17"/>
        <v>1.014592061667442</v>
      </c>
      <c r="I242" s="58">
        <f t="shared" si="18"/>
        <v>1711545.0731501637</v>
      </c>
    </row>
    <row r="243" spans="1:9" x14ac:dyDescent="0.25">
      <c r="A243" s="50">
        <f>'A) Base RI'!A245</f>
        <v>5806</v>
      </c>
      <c r="B243" s="33" t="str">
        <f>'A) Base RI'!B245</f>
        <v>Jorat-Mézières</v>
      </c>
      <c r="C243" s="100">
        <f>'A) Base RI'!AN245</f>
        <v>2869</v>
      </c>
      <c r="D243" s="116">
        <f>'D) Ecrêtage'!N243</f>
        <v>31.568963099190992</v>
      </c>
      <c r="E243" s="35">
        <f t="shared" si="15"/>
        <v>13.494321336528596</v>
      </c>
      <c r="F243" s="283">
        <f t="shared" si="16"/>
        <v>794436.06640555116</v>
      </c>
      <c r="G243" s="34">
        <f>+'A) Base RI'!AM245</f>
        <v>76</v>
      </c>
      <c r="H243" s="284">
        <f t="shared" si="17"/>
        <v>1.1175216911119652</v>
      </c>
      <c r="I243" s="58">
        <f t="shared" si="18"/>
        <v>887799.53640986898</v>
      </c>
    </row>
    <row r="244" spans="1:9" x14ac:dyDescent="0.25">
      <c r="A244" s="50">
        <f>'A) Base RI'!A246</f>
        <v>5812</v>
      </c>
      <c r="B244" s="33" t="str">
        <f>'A) Base RI'!B246</f>
        <v>Champtauroz</v>
      </c>
      <c r="C244" s="100">
        <f>'A) Base RI'!AN246</f>
        <v>122</v>
      </c>
      <c r="D244" s="116">
        <f>'D) Ecrêtage'!N244</f>
        <v>19.878090802639989</v>
      </c>
      <c r="E244" s="35">
        <f t="shared" si="15"/>
        <v>25.185193633079599</v>
      </c>
      <c r="F244" s="283">
        <f t="shared" si="16"/>
        <v>63879.221427070443</v>
      </c>
      <c r="G244" s="34">
        <f>+'A) Base RI'!AM246</f>
        <v>77</v>
      </c>
      <c r="H244" s="284">
        <f t="shared" si="17"/>
        <v>1.1322259238897541</v>
      </c>
      <c r="I244" s="58">
        <f t="shared" si="18"/>
        <v>72325.710497623004</v>
      </c>
    </row>
    <row r="245" spans="1:9" x14ac:dyDescent="0.25">
      <c r="A245" s="50">
        <f>'A) Base RI'!A247</f>
        <v>5813</v>
      </c>
      <c r="B245" s="33" t="str">
        <f>'A) Base RI'!B247</f>
        <v>Chevroux</v>
      </c>
      <c r="C245" s="100">
        <f>'A) Base RI'!AN247</f>
        <v>480</v>
      </c>
      <c r="D245" s="116">
        <f>'D) Ecrêtage'!N245</f>
        <v>27.321031051587305</v>
      </c>
      <c r="E245" s="35">
        <f t="shared" si="15"/>
        <v>17.742253384132283</v>
      </c>
      <c r="F245" s="283">
        <f t="shared" si="16"/>
        <v>160957.7227008481</v>
      </c>
      <c r="G245" s="34">
        <f>+'A) Base RI'!AM247</f>
        <v>70</v>
      </c>
      <c r="H245" s="284">
        <f t="shared" si="17"/>
        <v>1.0292962944452311</v>
      </c>
      <c r="I245" s="58">
        <f t="shared" si="18"/>
        <v>165673.18753832599</v>
      </c>
    </row>
    <row r="246" spans="1:9" x14ac:dyDescent="0.25">
      <c r="A246" s="50">
        <f>'A) Base RI'!A248</f>
        <v>5816</v>
      </c>
      <c r="B246" s="33" t="str">
        <f>'A) Base RI'!B248</f>
        <v>Corcelles-près-Payerne</v>
      </c>
      <c r="C246" s="100">
        <f>'A) Base RI'!AN248</f>
        <v>2479</v>
      </c>
      <c r="D246" s="116">
        <f>'D) Ecrêtage'!N246</f>
        <v>22.689746833720712</v>
      </c>
      <c r="E246" s="35">
        <f t="shared" si="15"/>
        <v>22.373537601998876</v>
      </c>
      <c r="F246" s="283">
        <f t="shared" si="16"/>
        <v>1078220.1544665056</v>
      </c>
      <c r="G246" s="34">
        <f>+'A) Base RI'!AM248</f>
        <v>72</v>
      </c>
      <c r="H246" s="284">
        <f t="shared" si="17"/>
        <v>1.058704760000809</v>
      </c>
      <c r="I246" s="58">
        <f t="shared" si="18"/>
        <v>1141516.809862497</v>
      </c>
    </row>
    <row r="247" spans="1:9" x14ac:dyDescent="0.25">
      <c r="A247" s="50">
        <f>'A) Base RI'!A249</f>
        <v>5817</v>
      </c>
      <c r="B247" s="33" t="str">
        <f>'A) Base RI'!B249</f>
        <v>Grandcour</v>
      </c>
      <c r="C247" s="100">
        <f>'A) Base RI'!AN249</f>
        <v>929</v>
      </c>
      <c r="D247" s="116">
        <f>'D) Ecrêtage'!N247</f>
        <v>25.37501866271511</v>
      </c>
      <c r="E247" s="35">
        <f t="shared" si="15"/>
        <v>19.688265773004478</v>
      </c>
      <c r="F247" s="283">
        <f t="shared" si="16"/>
        <v>380257.39319588896</v>
      </c>
      <c r="G247" s="34">
        <f>+'A) Base RI'!AM249</f>
        <v>77</v>
      </c>
      <c r="H247" s="284">
        <f t="shared" si="17"/>
        <v>1.1322259238897541</v>
      </c>
      <c r="I247" s="58">
        <f t="shared" si="18"/>
        <v>430537.27832712483</v>
      </c>
    </row>
    <row r="248" spans="1:9" x14ac:dyDescent="0.25">
      <c r="A248" s="50">
        <f>'A) Base RI'!A250</f>
        <v>5819</v>
      </c>
      <c r="B248" s="33" t="str">
        <f>'A) Base RI'!B250</f>
        <v>Henniez</v>
      </c>
      <c r="C248" s="100">
        <f>'A) Base RI'!AN250</f>
        <v>341</v>
      </c>
      <c r="D248" s="116">
        <f>'D) Ecrêtage'!N248</f>
        <v>39.76099111734456</v>
      </c>
      <c r="E248" s="35">
        <f t="shared" si="15"/>
        <v>5.3022933183750283</v>
      </c>
      <c r="F248" s="283">
        <f t="shared" si="16"/>
        <v>33684.568061772428</v>
      </c>
      <c r="G248" s="34">
        <f>+'A) Base RI'!AM250</f>
        <v>69</v>
      </c>
      <c r="H248" s="284">
        <f t="shared" si="17"/>
        <v>1.014592061667442</v>
      </c>
      <c r="I248" s="58">
        <f t="shared" si="18"/>
        <v>34176.095356170961</v>
      </c>
    </row>
    <row r="249" spans="1:9" x14ac:dyDescent="0.25">
      <c r="A249" s="50">
        <f>'A) Base RI'!A251</f>
        <v>5821</v>
      </c>
      <c r="B249" s="33" t="str">
        <f>'A) Base RI'!B251</f>
        <v>Missy</v>
      </c>
      <c r="C249" s="100">
        <f>'A) Base RI'!AN251</f>
        <v>368</v>
      </c>
      <c r="D249" s="116">
        <f>'D) Ecrêtage'!N249</f>
        <v>23.379252339975842</v>
      </c>
      <c r="E249" s="35">
        <f t="shared" si="15"/>
        <v>21.684032095743746</v>
      </c>
      <c r="F249" s="283">
        <f t="shared" si="16"/>
        <v>155125.83089038308</v>
      </c>
      <c r="G249" s="34">
        <f>+'A) Base RI'!AM251</f>
        <v>72</v>
      </c>
      <c r="H249" s="284">
        <f t="shared" si="17"/>
        <v>1.058704760000809</v>
      </c>
      <c r="I249" s="58">
        <f t="shared" si="18"/>
        <v>164232.4555627291</v>
      </c>
    </row>
    <row r="250" spans="1:9" x14ac:dyDescent="0.25">
      <c r="A250" s="50">
        <f>'A) Base RI'!A252</f>
        <v>5822</v>
      </c>
      <c r="B250" s="33" t="str">
        <f>'A) Base RI'!B252</f>
        <v>Payerne</v>
      </c>
      <c r="C250" s="100">
        <f>'A) Base RI'!AN252</f>
        <v>9971</v>
      </c>
      <c r="D250" s="116">
        <f>'D) Ecrêtage'!N250</f>
        <v>25.004415993046504</v>
      </c>
      <c r="E250" s="35">
        <f t="shared" si="15"/>
        <v>20.058868442673084</v>
      </c>
      <c r="F250" s="283">
        <f t="shared" si="16"/>
        <v>4050141.2891483405</v>
      </c>
      <c r="G250" s="34">
        <f>+'A) Base RI'!AM252</f>
        <v>75</v>
      </c>
      <c r="H250" s="284">
        <f t="shared" si="17"/>
        <v>1.1028174583341761</v>
      </c>
      <c r="I250" s="58">
        <f t="shared" si="18"/>
        <v>4466566.5223928764</v>
      </c>
    </row>
    <row r="251" spans="1:9" x14ac:dyDescent="0.25">
      <c r="A251" s="50">
        <f>'A) Base RI'!A253</f>
        <v>5827</v>
      </c>
      <c r="B251" s="33" t="str">
        <f>'A) Base RI'!B253</f>
        <v>Trey</v>
      </c>
      <c r="C251" s="100">
        <f>'A) Base RI'!AN253</f>
        <v>267</v>
      </c>
      <c r="D251" s="116">
        <f>'D) Ecrêtage'!N251</f>
        <v>27.074382022471912</v>
      </c>
      <c r="E251" s="35">
        <f t="shared" si="15"/>
        <v>17.988902413247676</v>
      </c>
      <c r="F251" s="283">
        <f t="shared" si="16"/>
        <v>103745.59799768201</v>
      </c>
      <c r="G251" s="34">
        <f>+'A) Base RI'!AM253</f>
        <v>80</v>
      </c>
      <c r="H251" s="284">
        <f t="shared" si="17"/>
        <v>1.1763386222231211</v>
      </c>
      <c r="I251" s="58">
        <f t="shared" si="18"/>
        <v>122039.95381030705</v>
      </c>
    </row>
    <row r="252" spans="1:9" x14ac:dyDescent="0.25">
      <c r="A252" s="50">
        <f>'A) Base RI'!A254</f>
        <v>5828</v>
      </c>
      <c r="B252" s="33" t="str">
        <f>'A) Base RI'!B254</f>
        <v>Treytorrens (Payerne)</v>
      </c>
      <c r="C252" s="100">
        <f>'A) Base RI'!AN254</f>
        <v>119</v>
      </c>
      <c r="D252" s="116">
        <f>'D) Ecrêtage'!N252</f>
        <v>22.456190809657194</v>
      </c>
      <c r="E252" s="35">
        <f t="shared" si="15"/>
        <v>22.607093626062394</v>
      </c>
      <c r="F252" s="283">
        <f t="shared" si="16"/>
        <v>61014.737129252324</v>
      </c>
      <c r="G252" s="34">
        <f>+'A) Base RI'!AM254</f>
        <v>84</v>
      </c>
      <c r="H252" s="284">
        <f t="shared" si="17"/>
        <v>1.2351555533342773</v>
      </c>
      <c r="I252" s="58">
        <f t="shared" si="18"/>
        <v>75362.691400427124</v>
      </c>
    </row>
    <row r="253" spans="1:9" x14ac:dyDescent="0.25">
      <c r="A253" s="50">
        <f>'A) Base RI'!A255</f>
        <v>5830</v>
      </c>
      <c r="B253" s="33" t="str">
        <f>'A) Base RI'!B255</f>
        <v>Villarzel</v>
      </c>
      <c r="C253" s="100">
        <f>'A) Base RI'!AN255</f>
        <v>446</v>
      </c>
      <c r="D253" s="116">
        <f>'D) Ecrêtage'!N253</f>
        <v>27.214583356984729</v>
      </c>
      <c r="E253" s="35">
        <f t="shared" si="15"/>
        <v>17.848701078734859</v>
      </c>
      <c r="F253" s="283">
        <f t="shared" si="16"/>
        <v>169797.9061281989</v>
      </c>
      <c r="G253" s="34">
        <f>+'A) Base RI'!AM255</f>
        <v>79</v>
      </c>
      <c r="H253" s="284">
        <f t="shared" si="17"/>
        <v>1.1616343894453323</v>
      </c>
      <c r="I253" s="58">
        <f t="shared" si="18"/>
        <v>197243.08701432616</v>
      </c>
    </row>
    <row r="254" spans="1:9" x14ac:dyDescent="0.25">
      <c r="A254" s="50">
        <f>'A) Base RI'!A256</f>
        <v>5831</v>
      </c>
      <c r="B254" s="33" t="str">
        <f>'A) Base RI'!B256</f>
        <v>Valbroye</v>
      </c>
      <c r="C254" s="100">
        <f>'A) Base RI'!AN256</f>
        <v>3174</v>
      </c>
      <c r="D254" s="116">
        <f>'D) Ecrêtage'!N254</f>
        <v>27.082643798212064</v>
      </c>
      <c r="E254" s="35">
        <f t="shared" si="15"/>
        <v>17.980640637507523</v>
      </c>
      <c r="F254" s="283">
        <f t="shared" si="16"/>
        <v>1124860.6071877775</v>
      </c>
      <c r="G254" s="34">
        <f>+'A) Base RI'!AM256</f>
        <v>73</v>
      </c>
      <c r="H254" s="284">
        <f t="shared" si="17"/>
        <v>1.0734089927785981</v>
      </c>
      <c r="I254" s="58">
        <f t="shared" si="18"/>
        <v>1207435.4913777546</v>
      </c>
    </row>
    <row r="255" spans="1:9" x14ac:dyDescent="0.25">
      <c r="A255" s="50">
        <f>'A) Base RI'!A257</f>
        <v>5841</v>
      </c>
      <c r="B255" s="33" t="str">
        <f>'A) Base RI'!B257</f>
        <v>Château-d'Oex</v>
      </c>
      <c r="C255" s="100">
        <f>'A) Base RI'!AN257</f>
        <v>3460</v>
      </c>
      <c r="D255" s="116">
        <f>'D) Ecrêtage'!N255</f>
        <v>34.160958632216726</v>
      </c>
      <c r="E255" s="35">
        <f t="shared" si="15"/>
        <v>10.902325803502862</v>
      </c>
      <c r="F255" s="283">
        <f t="shared" si="16"/>
        <v>845351.07954748697</v>
      </c>
      <c r="G255" s="34">
        <f>+'A) Base RI'!AM257</f>
        <v>83</v>
      </c>
      <c r="H255" s="284">
        <f t="shared" si="17"/>
        <v>1.2204513205564882</v>
      </c>
      <c r="I255" s="58">
        <f t="shared" si="18"/>
        <v>1031709.8413675834</v>
      </c>
    </row>
    <row r="256" spans="1:9" x14ac:dyDescent="0.25">
      <c r="A256" s="50">
        <f>'A) Base RI'!A258</f>
        <v>5842</v>
      </c>
      <c r="B256" s="33" t="str">
        <f>'A) Base RI'!B258</f>
        <v>Rossinière</v>
      </c>
      <c r="C256" s="100">
        <f>'A) Base RI'!AN258</f>
        <v>548</v>
      </c>
      <c r="D256" s="116">
        <f>'D) Ecrêtage'!N256</f>
        <v>29.523510483313807</v>
      </c>
      <c r="E256" s="35">
        <f t="shared" si="15"/>
        <v>15.539773952405781</v>
      </c>
      <c r="F256" s="283">
        <f t="shared" si="16"/>
        <v>186240.46127383472</v>
      </c>
      <c r="G256" s="34">
        <f>+'A) Base RI'!AM258</f>
        <v>81</v>
      </c>
      <c r="H256" s="284">
        <f t="shared" si="17"/>
        <v>1.1910428550009102</v>
      </c>
      <c r="I256" s="58">
        <f t="shared" si="18"/>
        <v>221820.37071227457</v>
      </c>
    </row>
    <row r="257" spans="1:9" x14ac:dyDescent="0.25">
      <c r="A257" s="50">
        <f>'A) Base RI'!A259</f>
        <v>5843</v>
      </c>
      <c r="B257" s="33" t="str">
        <f>'A) Base RI'!B259</f>
        <v>Rougemont</v>
      </c>
      <c r="C257" s="100">
        <f>'A) Base RI'!AN259</f>
        <v>882</v>
      </c>
      <c r="D257" s="116">
        <f>'D) Ecrêtage'!N257</f>
        <v>96.879004311561175</v>
      </c>
      <c r="E257" s="35">
        <f t="shared" si="15"/>
        <v>0</v>
      </c>
      <c r="F257" s="283">
        <f t="shared" si="16"/>
        <v>0</v>
      </c>
      <c r="G257" s="34">
        <f>+'A) Base RI'!AM259</f>
        <v>74</v>
      </c>
      <c r="H257" s="284">
        <f t="shared" si="17"/>
        <v>1.088113225556387</v>
      </c>
      <c r="I257" s="58">
        <f t="shared" si="18"/>
        <v>0</v>
      </c>
    </row>
    <row r="258" spans="1:9" x14ac:dyDescent="0.25">
      <c r="A258" s="50">
        <f>'A) Base RI'!A260</f>
        <v>5851</v>
      </c>
      <c r="B258" s="33" t="str">
        <f>'A) Base RI'!B260</f>
        <v>Allaman</v>
      </c>
      <c r="C258" s="100">
        <f>'A) Base RI'!AN260</f>
        <v>434</v>
      </c>
      <c r="D258" s="116">
        <f>'D) Ecrêtage'!N258</f>
        <v>65.751245539540804</v>
      </c>
      <c r="E258" s="35">
        <f t="shared" si="15"/>
        <v>0</v>
      </c>
      <c r="F258" s="283">
        <f t="shared" si="16"/>
        <v>0</v>
      </c>
      <c r="G258" s="34">
        <f>+'A) Base RI'!AM260</f>
        <v>62</v>
      </c>
      <c r="H258" s="284">
        <f t="shared" si="17"/>
        <v>0.91166243222291887</v>
      </c>
      <c r="I258" s="58">
        <f t="shared" si="18"/>
        <v>0</v>
      </c>
    </row>
    <row r="259" spans="1:9" x14ac:dyDescent="0.25">
      <c r="A259" s="50">
        <f>'A) Base RI'!A261</f>
        <v>5852</v>
      </c>
      <c r="B259" s="33" t="str">
        <f>'A) Base RI'!B261</f>
        <v>Bursinel</v>
      </c>
      <c r="C259" s="100">
        <f>'A) Base RI'!AN261</f>
        <v>471</v>
      </c>
      <c r="D259" s="116">
        <f>'D) Ecrêtage'!N259</f>
        <v>78.474629534972706</v>
      </c>
      <c r="E259" s="35">
        <f t="shared" si="15"/>
        <v>0</v>
      </c>
      <c r="F259" s="283">
        <f t="shared" si="16"/>
        <v>0</v>
      </c>
      <c r="G259" s="34">
        <f>+'A) Base RI'!AM261</f>
        <v>65.5</v>
      </c>
      <c r="H259" s="284">
        <f t="shared" si="17"/>
        <v>0.96312724694518048</v>
      </c>
      <c r="I259" s="58">
        <f t="shared" si="18"/>
        <v>0</v>
      </c>
    </row>
    <row r="260" spans="1:9" x14ac:dyDescent="0.25">
      <c r="A260" s="50">
        <f>'A) Base RI'!A262</f>
        <v>5853</v>
      </c>
      <c r="B260" s="33" t="str">
        <f>'A) Base RI'!B262</f>
        <v>Bursins</v>
      </c>
      <c r="C260" s="100">
        <f>'A) Base RI'!AN262</f>
        <v>752</v>
      </c>
      <c r="D260" s="116">
        <f>'D) Ecrêtage'!N260</f>
        <v>48.996273224453091</v>
      </c>
      <c r="E260" s="35">
        <f t="shared" si="15"/>
        <v>0</v>
      </c>
      <c r="F260" s="283">
        <f t="shared" si="16"/>
        <v>0</v>
      </c>
      <c r="G260" s="34">
        <f>+'A) Base RI'!AM262</f>
        <v>71</v>
      </c>
      <c r="H260" s="284">
        <f t="shared" si="17"/>
        <v>1.0440005272230199</v>
      </c>
      <c r="I260" s="58">
        <f t="shared" si="18"/>
        <v>0</v>
      </c>
    </row>
    <row r="261" spans="1:9" x14ac:dyDescent="0.25">
      <c r="A261" s="50">
        <f>'A) Base RI'!A263</f>
        <v>5854</v>
      </c>
      <c r="B261" s="33" t="str">
        <f>'A) Base RI'!B263</f>
        <v>Burtigny</v>
      </c>
      <c r="C261" s="100">
        <f>'A) Base RI'!AN263</f>
        <v>391</v>
      </c>
      <c r="D261" s="116">
        <f>'D) Ecrêtage'!N261</f>
        <v>39.183971440750199</v>
      </c>
      <c r="E261" s="35">
        <f t="shared" si="15"/>
        <v>5.8793129949693892</v>
      </c>
      <c r="F261" s="283">
        <f t="shared" si="16"/>
        <v>49654.325830313472</v>
      </c>
      <c r="G261" s="34">
        <f>+'A) Base RI'!AM263</f>
        <v>80</v>
      </c>
      <c r="H261" s="284">
        <f t="shared" si="17"/>
        <v>1.1763386222231211</v>
      </c>
      <c r="I261" s="58">
        <f t="shared" si="18"/>
        <v>58410.301234648883</v>
      </c>
    </row>
    <row r="262" spans="1:9" x14ac:dyDescent="0.25">
      <c r="A262" s="50">
        <f>'A) Base RI'!A264</f>
        <v>5855</v>
      </c>
      <c r="B262" s="33" t="str">
        <f>'A) Base RI'!B264</f>
        <v>Dully</v>
      </c>
      <c r="C262" s="100">
        <f>'A) Base RI'!AN264</f>
        <v>635</v>
      </c>
      <c r="D262" s="116">
        <f>'D) Ecrêtage'!N262</f>
        <v>121.25335173170218</v>
      </c>
      <c r="E262" s="35">
        <f t="shared" ref="E262:E313" si="19">IF($D$314-D262&lt;0,0,$D$314-D262)</f>
        <v>0</v>
      </c>
      <c r="F262" s="283">
        <f t="shared" ref="F262:F313" si="20">(C262*E262*G262)*$E$4</f>
        <v>0</v>
      </c>
      <c r="G262" s="34">
        <f>+'A) Base RI'!AM264</f>
        <v>49</v>
      </c>
      <c r="H262" s="284">
        <f t="shared" ref="H262:H313" si="21">G262/$G$314</f>
        <v>0.72050740611166175</v>
      </c>
      <c r="I262" s="58">
        <f t="shared" ref="I262:I313" si="22">F262*H262</f>
        <v>0</v>
      </c>
    </row>
    <row r="263" spans="1:9" x14ac:dyDescent="0.25">
      <c r="A263" s="50">
        <f>'A) Base RI'!A265</f>
        <v>5856</v>
      </c>
      <c r="B263" s="33" t="str">
        <f>'A) Base RI'!B265</f>
        <v>Essertines-sur-Rolle</v>
      </c>
      <c r="C263" s="100">
        <f>'A) Base RI'!AN265</f>
        <v>726</v>
      </c>
      <c r="D263" s="116">
        <f>'D) Ecrêtage'!N263</f>
        <v>51.550917380302387</v>
      </c>
      <c r="E263" s="35">
        <f t="shared" si="19"/>
        <v>0</v>
      </c>
      <c r="F263" s="283">
        <f t="shared" si="20"/>
        <v>0</v>
      </c>
      <c r="G263" s="34">
        <f>+'A) Base RI'!AM265</f>
        <v>68</v>
      </c>
      <c r="H263" s="284">
        <f t="shared" si="21"/>
        <v>0.999887828889653</v>
      </c>
      <c r="I263" s="58">
        <f t="shared" si="22"/>
        <v>0</v>
      </c>
    </row>
    <row r="264" spans="1:9" x14ac:dyDescent="0.25">
      <c r="A264" s="50">
        <f>'A) Base RI'!A266</f>
        <v>5857</v>
      </c>
      <c r="B264" s="33" t="str">
        <f>'A) Base RI'!B266</f>
        <v>Gilly</v>
      </c>
      <c r="C264" s="100">
        <f>'A) Base RI'!AN266</f>
        <v>1324</v>
      </c>
      <c r="D264" s="116">
        <f>'D) Ecrêtage'!N264</f>
        <v>65.674518081231312</v>
      </c>
      <c r="E264" s="35">
        <f t="shared" si="19"/>
        <v>0</v>
      </c>
      <c r="F264" s="283">
        <f t="shared" si="20"/>
        <v>0</v>
      </c>
      <c r="G264" s="34">
        <f>+'A) Base RI'!AM266</f>
        <v>66</v>
      </c>
      <c r="H264" s="284">
        <f t="shared" si="21"/>
        <v>0.97047936333407503</v>
      </c>
      <c r="I264" s="58">
        <f t="shared" si="22"/>
        <v>0</v>
      </c>
    </row>
    <row r="265" spans="1:9" x14ac:dyDescent="0.25">
      <c r="A265" s="50">
        <f>'A) Base RI'!A267</f>
        <v>5858</v>
      </c>
      <c r="B265" s="33" t="str">
        <f>'A) Base RI'!B267</f>
        <v>Luins</v>
      </c>
      <c r="C265" s="100">
        <f>'A) Base RI'!AN267</f>
        <v>613</v>
      </c>
      <c r="D265" s="116">
        <f>'D) Ecrêtage'!N265</f>
        <v>68.51077249739842</v>
      </c>
      <c r="E265" s="35">
        <f t="shared" si="19"/>
        <v>0</v>
      </c>
      <c r="F265" s="283">
        <f t="shared" si="20"/>
        <v>0</v>
      </c>
      <c r="G265" s="34">
        <f>+'A) Base RI'!AM267</f>
        <v>60</v>
      </c>
      <c r="H265" s="284">
        <f t="shared" si="21"/>
        <v>0.88225396666734091</v>
      </c>
      <c r="I265" s="58">
        <f t="shared" si="22"/>
        <v>0</v>
      </c>
    </row>
    <row r="266" spans="1:9" x14ac:dyDescent="0.25">
      <c r="A266" s="50">
        <f>'A) Base RI'!A268</f>
        <v>5859</v>
      </c>
      <c r="B266" s="33" t="str">
        <f>'A) Base RI'!B268</f>
        <v>Mont-sur-Rolle</v>
      </c>
      <c r="C266" s="100">
        <f>'A) Base RI'!AN268</f>
        <v>2651</v>
      </c>
      <c r="D266" s="116">
        <f>'D) Ecrêtage'!N266</f>
        <v>53.91197870179613</v>
      </c>
      <c r="E266" s="35">
        <f t="shared" si="19"/>
        <v>0</v>
      </c>
      <c r="F266" s="283">
        <f t="shared" si="20"/>
        <v>0</v>
      </c>
      <c r="G266" s="34">
        <f>+'A) Base RI'!AM268</f>
        <v>65</v>
      </c>
      <c r="H266" s="284">
        <f t="shared" si="21"/>
        <v>0.95577513055628593</v>
      </c>
      <c r="I266" s="58">
        <f t="shared" si="22"/>
        <v>0</v>
      </c>
    </row>
    <row r="267" spans="1:9" x14ac:dyDescent="0.25">
      <c r="A267" s="50">
        <f>'A) Base RI'!A269</f>
        <v>5860</v>
      </c>
      <c r="B267" s="33" t="str">
        <f>'A) Base RI'!B269</f>
        <v>Perroy</v>
      </c>
      <c r="C267" s="100">
        <f>'A) Base RI'!AN269</f>
        <v>1542</v>
      </c>
      <c r="D267" s="116">
        <f>'D) Ecrêtage'!N267</f>
        <v>60.90489247854908</v>
      </c>
      <c r="E267" s="35">
        <f t="shared" si="19"/>
        <v>0</v>
      </c>
      <c r="F267" s="283">
        <f t="shared" si="20"/>
        <v>0</v>
      </c>
      <c r="G267" s="34">
        <f>+'A) Base RI'!AM269</f>
        <v>60</v>
      </c>
      <c r="H267" s="284">
        <f t="shared" si="21"/>
        <v>0.88225396666734091</v>
      </c>
      <c r="I267" s="58">
        <f t="shared" si="22"/>
        <v>0</v>
      </c>
    </row>
    <row r="268" spans="1:9" x14ac:dyDescent="0.25">
      <c r="A268" s="50">
        <f>'A) Base RI'!A270</f>
        <v>5861</v>
      </c>
      <c r="B268" s="33" t="str">
        <f>'A) Base RI'!B270</f>
        <v>Rolle</v>
      </c>
      <c r="C268" s="100">
        <f>'A) Base RI'!AN270</f>
        <v>6246</v>
      </c>
      <c r="D268" s="116">
        <f>'D) Ecrêtage'!N268</f>
        <v>93.480961494384431</v>
      </c>
      <c r="E268" s="35">
        <f t="shared" si="19"/>
        <v>0</v>
      </c>
      <c r="F268" s="283">
        <f t="shared" si="20"/>
        <v>0</v>
      </c>
      <c r="G268" s="34">
        <f>+'A) Base RI'!AM270</f>
        <v>59.5</v>
      </c>
      <c r="H268" s="284">
        <f t="shared" si="21"/>
        <v>0.87490185027844636</v>
      </c>
      <c r="I268" s="58">
        <f t="shared" si="22"/>
        <v>0</v>
      </c>
    </row>
    <row r="269" spans="1:9" x14ac:dyDescent="0.25">
      <c r="A269" s="50">
        <f>'A) Base RI'!A271</f>
        <v>5862</v>
      </c>
      <c r="B269" s="33" t="str">
        <f>'A) Base RI'!B271</f>
        <v>Tartegnin</v>
      </c>
      <c r="C269" s="100">
        <f>'A) Base RI'!AN271</f>
        <v>246</v>
      </c>
      <c r="D269" s="116">
        <f>'D) Ecrêtage'!N269</f>
        <v>50.041618990263984</v>
      </c>
      <c r="E269" s="35">
        <f t="shared" si="19"/>
        <v>0</v>
      </c>
      <c r="F269" s="283">
        <f t="shared" si="20"/>
        <v>0</v>
      </c>
      <c r="G269" s="34">
        <f>+'A) Base RI'!AM271</f>
        <v>81</v>
      </c>
      <c r="H269" s="284">
        <f t="shared" si="21"/>
        <v>1.1910428550009102</v>
      </c>
      <c r="I269" s="58">
        <f t="shared" si="22"/>
        <v>0</v>
      </c>
    </row>
    <row r="270" spans="1:9" x14ac:dyDescent="0.25">
      <c r="A270" s="50">
        <f>'A) Base RI'!A272</f>
        <v>5863</v>
      </c>
      <c r="B270" s="33" t="str">
        <f>'A) Base RI'!B272</f>
        <v>Vinzel</v>
      </c>
      <c r="C270" s="100">
        <f>'A) Base RI'!AN272</f>
        <v>358</v>
      </c>
      <c r="D270" s="116">
        <f>'D) Ecrêtage'!N270</f>
        <v>61.526774055867612</v>
      </c>
      <c r="E270" s="35">
        <f t="shared" si="19"/>
        <v>0</v>
      </c>
      <c r="F270" s="283">
        <f t="shared" si="20"/>
        <v>0</v>
      </c>
      <c r="G270" s="34">
        <f>+'A) Base RI'!AM272</f>
        <v>67</v>
      </c>
      <c r="H270" s="284">
        <f t="shared" si="21"/>
        <v>0.98518359611186401</v>
      </c>
      <c r="I270" s="58">
        <f t="shared" si="22"/>
        <v>0</v>
      </c>
    </row>
    <row r="271" spans="1:9" x14ac:dyDescent="0.25">
      <c r="A271" s="50">
        <f>'A) Base RI'!A273</f>
        <v>5871</v>
      </c>
      <c r="B271" s="33" t="str">
        <f>'A) Base RI'!B273</f>
        <v>L'Abbaye</v>
      </c>
      <c r="C271" s="100">
        <f>'A) Base RI'!AN273</f>
        <v>1481</v>
      </c>
      <c r="D271" s="116">
        <f>'D) Ecrêtage'!N271</f>
        <v>30.133620609468739</v>
      </c>
      <c r="E271" s="35">
        <f t="shared" si="19"/>
        <v>14.929663826250849</v>
      </c>
      <c r="F271" s="283">
        <f t="shared" si="20"/>
        <v>461534.87656262825</v>
      </c>
      <c r="G271" s="34">
        <f>+'A) Base RI'!AM273</f>
        <v>77.31</v>
      </c>
      <c r="H271" s="284">
        <f t="shared" si="21"/>
        <v>1.1367842360508689</v>
      </c>
      <c r="I271" s="58">
        <f t="shared" si="22"/>
        <v>524665.57206407946</v>
      </c>
    </row>
    <row r="272" spans="1:9" x14ac:dyDescent="0.25">
      <c r="A272" s="50">
        <f>'A) Base RI'!A274</f>
        <v>5872</v>
      </c>
      <c r="B272" s="33" t="str">
        <f>'A) Base RI'!B274</f>
        <v>Le Chenit</v>
      </c>
      <c r="C272" s="100">
        <f>'A) Base RI'!AN274</f>
        <v>4605</v>
      </c>
      <c r="D272" s="116">
        <f>'D) Ecrêtage'!N272</f>
        <v>42.530963902696001</v>
      </c>
      <c r="E272" s="35">
        <f t="shared" si="19"/>
        <v>2.5323205330235865</v>
      </c>
      <c r="F272" s="283">
        <f t="shared" si="20"/>
        <v>214479.95725013982</v>
      </c>
      <c r="G272" s="34">
        <f>+'A) Base RI'!AM274</f>
        <v>68.12</v>
      </c>
      <c r="H272" s="284">
        <f t="shared" si="21"/>
        <v>1.0016523368229877</v>
      </c>
      <c r="I272" s="58">
        <f t="shared" si="22"/>
        <v>214834.35038129706</v>
      </c>
    </row>
    <row r="273" spans="1:9" x14ac:dyDescent="0.25">
      <c r="A273" s="50">
        <f>'A) Base RI'!A275</f>
        <v>5873</v>
      </c>
      <c r="B273" s="33" t="str">
        <f>'A) Base RI'!B275</f>
        <v>Le Lieu</v>
      </c>
      <c r="C273" s="100">
        <f>'A) Base RI'!AN275</f>
        <v>875</v>
      </c>
      <c r="D273" s="116">
        <f>'D) Ecrêtage'!N273</f>
        <v>36.186555374149656</v>
      </c>
      <c r="E273" s="35">
        <f t="shared" si="19"/>
        <v>8.8767290615699324</v>
      </c>
      <c r="F273" s="283">
        <f t="shared" si="20"/>
        <v>146798.90685571279</v>
      </c>
      <c r="G273" s="34">
        <f>+'A) Base RI'!AM275</f>
        <v>70</v>
      </c>
      <c r="H273" s="284">
        <f t="shared" si="21"/>
        <v>1.0292962944452311</v>
      </c>
      <c r="I273" s="58">
        <f t="shared" si="22"/>
        <v>151099.57085519581</v>
      </c>
    </row>
    <row r="274" spans="1:9" x14ac:dyDescent="0.25">
      <c r="A274" s="50">
        <f>'A) Base RI'!A276</f>
        <v>5881</v>
      </c>
      <c r="B274" s="33" t="str">
        <f>'A) Base RI'!B276</f>
        <v>Blonay</v>
      </c>
      <c r="C274" s="100">
        <f>'A) Base RI'!AN276</f>
        <v>6175</v>
      </c>
      <c r="D274" s="116">
        <f>'D) Ecrêtage'!N274</f>
        <v>54.003486454598018</v>
      </c>
      <c r="E274" s="35">
        <f t="shared" si="19"/>
        <v>0</v>
      </c>
      <c r="F274" s="283">
        <f t="shared" si="20"/>
        <v>0</v>
      </c>
      <c r="G274" s="34">
        <f>+'A) Base RI'!AM276</f>
        <v>70</v>
      </c>
      <c r="H274" s="284">
        <f t="shared" si="21"/>
        <v>1.0292962944452311</v>
      </c>
      <c r="I274" s="58">
        <f t="shared" si="22"/>
        <v>0</v>
      </c>
    </row>
    <row r="275" spans="1:9" x14ac:dyDescent="0.25">
      <c r="A275" s="50">
        <f>'A) Base RI'!A277</f>
        <v>5882</v>
      </c>
      <c r="B275" s="33" t="str">
        <f>'A) Base RI'!B277</f>
        <v>Chardonne</v>
      </c>
      <c r="C275" s="100">
        <f>'A) Base RI'!AN277</f>
        <v>2941</v>
      </c>
      <c r="D275" s="116">
        <f>'D) Ecrêtage'!N275</f>
        <v>54.885984759085545</v>
      </c>
      <c r="E275" s="35">
        <f t="shared" si="19"/>
        <v>0</v>
      </c>
      <c r="F275" s="283">
        <f t="shared" si="20"/>
        <v>0</v>
      </c>
      <c r="G275" s="34">
        <f>+'A) Base RI'!AM277</f>
        <v>68</v>
      </c>
      <c r="H275" s="284">
        <f t="shared" si="21"/>
        <v>0.999887828889653</v>
      </c>
      <c r="I275" s="58">
        <f t="shared" si="22"/>
        <v>0</v>
      </c>
    </row>
    <row r="276" spans="1:9" x14ac:dyDescent="0.25">
      <c r="A276" s="50">
        <f>'A) Base RI'!A278</f>
        <v>5883</v>
      </c>
      <c r="B276" s="33" t="str">
        <f>'A) Base RI'!B278</f>
        <v>Corseaux</v>
      </c>
      <c r="C276" s="100">
        <f>'A) Base RI'!AN278</f>
        <v>2282</v>
      </c>
      <c r="D276" s="116">
        <f>'D) Ecrêtage'!N276</f>
        <v>66.178153026028312</v>
      </c>
      <c r="E276" s="35">
        <f t="shared" si="19"/>
        <v>0</v>
      </c>
      <c r="F276" s="283">
        <f t="shared" si="20"/>
        <v>0</v>
      </c>
      <c r="G276" s="34">
        <f>+'A) Base RI'!AM278</f>
        <v>69</v>
      </c>
      <c r="H276" s="284">
        <f t="shared" si="21"/>
        <v>1.014592061667442</v>
      </c>
      <c r="I276" s="58">
        <f t="shared" si="22"/>
        <v>0</v>
      </c>
    </row>
    <row r="277" spans="1:9" x14ac:dyDescent="0.25">
      <c r="A277" s="50">
        <f>'A) Base RI'!A279</f>
        <v>5884</v>
      </c>
      <c r="B277" s="33" t="str">
        <f>'A) Base RI'!B279</f>
        <v>Corsier-sur-Vevey</v>
      </c>
      <c r="C277" s="100">
        <f>'A) Base RI'!AN279</f>
        <v>3386</v>
      </c>
      <c r="D277" s="116">
        <f>'D) Ecrêtage'!N277</f>
        <v>35.177506279570665</v>
      </c>
      <c r="E277" s="35">
        <f t="shared" si="19"/>
        <v>9.8857781561489233</v>
      </c>
      <c r="F277" s="283">
        <f t="shared" si="20"/>
        <v>596493.22299035487</v>
      </c>
      <c r="G277" s="34">
        <f>+'A) Base RI'!AM279</f>
        <v>66</v>
      </c>
      <c r="H277" s="284">
        <f t="shared" si="21"/>
        <v>0.97047936333407503</v>
      </c>
      <c r="I277" s="58">
        <f t="shared" si="22"/>
        <v>578884.36328077002</v>
      </c>
    </row>
    <row r="278" spans="1:9" x14ac:dyDescent="0.25">
      <c r="A278" s="50">
        <f>'A) Base RI'!A280</f>
        <v>5885</v>
      </c>
      <c r="B278" s="33" t="str">
        <f>'A) Base RI'!B280</f>
        <v>Jongny</v>
      </c>
      <c r="C278" s="100">
        <f>'A) Base RI'!AN280</f>
        <v>1536</v>
      </c>
      <c r="D278" s="116">
        <f>'D) Ecrêtage'!N278</f>
        <v>54.560847439236113</v>
      </c>
      <c r="E278" s="35">
        <f t="shared" si="19"/>
        <v>0</v>
      </c>
      <c r="F278" s="283">
        <f t="shared" si="20"/>
        <v>0</v>
      </c>
      <c r="G278" s="34">
        <f>+'A) Base RI'!AM280</f>
        <v>71</v>
      </c>
      <c r="H278" s="284">
        <f t="shared" si="21"/>
        <v>1.0440005272230199</v>
      </c>
      <c r="I278" s="58">
        <f t="shared" si="22"/>
        <v>0</v>
      </c>
    </row>
    <row r="279" spans="1:9" x14ac:dyDescent="0.25">
      <c r="A279" s="50">
        <f>'A) Base RI'!A281</f>
        <v>5886</v>
      </c>
      <c r="B279" s="33" t="str">
        <f>'A) Base RI'!B281</f>
        <v>Montreux</v>
      </c>
      <c r="C279" s="100">
        <f>'A) Base RI'!AN281</f>
        <v>26006</v>
      </c>
      <c r="D279" s="116">
        <f>'D) Ecrêtage'!N279</f>
        <v>43.103484059891507</v>
      </c>
      <c r="E279" s="35">
        <f t="shared" si="19"/>
        <v>1.9598003758280811</v>
      </c>
      <c r="F279" s="283">
        <f t="shared" si="20"/>
        <v>894463.27846992819</v>
      </c>
      <c r="G279" s="34">
        <f>+'A) Base RI'!AM281</f>
        <v>65</v>
      </c>
      <c r="H279" s="284">
        <f t="shared" si="21"/>
        <v>0.95577513055628593</v>
      </c>
      <c r="I279" s="58">
        <f t="shared" si="22"/>
        <v>854905.75675739918</v>
      </c>
    </row>
    <row r="280" spans="1:9" x14ac:dyDescent="0.25">
      <c r="A280" s="50">
        <f>'A) Base RI'!A282</f>
        <v>5888</v>
      </c>
      <c r="B280" s="33" t="str">
        <f>'A) Base RI'!B282</f>
        <v>Saint-Légier-La Chiésaz</v>
      </c>
      <c r="C280" s="100">
        <f>'A) Base RI'!AN282</f>
        <v>5185</v>
      </c>
      <c r="D280" s="116">
        <f>'D) Ecrêtage'!N280</f>
        <v>60.397777504239407</v>
      </c>
      <c r="E280" s="35">
        <f t="shared" si="19"/>
        <v>0</v>
      </c>
      <c r="F280" s="283">
        <f t="shared" si="20"/>
        <v>0</v>
      </c>
      <c r="G280" s="34">
        <f>+'A) Base RI'!AM282</f>
        <v>70</v>
      </c>
      <c r="H280" s="284">
        <f t="shared" si="21"/>
        <v>1.0292962944452311</v>
      </c>
      <c r="I280" s="58">
        <f t="shared" si="22"/>
        <v>0</v>
      </c>
    </row>
    <row r="281" spans="1:9" x14ac:dyDescent="0.25">
      <c r="A281" s="50">
        <f>'A) Base RI'!A283</f>
        <v>5889</v>
      </c>
      <c r="B281" s="33" t="str">
        <f>'A) Base RI'!B283</f>
        <v>La Tour-de-Peilz</v>
      </c>
      <c r="C281" s="100">
        <f>'A) Base RI'!AN283</f>
        <v>11871</v>
      </c>
      <c r="D281" s="116">
        <f>'D) Ecrêtage'!N281</f>
        <v>54.3837965419931</v>
      </c>
      <c r="E281" s="35">
        <f t="shared" si="19"/>
        <v>0</v>
      </c>
      <c r="F281" s="283">
        <f t="shared" si="20"/>
        <v>0</v>
      </c>
      <c r="G281" s="34">
        <f>+'A) Base RI'!AM283</f>
        <v>64</v>
      </c>
      <c r="H281" s="284">
        <f t="shared" si="21"/>
        <v>0.94107089777849695</v>
      </c>
      <c r="I281" s="58">
        <f t="shared" si="22"/>
        <v>0</v>
      </c>
    </row>
    <row r="282" spans="1:9" x14ac:dyDescent="0.25">
      <c r="A282" s="50">
        <f>'A) Base RI'!A284</f>
        <v>5890</v>
      </c>
      <c r="B282" s="33" t="str">
        <f>'A) Base RI'!B284</f>
        <v>Vevey</v>
      </c>
      <c r="C282" s="100">
        <f>'A) Base RI'!AN284</f>
        <v>19904</v>
      </c>
      <c r="D282" s="116">
        <f>'D) Ecrêtage'!N282</f>
        <v>46.413559625676932</v>
      </c>
      <c r="E282" s="35">
        <f t="shared" si="19"/>
        <v>0</v>
      </c>
      <c r="F282" s="283">
        <f t="shared" si="20"/>
        <v>0</v>
      </c>
      <c r="G282" s="34">
        <f>+'A) Base RI'!AM284</f>
        <v>76</v>
      </c>
      <c r="H282" s="284">
        <f t="shared" si="21"/>
        <v>1.1175216911119652</v>
      </c>
      <c r="I282" s="58">
        <f t="shared" si="22"/>
        <v>0</v>
      </c>
    </row>
    <row r="283" spans="1:9" x14ac:dyDescent="0.25">
      <c r="A283" s="50">
        <f>'A) Base RI'!A285</f>
        <v>5891</v>
      </c>
      <c r="B283" s="33" t="str">
        <f>'A) Base RI'!B285</f>
        <v>Veytaux</v>
      </c>
      <c r="C283" s="100">
        <f>'A) Base RI'!AN285</f>
        <v>884</v>
      </c>
      <c r="D283" s="116">
        <f>'D) Ecrêtage'!N283</f>
        <v>42.38487460964884</v>
      </c>
      <c r="E283" s="35">
        <f t="shared" si="19"/>
        <v>2.6784098260707481</v>
      </c>
      <c r="F283" s="283">
        <f t="shared" si="20"/>
        <v>45389.082867346195</v>
      </c>
      <c r="G283" s="34">
        <f>+'A) Base RI'!AM285</f>
        <v>71</v>
      </c>
      <c r="H283" s="284">
        <f t="shared" si="21"/>
        <v>1.0440005272230199</v>
      </c>
      <c r="I283" s="58">
        <f t="shared" si="22"/>
        <v>47386.226443678766</v>
      </c>
    </row>
    <row r="284" spans="1:9" x14ac:dyDescent="0.25">
      <c r="A284" s="50">
        <f>'A) Base RI'!A286</f>
        <v>5902</v>
      </c>
      <c r="B284" s="33" t="str">
        <f>'A) Base RI'!B286</f>
        <v>Belmont-sur-Yverdon</v>
      </c>
      <c r="C284" s="100">
        <f>'A) Base RI'!AN286</f>
        <v>384</v>
      </c>
      <c r="D284" s="116">
        <f>'D) Ecrêtage'!N284</f>
        <v>26.881386718750004</v>
      </c>
      <c r="E284" s="35">
        <f t="shared" si="19"/>
        <v>18.181897716969583</v>
      </c>
      <c r="F284" s="283">
        <f t="shared" si="20"/>
        <v>143267.5358024509</v>
      </c>
      <c r="G284" s="34">
        <f>+'A) Base RI'!AM286</f>
        <v>76</v>
      </c>
      <c r="H284" s="284">
        <f t="shared" si="21"/>
        <v>1.1175216911119652</v>
      </c>
      <c r="I284" s="58">
        <f t="shared" si="22"/>
        <v>160104.57889139897</v>
      </c>
    </row>
    <row r="285" spans="1:9" x14ac:dyDescent="0.25">
      <c r="A285" s="50">
        <f>'A) Base RI'!A287</f>
        <v>5903</v>
      </c>
      <c r="B285" s="33" t="str">
        <f>'A) Base RI'!B287</f>
        <v>Bioley-Magnoux</v>
      </c>
      <c r="C285" s="100">
        <f>'A) Base RI'!AN287</f>
        <v>225</v>
      </c>
      <c r="D285" s="116">
        <f>'D) Ecrêtage'!N285</f>
        <v>24.412979064779066</v>
      </c>
      <c r="E285" s="35">
        <f t="shared" si="19"/>
        <v>20.650305370940522</v>
      </c>
      <c r="F285" s="283">
        <f t="shared" si="20"/>
        <v>92833.447795063126</v>
      </c>
      <c r="G285" s="34">
        <f>+'A) Base RI'!AM287</f>
        <v>74</v>
      </c>
      <c r="H285" s="284">
        <f t="shared" si="21"/>
        <v>1.088113225556387</v>
      </c>
      <c r="I285" s="58">
        <f t="shared" si="22"/>
        <v>101013.30231980661</v>
      </c>
    </row>
    <row r="286" spans="1:9" x14ac:dyDescent="0.25">
      <c r="A286" s="50">
        <f>'A) Base RI'!A288</f>
        <v>5904</v>
      </c>
      <c r="B286" s="33" t="str">
        <f>'A) Base RI'!B288</f>
        <v>Chamblon</v>
      </c>
      <c r="C286" s="100">
        <f>'A) Base RI'!AN288</f>
        <v>542</v>
      </c>
      <c r="D286" s="116">
        <f>'D) Ecrêtage'!N286</f>
        <v>36.976517108352908</v>
      </c>
      <c r="E286" s="35">
        <f t="shared" si="19"/>
        <v>8.0867673273666796</v>
      </c>
      <c r="F286" s="283">
        <f t="shared" si="20"/>
        <v>78105.557025331436</v>
      </c>
      <c r="G286" s="34">
        <f>+'A) Base RI'!AM288</f>
        <v>66</v>
      </c>
      <c r="H286" s="284">
        <f t="shared" si="21"/>
        <v>0.97047936333407503</v>
      </c>
      <c r="I286" s="58">
        <f t="shared" si="22"/>
        <v>75799.83125479694</v>
      </c>
    </row>
    <row r="287" spans="1:9" x14ac:dyDescent="0.25">
      <c r="A287" s="50">
        <f>'A) Base RI'!A289</f>
        <v>5905</v>
      </c>
      <c r="B287" s="33" t="str">
        <f>'A) Base RI'!B289</f>
        <v>Champvent</v>
      </c>
      <c r="C287" s="100">
        <f>'A) Base RI'!AN289</f>
        <v>685</v>
      </c>
      <c r="D287" s="116">
        <f>'D) Ecrêtage'!N287</f>
        <v>35.185940783386449</v>
      </c>
      <c r="E287" s="35">
        <f t="shared" si="19"/>
        <v>9.8773436523331384</v>
      </c>
      <c r="F287" s="283">
        <f t="shared" si="20"/>
        <v>129703.84430343</v>
      </c>
      <c r="G287" s="34">
        <f>+'A) Base RI'!AM289</f>
        <v>71</v>
      </c>
      <c r="H287" s="284">
        <f t="shared" si="21"/>
        <v>1.0440005272230199</v>
      </c>
      <c r="I287" s="58">
        <f t="shared" si="22"/>
        <v>135410.88183563342</v>
      </c>
    </row>
    <row r="288" spans="1:9" x14ac:dyDescent="0.25">
      <c r="A288" s="50">
        <f>'A) Base RI'!A290</f>
        <v>5907</v>
      </c>
      <c r="B288" s="33" t="str">
        <f>'A) Base RI'!B290</f>
        <v>Chavannes-le-Chêne</v>
      </c>
      <c r="C288" s="100">
        <f>'A) Base RI'!AN290</f>
        <v>308</v>
      </c>
      <c r="D288" s="116">
        <f>'D) Ecrêtage'!N288</f>
        <v>26.204775641025634</v>
      </c>
      <c r="E288" s="35">
        <f t="shared" si="19"/>
        <v>18.858508794693954</v>
      </c>
      <c r="F288" s="283">
        <f t="shared" si="20"/>
        <v>122325.34012660645</v>
      </c>
      <c r="G288" s="34">
        <f>+'A) Base RI'!AM290</f>
        <v>78</v>
      </c>
      <c r="H288" s="284">
        <f t="shared" si="21"/>
        <v>1.1469301566675432</v>
      </c>
      <c r="I288" s="58">
        <f t="shared" si="22"/>
        <v>140298.62151581925</v>
      </c>
    </row>
    <row r="289" spans="1:9" x14ac:dyDescent="0.25">
      <c r="A289" s="50">
        <f>'A) Base RI'!A291</f>
        <v>5908</v>
      </c>
      <c r="B289" s="33" t="str">
        <f>'A) Base RI'!B291</f>
        <v>Chêne-Pâquier</v>
      </c>
      <c r="C289" s="100">
        <f>'A) Base RI'!AN291</f>
        <v>141</v>
      </c>
      <c r="D289" s="116">
        <f>'D) Ecrêtage'!N289</f>
        <v>22.16723404255319</v>
      </c>
      <c r="E289" s="35">
        <f t="shared" si="19"/>
        <v>22.896050393166398</v>
      </c>
      <c r="F289" s="283">
        <f t="shared" si="20"/>
        <v>68860.558438959735</v>
      </c>
      <c r="G289" s="34">
        <f>+'A) Base RI'!AM291</f>
        <v>79</v>
      </c>
      <c r="H289" s="284">
        <f t="shared" si="21"/>
        <v>1.1616343894453323</v>
      </c>
      <c r="I289" s="58">
        <f t="shared" si="22"/>
        <v>79990.792759105607</v>
      </c>
    </row>
    <row r="290" spans="1:9" x14ac:dyDescent="0.25">
      <c r="A290" s="50">
        <f>'A) Base RI'!A292</f>
        <v>5909</v>
      </c>
      <c r="B290" s="33" t="str">
        <f>'A) Base RI'!B292</f>
        <v>Cheseaux-Noréaz</v>
      </c>
      <c r="C290" s="100">
        <f>'A) Base RI'!AN292</f>
        <v>721</v>
      </c>
      <c r="D290" s="116">
        <f>'D) Ecrêtage'!N290</f>
        <v>45.441516544481878</v>
      </c>
      <c r="E290" s="35">
        <f t="shared" si="19"/>
        <v>0</v>
      </c>
      <c r="F290" s="283">
        <f t="shared" si="20"/>
        <v>0</v>
      </c>
      <c r="G290" s="34">
        <f>+'A) Base RI'!AM292</f>
        <v>70</v>
      </c>
      <c r="H290" s="284">
        <f t="shared" si="21"/>
        <v>1.0292962944452311</v>
      </c>
      <c r="I290" s="58">
        <f t="shared" si="22"/>
        <v>0</v>
      </c>
    </row>
    <row r="291" spans="1:9" x14ac:dyDescent="0.25">
      <c r="A291" s="50">
        <f>'A) Base RI'!A293</f>
        <v>5910</v>
      </c>
      <c r="B291" s="33" t="str">
        <f>'A) Base RI'!B293</f>
        <v>Cronay</v>
      </c>
      <c r="C291" s="100">
        <f>'A) Base RI'!AN293</f>
        <v>385</v>
      </c>
      <c r="D291" s="116">
        <f>'D) Ecrêtage'!N291</f>
        <v>25.07325957586718</v>
      </c>
      <c r="E291" s="35">
        <f t="shared" si="19"/>
        <v>19.990024859852408</v>
      </c>
      <c r="F291" s="283">
        <f t="shared" si="20"/>
        <v>164159.08365035098</v>
      </c>
      <c r="G291" s="34">
        <f>+'A) Base RI'!AM293</f>
        <v>79</v>
      </c>
      <c r="H291" s="284">
        <f t="shared" si="21"/>
        <v>1.1616343894453323</v>
      </c>
      <c r="I291" s="58">
        <f t="shared" si="22"/>
        <v>190692.83690808067</v>
      </c>
    </row>
    <row r="292" spans="1:9" x14ac:dyDescent="0.25">
      <c r="A292" s="50">
        <f>'A) Base RI'!A294</f>
        <v>5911</v>
      </c>
      <c r="B292" s="33" t="str">
        <f>'A) Base RI'!B294</f>
        <v>Cuarny</v>
      </c>
      <c r="C292" s="100">
        <f>'A) Base RI'!AN294</f>
        <v>243</v>
      </c>
      <c r="D292" s="116">
        <f>'D) Ecrêtage'!N292</f>
        <v>28.381994061572115</v>
      </c>
      <c r="E292" s="35">
        <f t="shared" si="19"/>
        <v>16.681290374147473</v>
      </c>
      <c r="F292" s="283">
        <f t="shared" si="20"/>
        <v>86462.297454377447</v>
      </c>
      <c r="G292" s="34">
        <f>+'A) Base RI'!AM294</f>
        <v>79</v>
      </c>
      <c r="H292" s="284">
        <f t="shared" si="21"/>
        <v>1.1616343894453323</v>
      </c>
      <c r="I292" s="58">
        <f t="shared" si="22"/>
        <v>100437.57811345645</v>
      </c>
    </row>
    <row r="293" spans="1:9" x14ac:dyDescent="0.25">
      <c r="A293" s="50">
        <f>'A) Base RI'!A295</f>
        <v>5912</v>
      </c>
      <c r="B293" s="33" t="str">
        <f>'A) Base RI'!B295</f>
        <v>Démoret</v>
      </c>
      <c r="C293" s="100">
        <f>'A) Base RI'!AN295</f>
        <v>141</v>
      </c>
      <c r="D293" s="116">
        <f>'D) Ecrêtage'!N293</f>
        <v>22.24405743805271</v>
      </c>
      <c r="E293" s="35">
        <f t="shared" si="19"/>
        <v>22.819226997666878</v>
      </c>
      <c r="F293" s="283">
        <f t="shared" si="20"/>
        <v>70366.965715895421</v>
      </c>
      <c r="G293" s="34">
        <f>+'A) Base RI'!AM295</f>
        <v>81</v>
      </c>
      <c r="H293" s="284">
        <f t="shared" si="21"/>
        <v>1.1910428550009102</v>
      </c>
      <c r="I293" s="58">
        <f t="shared" si="22"/>
        <v>83810.071744011249</v>
      </c>
    </row>
    <row r="294" spans="1:9" x14ac:dyDescent="0.25">
      <c r="A294" s="50">
        <f>'A) Base RI'!A296</f>
        <v>5913</v>
      </c>
      <c r="B294" s="33" t="str">
        <f>'A) Base RI'!B296</f>
        <v>Donneloye</v>
      </c>
      <c r="C294" s="100">
        <f>'A) Base RI'!AN296</f>
        <v>809</v>
      </c>
      <c r="D294" s="116">
        <f>'D) Ecrêtage'!N294</f>
        <v>25.182829977818038</v>
      </c>
      <c r="E294" s="35">
        <f t="shared" si="19"/>
        <v>19.88045445790155</v>
      </c>
      <c r="F294" s="283">
        <f t="shared" si="20"/>
        <v>317001.59970847884</v>
      </c>
      <c r="G294" s="34">
        <f>+'A) Base RI'!AM296</f>
        <v>73</v>
      </c>
      <c r="H294" s="284">
        <f t="shared" si="21"/>
        <v>1.0734089927785981</v>
      </c>
      <c r="I294" s="58">
        <f t="shared" si="22"/>
        <v>340272.36785228259</v>
      </c>
    </row>
    <row r="295" spans="1:9" x14ac:dyDescent="0.25">
      <c r="A295" s="50">
        <f>'A) Base RI'!A297</f>
        <v>5914</v>
      </c>
      <c r="B295" s="33" t="str">
        <f>'A) Base RI'!B297</f>
        <v>Ependes</v>
      </c>
      <c r="C295" s="100">
        <f>'A) Base RI'!AN297</f>
        <v>360</v>
      </c>
      <c r="D295" s="116">
        <f>'D) Ecrêtage'!N295</f>
        <v>25.987719999999999</v>
      </c>
      <c r="E295" s="35">
        <f t="shared" si="19"/>
        <v>19.075564435719588</v>
      </c>
      <c r="F295" s="283">
        <f t="shared" si="20"/>
        <v>139060.8647363958</v>
      </c>
      <c r="G295" s="34">
        <f>+'A) Base RI'!AM297</f>
        <v>75</v>
      </c>
      <c r="H295" s="284">
        <f t="shared" si="21"/>
        <v>1.1028174583341761</v>
      </c>
      <c r="I295" s="58">
        <f t="shared" si="22"/>
        <v>153358.74940234466</v>
      </c>
    </row>
    <row r="296" spans="1:9" x14ac:dyDescent="0.25">
      <c r="A296" s="50">
        <f>'A) Base RI'!A298</f>
        <v>5919</v>
      </c>
      <c r="B296" s="33" t="str">
        <f>'A) Base RI'!B298</f>
        <v>Mathod</v>
      </c>
      <c r="C296" s="100">
        <f>'A) Base RI'!AN298</f>
        <v>611</v>
      </c>
      <c r="D296" s="116">
        <f>'D) Ecrêtage'!N296</f>
        <v>28.089899148329994</v>
      </c>
      <c r="E296" s="35">
        <f t="shared" si="19"/>
        <v>16.973385287389593</v>
      </c>
      <c r="F296" s="283">
        <f t="shared" si="20"/>
        <v>201607.15470196764</v>
      </c>
      <c r="G296" s="34">
        <f>+'A) Base RI'!AM298</f>
        <v>72</v>
      </c>
      <c r="H296" s="284">
        <f t="shared" si="21"/>
        <v>1.058704760000809</v>
      </c>
      <c r="I296" s="58">
        <f t="shared" si="22"/>
        <v>213442.45433319264</v>
      </c>
    </row>
    <row r="297" spans="1:9" x14ac:dyDescent="0.25">
      <c r="A297" s="50">
        <f>'A) Base RI'!A299</f>
        <v>5921</v>
      </c>
      <c r="B297" s="33" t="str">
        <f>'A) Base RI'!B299</f>
        <v>Molondin</v>
      </c>
      <c r="C297" s="100">
        <f>'A) Base RI'!AN299</f>
        <v>235</v>
      </c>
      <c r="D297" s="116">
        <f>'D) Ecrêtage'!N297</f>
        <v>23.652884160756496</v>
      </c>
      <c r="E297" s="35">
        <f t="shared" si="19"/>
        <v>21.410400274963092</v>
      </c>
      <c r="F297" s="283">
        <f t="shared" si="20"/>
        <v>110037.68169315906</v>
      </c>
      <c r="G297" s="34">
        <f>+'A) Base RI'!AM299</f>
        <v>81</v>
      </c>
      <c r="H297" s="284">
        <f t="shared" si="21"/>
        <v>1.1910428550009102</v>
      </c>
      <c r="I297" s="58">
        <f t="shared" si="22"/>
        <v>131059.59456150155</v>
      </c>
    </row>
    <row r="298" spans="1:9" x14ac:dyDescent="0.25">
      <c r="A298" s="50">
        <f>'A) Base RI'!A300</f>
        <v>5922</v>
      </c>
      <c r="B298" s="33" t="str">
        <f>'A) Base RI'!B300</f>
        <v>Montagny-près-Yverdon</v>
      </c>
      <c r="C298" s="100">
        <f>'A) Base RI'!AN300</f>
        <v>738</v>
      </c>
      <c r="D298" s="116">
        <f>'D) Ecrêtage'!N298</f>
        <v>53.24922602668336</v>
      </c>
      <c r="E298" s="35">
        <f t="shared" si="19"/>
        <v>0</v>
      </c>
      <c r="F298" s="283">
        <f t="shared" si="20"/>
        <v>0</v>
      </c>
      <c r="G298" s="34">
        <f>+'A) Base RI'!AM300</f>
        <v>65</v>
      </c>
      <c r="H298" s="284">
        <f t="shared" si="21"/>
        <v>0.95577513055628593</v>
      </c>
      <c r="I298" s="58">
        <f t="shared" si="22"/>
        <v>0</v>
      </c>
    </row>
    <row r="299" spans="1:9" x14ac:dyDescent="0.25">
      <c r="A299" s="50">
        <f>'A) Base RI'!A301</f>
        <v>5923</v>
      </c>
      <c r="B299" s="33" t="str">
        <f>'A) Base RI'!B301</f>
        <v>Oppens</v>
      </c>
      <c r="C299" s="100">
        <f>'A) Base RI'!AN301</f>
        <v>196</v>
      </c>
      <c r="D299" s="116">
        <f>'D) Ecrêtage'!N299</f>
        <v>26.267054043839757</v>
      </c>
      <c r="E299" s="35">
        <f t="shared" si="19"/>
        <v>18.796230391879831</v>
      </c>
      <c r="F299" s="283">
        <f t="shared" si="20"/>
        <v>80570.417499400734</v>
      </c>
      <c r="G299" s="34">
        <f>+'A) Base RI'!AM301</f>
        <v>81</v>
      </c>
      <c r="H299" s="284">
        <f t="shared" si="21"/>
        <v>1.1910428550009102</v>
      </c>
      <c r="I299" s="58">
        <f t="shared" si="22"/>
        <v>95962.820087101543</v>
      </c>
    </row>
    <row r="300" spans="1:9" x14ac:dyDescent="0.25">
      <c r="A300" s="50">
        <f>'A) Base RI'!A302</f>
        <v>5924</v>
      </c>
      <c r="B300" s="33" t="str">
        <f>'A) Base RI'!B302</f>
        <v>Orges</v>
      </c>
      <c r="C300" s="100">
        <f>'A) Base RI'!AN302</f>
        <v>332</v>
      </c>
      <c r="D300" s="116">
        <f>'D) Ecrêtage'!N300</f>
        <v>31.790859654835561</v>
      </c>
      <c r="E300" s="35">
        <f t="shared" si="19"/>
        <v>13.272424780884027</v>
      </c>
      <c r="F300" s="283">
        <f t="shared" si="20"/>
        <v>88040.771644524881</v>
      </c>
      <c r="G300" s="34">
        <f>+'A) Base RI'!AM302</f>
        <v>74</v>
      </c>
      <c r="H300" s="284">
        <f t="shared" si="21"/>
        <v>1.088113225556387</v>
      </c>
      <c r="I300" s="58">
        <f t="shared" si="22"/>
        <v>95798.328014597268</v>
      </c>
    </row>
    <row r="301" spans="1:9" x14ac:dyDescent="0.25">
      <c r="A301" s="50">
        <f>'A) Base RI'!A303</f>
        <v>5925</v>
      </c>
      <c r="B301" s="33" t="str">
        <f>'A) Base RI'!B303</f>
        <v>Orzens</v>
      </c>
      <c r="C301" s="100">
        <f>'A) Base RI'!AN303</f>
        <v>196</v>
      </c>
      <c r="D301" s="116">
        <f>'D) Ecrêtage'!N301</f>
        <v>28.536083053474552</v>
      </c>
      <c r="E301" s="35">
        <f t="shared" si="19"/>
        <v>16.527201382245035</v>
      </c>
      <c r="F301" s="283">
        <f t="shared" si="20"/>
        <v>69094.940274724169</v>
      </c>
      <c r="G301" s="34">
        <f>+'A) Base RI'!AM303</f>
        <v>79</v>
      </c>
      <c r="H301" s="284">
        <f t="shared" si="21"/>
        <v>1.1616343894453323</v>
      </c>
      <c r="I301" s="58">
        <f t="shared" si="22"/>
        <v>80263.058759790903</v>
      </c>
    </row>
    <row r="302" spans="1:9" x14ac:dyDescent="0.25">
      <c r="A302" s="50">
        <f>'A) Base RI'!A304</f>
        <v>5926</v>
      </c>
      <c r="B302" s="33" t="str">
        <f>'A) Base RI'!B304</f>
        <v>Pomy</v>
      </c>
      <c r="C302" s="100">
        <f>'A) Base RI'!AN304</f>
        <v>780</v>
      </c>
      <c r="D302" s="116">
        <f>'D) Ecrêtage'!N302</f>
        <v>34.11796876128566</v>
      </c>
      <c r="E302" s="35">
        <f t="shared" si="19"/>
        <v>10.945315674433928</v>
      </c>
      <c r="F302" s="283">
        <f t="shared" si="20"/>
        <v>163660.92715354078</v>
      </c>
      <c r="G302" s="34">
        <f>+'A) Base RI'!AM304</f>
        <v>71</v>
      </c>
      <c r="H302" s="284">
        <f t="shared" si="21"/>
        <v>1.0440005272230199</v>
      </c>
      <c r="I302" s="58">
        <f t="shared" si="22"/>
        <v>170862.09423410482</v>
      </c>
    </row>
    <row r="303" spans="1:9" x14ac:dyDescent="0.25">
      <c r="A303" s="50">
        <f>'A) Base RI'!A305</f>
        <v>5928</v>
      </c>
      <c r="B303" s="33" t="str">
        <f>'A) Base RI'!B305</f>
        <v>Rovray</v>
      </c>
      <c r="C303" s="100">
        <f>'A) Base RI'!AN305</f>
        <v>180</v>
      </c>
      <c r="D303" s="116">
        <f>'D) Ecrêtage'!N303</f>
        <v>24.077767123287675</v>
      </c>
      <c r="E303" s="35">
        <f t="shared" si="19"/>
        <v>20.985517312431913</v>
      </c>
      <c r="F303" s="283">
        <f t="shared" si="20"/>
        <v>74452.418321045945</v>
      </c>
      <c r="G303" s="34">
        <f>+'A) Base RI'!AM305</f>
        <v>73</v>
      </c>
      <c r="H303" s="284">
        <f t="shared" si="21"/>
        <v>1.0734089927785981</v>
      </c>
      <c r="I303" s="58">
        <f t="shared" si="22"/>
        <v>79917.895359924776</v>
      </c>
    </row>
    <row r="304" spans="1:9" x14ac:dyDescent="0.25">
      <c r="A304" s="50">
        <f>'A) Base RI'!A306</f>
        <v>5929</v>
      </c>
      <c r="B304" s="33" t="str">
        <f>'A) Base RI'!B306</f>
        <v>Suchy</v>
      </c>
      <c r="C304" s="100">
        <f>'A) Base RI'!AN306</f>
        <v>599</v>
      </c>
      <c r="D304" s="116">
        <f>'D) Ecrêtage'!N304</f>
        <v>28.629036072024807</v>
      </c>
      <c r="E304" s="35">
        <f t="shared" si="19"/>
        <v>16.434248363694781</v>
      </c>
      <c r="F304" s="283">
        <f t="shared" si="20"/>
        <v>186053.76915022498</v>
      </c>
      <c r="G304" s="34">
        <f>+'A) Base RI'!AM306</f>
        <v>70</v>
      </c>
      <c r="H304" s="284">
        <f t="shared" si="21"/>
        <v>1.0292962944452311</v>
      </c>
      <c r="I304" s="58">
        <f t="shared" si="22"/>
        <v>191504.45515389502</v>
      </c>
    </row>
    <row r="305" spans="1:9" x14ac:dyDescent="0.25">
      <c r="A305" s="50">
        <f>'A) Base RI'!A307</f>
        <v>5930</v>
      </c>
      <c r="B305" s="33" t="str">
        <f>'A) Base RI'!B307</f>
        <v>Suscévaz</v>
      </c>
      <c r="C305" s="100">
        <f>'A) Base RI'!AN307</f>
        <v>213</v>
      </c>
      <c r="D305" s="116">
        <f>'D) Ecrêtage'!N305</f>
        <v>27.733223135106936</v>
      </c>
      <c r="E305" s="35">
        <f t="shared" si="19"/>
        <v>17.330061300612652</v>
      </c>
      <c r="F305" s="283">
        <f t="shared" si="20"/>
        <v>71758.931428672833</v>
      </c>
      <c r="G305" s="34">
        <f>+'A) Base RI'!AM307</f>
        <v>72</v>
      </c>
      <c r="H305" s="284">
        <f t="shared" si="21"/>
        <v>1.058704760000809</v>
      </c>
      <c r="I305" s="58">
        <f t="shared" si="22"/>
        <v>75971.522276107586</v>
      </c>
    </row>
    <row r="306" spans="1:9" x14ac:dyDescent="0.25">
      <c r="A306" s="50">
        <f>'A) Base RI'!A308</f>
        <v>5931</v>
      </c>
      <c r="B306" s="33" t="str">
        <f>'A) Base RI'!B308</f>
        <v>Treycovagnes</v>
      </c>
      <c r="C306" s="100">
        <f>'A) Base RI'!AN308</f>
        <v>480</v>
      </c>
      <c r="D306" s="116">
        <f>'D) Ecrêtage'!N306</f>
        <v>27.02721</v>
      </c>
      <c r="E306" s="35">
        <f t="shared" si="19"/>
        <v>18.036074435719588</v>
      </c>
      <c r="F306" s="283">
        <f t="shared" si="20"/>
        <v>175310.64351519442</v>
      </c>
      <c r="G306" s="34">
        <f>+'A) Base RI'!AM308</f>
        <v>75</v>
      </c>
      <c r="H306" s="284">
        <f t="shared" si="21"/>
        <v>1.1028174583341761</v>
      </c>
      <c r="I306" s="58">
        <f t="shared" si="22"/>
        <v>193335.63830035552</v>
      </c>
    </row>
    <row r="307" spans="1:9" x14ac:dyDescent="0.25">
      <c r="A307" s="50">
        <f>'A) Base RI'!A309</f>
        <v>5932</v>
      </c>
      <c r="B307" s="33" t="str">
        <f>'A) Base RI'!B309</f>
        <v>Ursins</v>
      </c>
      <c r="C307" s="100">
        <f>'A) Base RI'!AN309</f>
        <v>230</v>
      </c>
      <c r="D307" s="116">
        <f>'D) Ecrêtage'!N307</f>
        <v>29.057926595143993</v>
      </c>
      <c r="E307" s="35">
        <f t="shared" si="19"/>
        <v>16.005357840575595</v>
      </c>
      <c r="F307" s="283">
        <f t="shared" si="20"/>
        <v>76532.819586280326</v>
      </c>
      <c r="G307" s="34">
        <f>+'A) Base RI'!AM309</f>
        <v>77</v>
      </c>
      <c r="H307" s="284">
        <f t="shared" si="21"/>
        <v>1.1322259238897541</v>
      </c>
      <c r="I307" s="58">
        <f t="shared" si="22"/>
        <v>86652.442363964103</v>
      </c>
    </row>
    <row r="308" spans="1:9" x14ac:dyDescent="0.25">
      <c r="A308" s="50">
        <f>'A) Base RI'!A310</f>
        <v>5933</v>
      </c>
      <c r="B308" s="33" t="str">
        <f>'A) Base RI'!B310</f>
        <v>Valeyres-sous-Montagny</v>
      </c>
      <c r="C308" s="100">
        <f>'A) Base RI'!AN310</f>
        <v>708</v>
      </c>
      <c r="D308" s="116">
        <f>'D) Ecrêtage'!N308</f>
        <v>31.587389163527931</v>
      </c>
      <c r="E308" s="35">
        <f t="shared" si="19"/>
        <v>13.475895272191657</v>
      </c>
      <c r="F308" s="283">
        <f t="shared" si="20"/>
        <v>185475.7540967153</v>
      </c>
      <c r="G308" s="34">
        <f>+'A) Base RI'!AM310</f>
        <v>72</v>
      </c>
      <c r="H308" s="284">
        <f t="shared" si="21"/>
        <v>1.058704760000809</v>
      </c>
      <c r="I308" s="58">
        <f t="shared" si="22"/>
        <v>196364.06372693204</v>
      </c>
    </row>
    <row r="309" spans="1:9" x14ac:dyDescent="0.25">
      <c r="A309" s="50">
        <f>'A) Base RI'!A311</f>
        <v>5934</v>
      </c>
      <c r="B309" s="33" t="str">
        <f>'A) Base RI'!B311</f>
        <v>Valeyres-sous-Ursins</v>
      </c>
      <c r="C309" s="100">
        <f>'A) Base RI'!AN311</f>
        <v>232</v>
      </c>
      <c r="D309" s="116">
        <f>'D) Ecrêtage'!N309</f>
        <v>32.866231994762117</v>
      </c>
      <c r="E309" s="35">
        <f t="shared" si="19"/>
        <v>12.197052440957471</v>
      </c>
      <c r="F309" s="283">
        <f t="shared" si="20"/>
        <v>60357.845827224504</v>
      </c>
      <c r="G309" s="34">
        <f>+'A) Base RI'!AM311</f>
        <v>79</v>
      </c>
      <c r="H309" s="284">
        <f t="shared" si="21"/>
        <v>1.1616343894453323</v>
      </c>
      <c r="I309" s="58">
        <f t="shared" si="22"/>
        <v>70113.749385743431</v>
      </c>
    </row>
    <row r="310" spans="1:9" x14ac:dyDescent="0.25">
      <c r="A310" s="50">
        <f>'A) Base RI'!A312</f>
        <v>5935</v>
      </c>
      <c r="B310" s="33" t="str">
        <f>'A) Base RI'!B312</f>
        <v>Villars-Epeney</v>
      </c>
      <c r="C310" s="100">
        <f>'A) Base RI'!AN312</f>
        <v>100</v>
      </c>
      <c r="D310" s="116">
        <f>'D) Ecrêtage'!N310</f>
        <v>55.942837181991173</v>
      </c>
      <c r="E310" s="35">
        <f t="shared" si="19"/>
        <v>0</v>
      </c>
      <c r="F310" s="283">
        <f t="shared" si="20"/>
        <v>0</v>
      </c>
      <c r="G310" s="34">
        <f>+'A) Base RI'!AM312</f>
        <v>60</v>
      </c>
      <c r="H310" s="284">
        <f t="shared" si="21"/>
        <v>0.88225396666734091</v>
      </c>
      <c r="I310" s="58">
        <f t="shared" si="22"/>
        <v>0</v>
      </c>
    </row>
    <row r="311" spans="1:9" x14ac:dyDescent="0.25">
      <c r="A311" s="50">
        <f>'A) Base RI'!A313</f>
        <v>5937</v>
      </c>
      <c r="B311" s="33" t="str">
        <f>'A) Base RI'!B313</f>
        <v>Vugelles-La Mothe</v>
      </c>
      <c r="C311" s="100">
        <f>'A) Base RI'!AN313</f>
        <v>132</v>
      </c>
      <c r="D311" s="116">
        <f>'D) Ecrêtage'!N311</f>
        <v>18.433434910327772</v>
      </c>
      <c r="E311" s="35">
        <f t="shared" si="19"/>
        <v>26.629849525391815</v>
      </c>
      <c r="F311" s="283">
        <f t="shared" si="20"/>
        <v>66436.14859594751</v>
      </c>
      <c r="G311" s="34">
        <f>+'A) Base RI'!AM313</f>
        <v>70</v>
      </c>
      <c r="H311" s="284">
        <f t="shared" si="21"/>
        <v>1.0292962944452311</v>
      </c>
      <c r="I311" s="58">
        <f t="shared" si="22"/>
        <v>68382.481567021518</v>
      </c>
    </row>
    <row r="312" spans="1:9" x14ac:dyDescent="0.25">
      <c r="A312" s="50">
        <f>'A) Base RI'!A314</f>
        <v>5938</v>
      </c>
      <c r="B312" s="33" t="str">
        <f>'A) Base RI'!B314</f>
        <v>Yverdon-les-Bains</v>
      </c>
      <c r="C312" s="100">
        <f>'A) Base RI'!AN314</f>
        <v>30211</v>
      </c>
      <c r="D312" s="116">
        <f>'D) Ecrêtage'!N312</f>
        <v>25.641617231138817</v>
      </c>
      <c r="E312" s="35">
        <f t="shared" si="19"/>
        <v>19.421667204580771</v>
      </c>
      <c r="F312" s="283">
        <f t="shared" si="20"/>
        <v>12119279.690437816</v>
      </c>
      <c r="G312" s="34">
        <f>+'A) Base RI'!AM314</f>
        <v>76.5</v>
      </c>
      <c r="H312" s="284">
        <f t="shared" si="21"/>
        <v>1.1248738075008595</v>
      </c>
      <c r="I312" s="58">
        <f t="shared" si="22"/>
        <v>13632660.289550625</v>
      </c>
    </row>
    <row r="313" spans="1:9" x14ac:dyDescent="0.25">
      <c r="A313" s="50">
        <f>'A) Base RI'!A315</f>
        <v>5939</v>
      </c>
      <c r="B313" s="33" t="str">
        <f>'A) Base RI'!B315</f>
        <v>Yvonand</v>
      </c>
      <c r="C313" s="100">
        <f>'A) Base RI'!AN315</f>
        <v>3426</v>
      </c>
      <c r="D313" s="116">
        <f>'D) Ecrêtage'!N313</f>
        <v>27.385065174451615</v>
      </c>
      <c r="E313" s="35">
        <f t="shared" si="19"/>
        <v>17.678219261267973</v>
      </c>
      <c r="F313" s="283">
        <f t="shared" si="20"/>
        <v>1193747.5658172413</v>
      </c>
      <c r="G313" s="34">
        <f>+'A) Base RI'!AM315</f>
        <v>73</v>
      </c>
      <c r="H313" s="284">
        <f t="shared" si="21"/>
        <v>1.0734089927785981</v>
      </c>
      <c r="I313" s="58">
        <f t="shared" si="22"/>
        <v>1281379.3722557882</v>
      </c>
    </row>
    <row r="314" spans="1:9" x14ac:dyDescent="0.25">
      <c r="A314" s="31"/>
      <c r="B314" s="125">
        <f>COUNTA(B5:B313)</f>
        <v>309</v>
      </c>
      <c r="C314" s="102">
        <f>SUM(C5:C313)</f>
        <v>800162</v>
      </c>
      <c r="D314" s="115">
        <f>'D) Ecrêtage'!N314</f>
        <v>45.063284435719588</v>
      </c>
      <c r="E314" s="281"/>
      <c r="F314" s="11">
        <f>SUM(F5:F313)</f>
        <v>107526939.01150498</v>
      </c>
      <c r="G314" s="285">
        <f>'B) D RI'!S316</f>
        <v>68.007628491199924</v>
      </c>
      <c r="H314" s="282">
        <f>G314/G$314</f>
        <v>1</v>
      </c>
      <c r="I314" s="38">
        <f>SUM(I5:I313)</f>
        <v>116923697.35449605</v>
      </c>
    </row>
  </sheetData>
  <mergeCells count="8">
    <mergeCell ref="A3:A4"/>
    <mergeCell ref="I3:I4"/>
    <mergeCell ref="H3:H4"/>
    <mergeCell ref="G3:G4"/>
    <mergeCell ref="F3:F4"/>
    <mergeCell ref="B3:B4"/>
    <mergeCell ref="C3:C4"/>
    <mergeCell ref="D3:D4"/>
  </mergeCells>
  <phoneticPr fontId="10" type="noConversion"/>
  <pageMargins left="0.78740157499999996" right="0.78740157499999996" top="0.984251969" bottom="0.984251969" header="0.4921259845" footer="0.4921259845"/>
  <pageSetup paperSize="9" orientation="portrait" horizontalDpi="4294967292" verticalDpi="4294967292"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1">
    <tabColor rgb="FF00B050"/>
  </sheetPr>
  <dimension ref="A1:I344"/>
  <sheetViews>
    <sheetView workbookViewId="0"/>
  </sheetViews>
  <sheetFormatPr baseColWidth="10" defaultColWidth="11" defaultRowHeight="15" x14ac:dyDescent="0.25"/>
  <cols>
    <col min="1" max="1" width="9.375" style="13" customWidth="1"/>
    <col min="2" max="2" width="22.25" style="13" customWidth="1"/>
    <col min="3" max="3" width="13.375" style="13" customWidth="1"/>
    <col min="4" max="4" width="11.125" style="13" bestFit="1" customWidth="1"/>
    <col min="5" max="5" width="13" style="13" customWidth="1"/>
    <col min="6" max="7" width="12.375" style="13" customWidth="1"/>
    <col min="8" max="9" width="13" style="13" bestFit="1" customWidth="1"/>
    <col min="10" max="10" width="3.5" style="13" customWidth="1"/>
    <col min="11" max="16384" width="11" style="13"/>
  </cols>
  <sheetData>
    <row r="1" spans="1:9" ht="21" x14ac:dyDescent="0.25">
      <c r="A1" s="52" t="s">
        <v>334</v>
      </c>
      <c r="B1" s="43"/>
      <c r="C1" s="73"/>
      <c r="D1" s="73"/>
      <c r="E1" s="73"/>
      <c r="F1" s="73"/>
      <c r="G1" s="73"/>
      <c r="H1" s="73"/>
      <c r="I1" s="73"/>
    </row>
    <row r="3" spans="1:9" x14ac:dyDescent="0.25">
      <c r="A3" s="127" t="s">
        <v>51</v>
      </c>
      <c r="B3" s="128"/>
      <c r="C3" s="129" t="s">
        <v>467</v>
      </c>
      <c r="D3" s="129" t="s">
        <v>414</v>
      </c>
      <c r="E3" s="73"/>
      <c r="F3" s="73"/>
      <c r="G3" s="73"/>
      <c r="H3" s="73"/>
      <c r="I3" s="73"/>
    </row>
    <row r="4" spans="1:9" x14ac:dyDescent="0.25">
      <c r="A4" s="80" t="s">
        <v>99</v>
      </c>
      <c r="B4" s="81"/>
      <c r="C4" s="11">
        <f>E325</f>
        <v>684428707.63710344</v>
      </c>
      <c r="D4" s="36"/>
      <c r="E4" s="73"/>
      <c r="F4" s="73"/>
      <c r="G4" s="73"/>
      <c r="H4" s="73"/>
      <c r="I4" s="73"/>
    </row>
    <row r="5" spans="1:9" x14ac:dyDescent="0.25">
      <c r="A5" s="86" t="s">
        <v>431</v>
      </c>
      <c r="B5" s="46"/>
      <c r="C5" s="10">
        <v>0</v>
      </c>
      <c r="D5" s="34">
        <f>C5/$C$325</f>
        <v>0</v>
      </c>
      <c r="E5" s="73"/>
      <c r="F5" s="73"/>
      <c r="G5" s="73"/>
      <c r="H5" s="73"/>
      <c r="I5" s="73"/>
    </row>
    <row r="6" spans="1:9" x14ac:dyDescent="0.25">
      <c r="A6" s="86" t="s">
        <v>430</v>
      </c>
      <c r="B6" s="46"/>
      <c r="C6" s="10">
        <f>Paramètres!B36</f>
        <v>-4246726.3435717737</v>
      </c>
      <c r="D6" s="266">
        <f>C6/$C$325</f>
        <v>-0.11777510807192638</v>
      </c>
      <c r="E6" s="73"/>
      <c r="F6" s="73"/>
      <c r="G6" s="73"/>
      <c r="H6" s="73"/>
      <c r="I6" s="73"/>
    </row>
    <row r="7" spans="1:9" x14ac:dyDescent="0.25">
      <c r="A7" s="86" t="s">
        <v>100</v>
      </c>
      <c r="B7" s="46"/>
      <c r="C7" s="10">
        <f>'I) Dépenses thématiques'!O314</f>
        <v>-144231711.20261699</v>
      </c>
      <c r="D7" s="266">
        <f>C7/$C$325</f>
        <v>-3.9999999999999991</v>
      </c>
      <c r="E7" s="73"/>
      <c r="F7" s="73"/>
      <c r="G7" s="73"/>
      <c r="H7" s="73"/>
      <c r="I7" s="73"/>
    </row>
    <row r="8" spans="1:9" x14ac:dyDescent="0.25">
      <c r="A8" s="88" t="s">
        <v>283</v>
      </c>
      <c r="B8" s="117"/>
      <c r="C8" s="19">
        <f>Paramètres!B37</f>
        <v>-450000</v>
      </c>
      <c r="D8" s="266">
        <f>C8/$C$325</f>
        <v>-1.2479918493592273E-2</v>
      </c>
      <c r="E8" s="73"/>
      <c r="F8" s="73"/>
      <c r="G8" s="73"/>
      <c r="H8" s="73"/>
      <c r="I8" s="73"/>
    </row>
    <row r="9" spans="1:9" x14ac:dyDescent="0.25">
      <c r="A9" s="88" t="s">
        <v>362</v>
      </c>
      <c r="B9" s="117"/>
      <c r="C9" s="19">
        <f>SUM(C5:C8)</f>
        <v>-148928437.54618877</v>
      </c>
      <c r="D9" s="103">
        <f>SUM(D5:D8)</f>
        <v>-4.1302550265655178</v>
      </c>
      <c r="E9" s="73"/>
      <c r="F9" s="73"/>
      <c r="G9" s="73"/>
      <c r="H9" s="73"/>
      <c r="I9" s="73"/>
    </row>
    <row r="10" spans="1:9" x14ac:dyDescent="0.25">
      <c r="A10" s="80" t="s">
        <v>436</v>
      </c>
      <c r="B10" s="81"/>
      <c r="C10" s="19">
        <f>-SUM(C4:C8)</f>
        <v>-535500270.09091467</v>
      </c>
      <c r="D10" s="103">
        <f>C10/$C$325</f>
        <v>-14.851110497847252</v>
      </c>
      <c r="E10" s="73"/>
      <c r="F10" s="73"/>
      <c r="G10" s="73"/>
      <c r="H10" s="73"/>
      <c r="I10" s="73"/>
    </row>
    <row r="11" spans="1:9" x14ac:dyDescent="0.25">
      <c r="A11" s="80" t="s">
        <v>361</v>
      </c>
      <c r="B11" s="82"/>
      <c r="C11" s="19">
        <f>C9+C10</f>
        <v>-684428707.63710344</v>
      </c>
      <c r="D11" s="103">
        <f>D10+D9</f>
        <v>-18.981365524412769</v>
      </c>
      <c r="E11" s="73"/>
      <c r="F11" s="73"/>
      <c r="G11" s="73"/>
      <c r="H11" s="73"/>
      <c r="I11" s="73"/>
    </row>
    <row r="14" spans="1:9" ht="60" customHeight="1" x14ac:dyDescent="0.25">
      <c r="A14" s="535" t="s">
        <v>50</v>
      </c>
      <c r="B14" s="535" t="s">
        <v>101</v>
      </c>
      <c r="C14" s="568" t="s">
        <v>432</v>
      </c>
      <c r="D14" s="568" t="s">
        <v>310</v>
      </c>
      <c r="E14" s="69" t="s">
        <v>99</v>
      </c>
      <c r="F14" s="69" t="s">
        <v>360</v>
      </c>
      <c r="G14" s="69" t="s">
        <v>435</v>
      </c>
      <c r="H14" s="69" t="s">
        <v>302</v>
      </c>
      <c r="I14" s="477" t="s">
        <v>413</v>
      </c>
    </row>
    <row r="15" spans="1:9" x14ac:dyDescent="0.25">
      <c r="A15" s="537"/>
      <c r="B15" s="537"/>
      <c r="C15" s="568"/>
      <c r="D15" s="568"/>
      <c r="E15" s="479">
        <f>-D9+F15+G15</f>
        <v>18.981365524412769</v>
      </c>
      <c r="F15" s="480">
        <f>F325/C325</f>
        <v>11.608447802394894</v>
      </c>
      <c r="G15" s="480">
        <f>G325/C325</f>
        <v>3.2426626954523581</v>
      </c>
      <c r="H15" s="480"/>
      <c r="I15" s="123"/>
    </row>
    <row r="16" spans="1:9" x14ac:dyDescent="0.25">
      <c r="A16" s="47">
        <f>'A) Base RI'!A7</f>
        <v>5401</v>
      </c>
      <c r="B16" s="307" t="str">
        <f>'A) Base RI'!B7</f>
        <v>Aigle</v>
      </c>
      <c r="C16" s="32">
        <f>'D) Ecrêtage'!M5</f>
        <v>276325.40780246921</v>
      </c>
      <c r="D16" s="14">
        <f>'A) Base RI'!AN7</f>
        <v>10134</v>
      </c>
      <c r="E16" s="10">
        <f>C16*E$15</f>
        <v>5245033.5691810884</v>
      </c>
      <c r="F16" s="14">
        <f>'F) Population'!K8</f>
        <v>5158704.9295774642</v>
      </c>
      <c r="G16" s="10">
        <f>'G) Solidarité'!I5</f>
        <v>3262270.6788120512</v>
      </c>
      <c r="H16" s="14">
        <f>F16+G16</f>
        <v>8420975.6083895154</v>
      </c>
      <c r="I16" s="58">
        <f>E16-H16</f>
        <v>-3175942.0392084271</v>
      </c>
    </row>
    <row r="17" spans="1:9" x14ac:dyDescent="0.25">
      <c r="A17" s="50">
        <f>'A) Base RI'!A8</f>
        <v>5402</v>
      </c>
      <c r="B17" s="33" t="str">
        <f>'A) Base RI'!B8</f>
        <v>Bex</v>
      </c>
      <c r="C17" s="32">
        <f>'D) Ecrêtage'!M6</f>
        <v>172586.81591549295</v>
      </c>
      <c r="D17" s="472">
        <f>'A) Base RI'!AN8</f>
        <v>7757</v>
      </c>
      <c r="E17" s="10">
        <f t="shared" ref="E17:E80" si="0">C17*E$15</f>
        <v>3275933.437586511</v>
      </c>
      <c r="F17" s="472">
        <f>'F) Population'!K9</f>
        <v>3450724.9496981888</v>
      </c>
      <c r="G17" s="10">
        <f>'G) Solidarité'!I6</f>
        <v>3541768.9608683232</v>
      </c>
      <c r="H17" s="472">
        <f t="shared" ref="H17:H80" si="1">F17+G17</f>
        <v>6992493.9105665125</v>
      </c>
      <c r="I17" s="58">
        <f t="shared" ref="I17:I80" si="2">E17-H17</f>
        <v>-3716560.4729800015</v>
      </c>
    </row>
    <row r="18" spans="1:9" x14ac:dyDescent="0.25">
      <c r="A18" s="50">
        <f>'A) Base RI'!A9</f>
        <v>5403</v>
      </c>
      <c r="B18" s="33" t="str">
        <f>'A) Base RI'!B9</f>
        <v>Chessel</v>
      </c>
      <c r="C18" s="32">
        <f>'D) Ecrêtage'!M7</f>
        <v>10175.556621621625</v>
      </c>
      <c r="D18" s="472">
        <f>'A) Base RI'!AN9</f>
        <v>426</v>
      </c>
      <c r="E18" s="10">
        <f t="shared" si="0"/>
        <v>193145.95964935879</v>
      </c>
      <c r="F18" s="472">
        <f>'F) Population'!K10</f>
        <v>42557.142857142855</v>
      </c>
      <c r="G18" s="10">
        <f>'G) Solidarité'!I7</f>
        <v>196129.82236231639</v>
      </c>
      <c r="H18" s="472">
        <f t="shared" si="1"/>
        <v>238686.96521945926</v>
      </c>
      <c r="I18" s="58">
        <f t="shared" si="2"/>
        <v>-45541.005570100475</v>
      </c>
    </row>
    <row r="19" spans="1:9" x14ac:dyDescent="0.25">
      <c r="A19" s="50">
        <f>'A) Base RI'!A10</f>
        <v>5404</v>
      </c>
      <c r="B19" s="33" t="str">
        <f>'A) Base RI'!B10</f>
        <v>Corbeyrier</v>
      </c>
      <c r="C19" s="32">
        <f>'D) Ecrêtage'!M8</f>
        <v>12084.741666666667</v>
      </c>
      <c r="D19" s="472">
        <f>'A) Base RI'!AN10</f>
        <v>438</v>
      </c>
      <c r="E19" s="10">
        <f t="shared" si="0"/>
        <v>229384.89884310117</v>
      </c>
      <c r="F19" s="472">
        <f>'F) Population'!K11</f>
        <v>43755.935613682093</v>
      </c>
      <c r="G19" s="10">
        <f>'G) Solidarité'!I8</f>
        <v>148878.71676652151</v>
      </c>
      <c r="H19" s="472">
        <f t="shared" si="1"/>
        <v>192634.6523802036</v>
      </c>
      <c r="I19" s="58">
        <f t="shared" si="2"/>
        <v>36750.246462897572</v>
      </c>
    </row>
    <row r="20" spans="1:9" x14ac:dyDescent="0.25">
      <c r="A20" s="50">
        <f>'A) Base RI'!A11</f>
        <v>5405</v>
      </c>
      <c r="B20" s="33" t="str">
        <f>'A) Base RI'!B11</f>
        <v>Gryon</v>
      </c>
      <c r="C20" s="32">
        <f>'D) Ecrêtage'!M9</f>
        <v>67578.882888888897</v>
      </c>
      <c r="D20" s="472">
        <f>'A) Base RI'!AN11</f>
        <v>1332</v>
      </c>
      <c r="E20" s="10">
        <f t="shared" si="0"/>
        <v>1282739.4778454837</v>
      </c>
      <c r="F20" s="472">
        <f>'F) Population'!K12</f>
        <v>215982.49496981889</v>
      </c>
      <c r="G20" s="10">
        <f>'G) Solidarité'!I9</f>
        <v>0</v>
      </c>
      <c r="H20" s="472">
        <f t="shared" si="1"/>
        <v>215982.49496981889</v>
      </c>
      <c r="I20" s="58">
        <f t="shared" si="2"/>
        <v>1066756.9828756647</v>
      </c>
    </row>
    <row r="21" spans="1:9" x14ac:dyDescent="0.25">
      <c r="A21" s="50">
        <f>'A) Base RI'!A12</f>
        <v>5406</v>
      </c>
      <c r="B21" s="33" t="str">
        <f>'A) Base RI'!B12</f>
        <v>Lavey-Morcles</v>
      </c>
      <c r="C21" s="32">
        <f>'D) Ecrêtage'!M10</f>
        <v>21586.094615384616</v>
      </c>
      <c r="D21" s="472">
        <f>'A) Base RI'!AN12</f>
        <v>946</v>
      </c>
      <c r="E21" s="10">
        <f t="shared" si="0"/>
        <v>409733.55213917367</v>
      </c>
      <c r="F21" s="472">
        <f>'F) Population'!K13</f>
        <v>94504.828973843061</v>
      </c>
      <c r="G21" s="10">
        <f>'G) Solidarité'!I10</f>
        <v>421159.33195546753</v>
      </c>
      <c r="H21" s="472">
        <f t="shared" si="1"/>
        <v>515664.1609293106</v>
      </c>
      <c r="I21" s="58">
        <f t="shared" si="2"/>
        <v>-105930.60879013693</v>
      </c>
    </row>
    <row r="22" spans="1:9" x14ac:dyDescent="0.25">
      <c r="A22" s="50">
        <f>'A) Base RI'!A13</f>
        <v>5407</v>
      </c>
      <c r="B22" s="33" t="str">
        <f>'A) Base RI'!B13</f>
        <v>Leysin</v>
      </c>
      <c r="C22" s="32">
        <f>'D) Ecrêtage'!M11</f>
        <v>89616.305299145315</v>
      </c>
      <c r="D22" s="472">
        <f>'A) Base RI'!AN13</f>
        <v>3939</v>
      </c>
      <c r="E22" s="10">
        <f t="shared" si="0"/>
        <v>1701039.8478304462</v>
      </c>
      <c r="F22" s="472">
        <f>'F) Population'!K14</f>
        <v>1268222.8370221327</v>
      </c>
      <c r="G22" s="10">
        <f>'G) Solidarité'!I11</f>
        <v>2122876.7595779928</v>
      </c>
      <c r="H22" s="472">
        <f t="shared" si="1"/>
        <v>3391099.5966001255</v>
      </c>
      <c r="I22" s="58">
        <f t="shared" si="2"/>
        <v>-1690059.7487696793</v>
      </c>
    </row>
    <row r="23" spans="1:9" x14ac:dyDescent="0.25">
      <c r="A23" s="50">
        <f>'A) Base RI'!A14</f>
        <v>5408</v>
      </c>
      <c r="B23" s="33" t="str">
        <f>'A) Base RI'!B14</f>
        <v>Noville</v>
      </c>
      <c r="C23" s="32">
        <f>'D) Ecrêtage'!M12</f>
        <v>38763.706581740975</v>
      </c>
      <c r="D23" s="472">
        <f>'A) Base RI'!AN14</f>
        <v>1113</v>
      </c>
      <c r="E23" s="10">
        <f t="shared" si="0"/>
        <v>735788.08370911051</v>
      </c>
      <c r="F23" s="472">
        <f>'F) Population'!K15</f>
        <v>139409.60764587525</v>
      </c>
      <c r="G23" s="10">
        <f>'G) Solidarité'!I12</f>
        <v>278698.79542496672</v>
      </c>
      <c r="H23" s="472">
        <f t="shared" si="1"/>
        <v>418108.40307084197</v>
      </c>
      <c r="I23" s="58">
        <f t="shared" si="2"/>
        <v>317679.68063826853</v>
      </c>
    </row>
    <row r="24" spans="1:9" x14ac:dyDescent="0.25">
      <c r="A24" s="50">
        <f>'A) Base RI'!A15</f>
        <v>5409</v>
      </c>
      <c r="B24" s="33" t="str">
        <f>'A) Base RI'!B15</f>
        <v>Ollon</v>
      </c>
      <c r="C24" s="32">
        <f>'D) Ecrêtage'!M13</f>
        <v>369055.23328054306</v>
      </c>
      <c r="D24" s="472">
        <f>'A) Base RI'!AN15</f>
        <v>7461</v>
      </c>
      <c r="E24" s="10">
        <f t="shared" si="0"/>
        <v>7005172.2815954126</v>
      </c>
      <c r="F24" s="472">
        <f>'F) Population'!K16</f>
        <v>3273303.6217303816</v>
      </c>
      <c r="G24" s="10">
        <f>'G) Solidarité'!I13</f>
        <v>0</v>
      </c>
      <c r="H24" s="472">
        <f t="shared" si="1"/>
        <v>3273303.6217303816</v>
      </c>
      <c r="I24" s="58">
        <f t="shared" si="2"/>
        <v>3731868.659865031</v>
      </c>
    </row>
    <row r="25" spans="1:9" x14ac:dyDescent="0.25">
      <c r="A25" s="50">
        <f>'A) Base RI'!A16</f>
        <v>5410</v>
      </c>
      <c r="B25" s="33" t="str">
        <f>'A) Base RI'!B16</f>
        <v>Ormont-Dessous</v>
      </c>
      <c r="C25" s="32">
        <f>'D) Ecrêtage'!M14</f>
        <v>43491.149554140131</v>
      </c>
      <c r="D25" s="472">
        <f>'A) Base RI'!AN16</f>
        <v>1121</v>
      </c>
      <c r="E25" s="10">
        <f t="shared" si="0"/>
        <v>825521.40676403523</v>
      </c>
      <c r="F25" s="472">
        <f>'F) Population'!K17</f>
        <v>142206.79074446679</v>
      </c>
      <c r="G25" s="10">
        <f>'G) Solidarité'!I14</f>
        <v>171861.63333674718</v>
      </c>
      <c r="H25" s="472">
        <f t="shared" si="1"/>
        <v>314068.42408121401</v>
      </c>
      <c r="I25" s="58">
        <f t="shared" si="2"/>
        <v>511452.98268282122</v>
      </c>
    </row>
    <row r="26" spans="1:9" x14ac:dyDescent="0.25">
      <c r="A26" s="50">
        <f>'A) Base RI'!A17</f>
        <v>5411</v>
      </c>
      <c r="B26" s="33" t="str">
        <f>'A) Base RI'!B17</f>
        <v>Ormont-Dessus</v>
      </c>
      <c r="C26" s="32">
        <f>'D) Ecrêtage'!M15</f>
        <v>72912.297236842089</v>
      </c>
      <c r="D26" s="472">
        <f>'A) Base RI'!AN17</f>
        <v>1446</v>
      </c>
      <c r="E26" s="10">
        <f t="shared" si="0"/>
        <v>1383974.9650771308</v>
      </c>
      <c r="F26" s="472">
        <f>'F) Population'!K18</f>
        <v>255842.35412474844</v>
      </c>
      <c r="G26" s="10">
        <f>'G) Solidarité'!I15</f>
        <v>0</v>
      </c>
      <c r="H26" s="472">
        <f t="shared" si="1"/>
        <v>255842.35412474844</v>
      </c>
      <c r="I26" s="58">
        <f t="shared" si="2"/>
        <v>1128132.6109523824</v>
      </c>
    </row>
    <row r="27" spans="1:9" x14ac:dyDescent="0.25">
      <c r="A27" s="50">
        <f>'A) Base RI'!A18</f>
        <v>5412</v>
      </c>
      <c r="B27" s="33" t="str">
        <f>'A) Base RI'!B18</f>
        <v>Rennaz</v>
      </c>
      <c r="C27" s="32">
        <f>'D) Ecrêtage'!M16</f>
        <v>28091.749629629627</v>
      </c>
      <c r="D27" s="472">
        <f>'A) Base RI'!AN18</f>
        <v>826</v>
      </c>
      <c r="E27" s="10">
        <f t="shared" si="0"/>
        <v>533219.76794028701</v>
      </c>
      <c r="F27" s="472">
        <f>'F) Population'!K19</f>
        <v>82516.901408450707</v>
      </c>
      <c r="G27" s="10">
        <f>'G) Solidarité'!I16</f>
        <v>165161.70169252128</v>
      </c>
      <c r="H27" s="472">
        <f t="shared" si="1"/>
        <v>247678.60310097199</v>
      </c>
      <c r="I27" s="58">
        <f t="shared" si="2"/>
        <v>285541.164839315</v>
      </c>
    </row>
    <row r="28" spans="1:9" x14ac:dyDescent="0.25">
      <c r="A28" s="50">
        <f>'A) Base RI'!A19</f>
        <v>5413</v>
      </c>
      <c r="B28" s="33" t="str">
        <f>'A) Base RI'!B19</f>
        <v>Roche</v>
      </c>
      <c r="C28" s="32">
        <f>'D) Ecrêtage'!M17</f>
        <v>39560.237499999996</v>
      </c>
      <c r="D28" s="472">
        <f>'A) Base RI'!AN19</f>
        <v>1775</v>
      </c>
      <c r="E28" s="10">
        <f t="shared" si="0"/>
        <v>750907.32822008117</v>
      </c>
      <c r="F28" s="472">
        <f>'F) Population'!K20</f>
        <v>370876.50905432593</v>
      </c>
      <c r="G28" s="10">
        <f>'G) Solidarité'!I17</f>
        <v>742158.15793189022</v>
      </c>
      <c r="H28" s="472">
        <f t="shared" si="1"/>
        <v>1113034.6669862161</v>
      </c>
      <c r="I28" s="58">
        <f t="shared" si="2"/>
        <v>-362127.33876613493</v>
      </c>
    </row>
    <row r="29" spans="1:9" x14ac:dyDescent="0.25">
      <c r="A29" s="50">
        <f>'A) Base RI'!A20</f>
        <v>5414</v>
      </c>
      <c r="B29" s="33" t="str">
        <f>'A) Base RI'!B20</f>
        <v>Villeneuve</v>
      </c>
      <c r="C29" s="32">
        <f>'D) Ecrêtage'!M18</f>
        <v>165641.09797101447</v>
      </c>
      <c r="D29" s="472">
        <f>'A) Base RI'!AN20</f>
        <v>5771</v>
      </c>
      <c r="E29" s="10">
        <f t="shared" si="0"/>
        <v>3144094.2264528922</v>
      </c>
      <c r="F29" s="472">
        <f>'F) Population'!K21</f>
        <v>2260323.7424547281</v>
      </c>
      <c r="G29" s="10">
        <f>'G) Solidarité'!I18</f>
        <v>1784695.9876366137</v>
      </c>
      <c r="H29" s="472">
        <f t="shared" si="1"/>
        <v>4045019.7300913418</v>
      </c>
      <c r="I29" s="58">
        <f t="shared" si="2"/>
        <v>-900925.50363844959</v>
      </c>
    </row>
    <row r="30" spans="1:9" x14ac:dyDescent="0.25">
      <c r="A30" s="50">
        <f>'A) Base RI'!A21</f>
        <v>5415</v>
      </c>
      <c r="B30" s="33" t="str">
        <f>'A) Base RI'!B21</f>
        <v>Yvorne</v>
      </c>
      <c r="C30" s="32">
        <f>'D) Ecrêtage'!M19</f>
        <v>34590.752587412586</v>
      </c>
      <c r="D30" s="472">
        <f>'A) Base RI'!AN21</f>
        <v>1066</v>
      </c>
      <c r="E30" s="10">
        <f t="shared" si="0"/>
        <v>656579.71862620511</v>
      </c>
      <c r="F30" s="472">
        <f>'F) Population'!K22</f>
        <v>122976.15694164988</v>
      </c>
      <c r="G30" s="10">
        <f>'G) Solidarité'!I19</f>
        <v>272919.27643634414</v>
      </c>
      <c r="H30" s="472">
        <f t="shared" si="1"/>
        <v>395895.43337799399</v>
      </c>
      <c r="I30" s="58">
        <f t="shared" si="2"/>
        <v>260684.28524821112</v>
      </c>
    </row>
    <row r="31" spans="1:9" x14ac:dyDescent="0.25">
      <c r="A31" s="50">
        <f>'A) Base RI'!A22</f>
        <v>5421</v>
      </c>
      <c r="B31" s="33" t="str">
        <f>'A) Base RI'!B22</f>
        <v>Apples</v>
      </c>
      <c r="C31" s="32">
        <f>'D) Ecrêtage'!M20</f>
        <v>67631.915526315803</v>
      </c>
      <c r="D31" s="472">
        <f>'A) Base RI'!AN22</f>
        <v>1469</v>
      </c>
      <c r="E31" s="10">
        <f t="shared" si="0"/>
        <v>1283746.1097212075</v>
      </c>
      <c r="F31" s="472">
        <f>'F) Population'!K23</f>
        <v>263884.25553319918</v>
      </c>
      <c r="G31" s="10">
        <f>'G) Solidarité'!I20</f>
        <v>0</v>
      </c>
      <c r="H31" s="472">
        <f t="shared" si="1"/>
        <v>263884.25553319918</v>
      </c>
      <c r="I31" s="58">
        <f t="shared" si="2"/>
        <v>1019861.8541880084</v>
      </c>
    </row>
    <row r="32" spans="1:9" x14ac:dyDescent="0.25">
      <c r="A32" s="50">
        <f>'A) Base RI'!A23</f>
        <v>5422</v>
      </c>
      <c r="B32" s="33" t="str">
        <f>'A) Base RI'!B23</f>
        <v>Aubonne</v>
      </c>
      <c r="C32" s="32">
        <f>'D) Ecrêtage'!M21</f>
        <v>227451.77123229718</v>
      </c>
      <c r="D32" s="472">
        <f>'A) Base RI'!AN23</f>
        <v>3242</v>
      </c>
      <c r="E32" s="10">
        <f t="shared" si="0"/>
        <v>4317345.2089353455</v>
      </c>
      <c r="F32" s="472">
        <f>'F) Population'!K24</f>
        <v>920073.44064386305</v>
      </c>
      <c r="G32" s="10">
        <f>'G) Solidarité'!I21</f>
        <v>0</v>
      </c>
      <c r="H32" s="472">
        <f t="shared" si="1"/>
        <v>920073.44064386305</v>
      </c>
      <c r="I32" s="58">
        <f t="shared" si="2"/>
        <v>3397271.7682914827</v>
      </c>
    </row>
    <row r="33" spans="1:9" x14ac:dyDescent="0.25">
      <c r="A33" s="50">
        <f>'A) Base RI'!A24</f>
        <v>5423</v>
      </c>
      <c r="B33" s="33" t="str">
        <f>'A) Base RI'!B24</f>
        <v>Ballens</v>
      </c>
      <c r="C33" s="32">
        <f>'D) Ecrêtage'!M22</f>
        <v>13821.516027397261</v>
      </c>
      <c r="D33" s="472">
        <f>'A) Base RI'!AN24</f>
        <v>536</v>
      </c>
      <c r="E33" s="10">
        <f t="shared" si="0"/>
        <v>262351.2478175569</v>
      </c>
      <c r="F33" s="472">
        <f>'F) Population'!K25</f>
        <v>53546.076458752512</v>
      </c>
      <c r="G33" s="10">
        <f>'G) Solidarité'!I22</f>
        <v>218601.55685555466</v>
      </c>
      <c r="H33" s="472">
        <f t="shared" si="1"/>
        <v>272147.6333143072</v>
      </c>
      <c r="I33" s="58">
        <f t="shared" si="2"/>
        <v>-9796.3854967502994</v>
      </c>
    </row>
    <row r="34" spans="1:9" x14ac:dyDescent="0.25">
      <c r="A34" s="50">
        <f>'A) Base RI'!A25</f>
        <v>5424</v>
      </c>
      <c r="B34" s="33" t="str">
        <f>'A) Base RI'!B25</f>
        <v>Berolle</v>
      </c>
      <c r="C34" s="32">
        <f>'D) Ecrêtage'!M23</f>
        <v>9297.6342857142881</v>
      </c>
      <c r="D34" s="472">
        <f>'A) Base RI'!AN25</f>
        <v>307</v>
      </c>
      <c r="E34" s="10">
        <f t="shared" si="0"/>
        <v>176481.79488945534</v>
      </c>
      <c r="F34" s="472">
        <f>'F) Population'!K26</f>
        <v>30669.114688128771</v>
      </c>
      <c r="G34" s="10">
        <f>'G) Solidarité'!I23</f>
        <v>106791.49027630477</v>
      </c>
      <c r="H34" s="472">
        <f t="shared" si="1"/>
        <v>137460.60496443353</v>
      </c>
      <c r="I34" s="58">
        <f t="shared" si="2"/>
        <v>39021.189925021812</v>
      </c>
    </row>
    <row r="35" spans="1:9" x14ac:dyDescent="0.25">
      <c r="A35" s="50">
        <f>'A) Base RI'!A26</f>
        <v>5425</v>
      </c>
      <c r="B35" s="33" t="str">
        <f>'A) Base RI'!B26</f>
        <v>Bière</v>
      </c>
      <c r="C35" s="32">
        <f>'D) Ecrêtage'!M24</f>
        <v>39425.527551724139</v>
      </c>
      <c r="D35" s="472">
        <f>'A) Base RI'!AN26</f>
        <v>1595</v>
      </c>
      <c r="E35" s="10">
        <f t="shared" si="0"/>
        <v>748350.3494520823</v>
      </c>
      <c r="F35" s="472">
        <f>'F) Population'!K27</f>
        <v>307939.88933601609</v>
      </c>
      <c r="G35" s="10">
        <f>'G) Solidarité'!I24</f>
        <v>631280.56173305959</v>
      </c>
      <c r="H35" s="472">
        <f t="shared" si="1"/>
        <v>939220.45106907561</v>
      </c>
      <c r="I35" s="58">
        <f t="shared" si="2"/>
        <v>-190870.10161699331</v>
      </c>
    </row>
    <row r="36" spans="1:9" x14ac:dyDescent="0.25">
      <c r="A36" s="50">
        <f>'A) Base RI'!A27</f>
        <v>5426</v>
      </c>
      <c r="B36" s="33" t="str">
        <f>'A) Base RI'!B27</f>
        <v>Bougy-Villars</v>
      </c>
      <c r="C36" s="32">
        <f>'D) Ecrêtage'!M25</f>
        <v>45417.783497595345</v>
      </c>
      <c r="D36" s="472">
        <f>'A) Base RI'!AN27</f>
        <v>490</v>
      </c>
      <c r="E36" s="10">
        <f t="shared" si="0"/>
        <v>862091.54987649946</v>
      </c>
      <c r="F36" s="472">
        <f>'F) Population'!K28</f>
        <v>48950.704225352114</v>
      </c>
      <c r="G36" s="10">
        <f>'G) Solidarité'!I25</f>
        <v>0</v>
      </c>
      <c r="H36" s="472">
        <f t="shared" si="1"/>
        <v>48950.704225352114</v>
      </c>
      <c r="I36" s="58">
        <f t="shared" si="2"/>
        <v>813140.84565114731</v>
      </c>
    </row>
    <row r="37" spans="1:9" x14ac:dyDescent="0.25">
      <c r="A37" s="50">
        <f>'A) Base RI'!A28</f>
        <v>5427</v>
      </c>
      <c r="B37" s="33" t="str">
        <f>'A) Base RI'!B28</f>
        <v>Féchy</v>
      </c>
      <c r="C37" s="32">
        <f>'D) Ecrêtage'!M26</f>
        <v>67807.151141872484</v>
      </c>
      <c r="D37" s="472">
        <f>'A) Base RI'!AN28</f>
        <v>860</v>
      </c>
      <c r="E37" s="10">
        <f t="shared" si="0"/>
        <v>1287072.3209929843</v>
      </c>
      <c r="F37" s="472">
        <f>'F) Population'!K29</f>
        <v>85913.480885311874</v>
      </c>
      <c r="G37" s="10">
        <f>'G) Solidarité'!I26</f>
        <v>0</v>
      </c>
      <c r="H37" s="472">
        <f t="shared" si="1"/>
        <v>85913.480885311874</v>
      </c>
      <c r="I37" s="58">
        <f t="shared" si="2"/>
        <v>1201158.8401076724</v>
      </c>
    </row>
    <row r="38" spans="1:9" x14ac:dyDescent="0.25">
      <c r="A38" s="50">
        <f>'A) Base RI'!A29</f>
        <v>5428</v>
      </c>
      <c r="B38" s="33" t="str">
        <f>'A) Base RI'!B29</f>
        <v>Gimel</v>
      </c>
      <c r="C38" s="32">
        <f>'D) Ecrêtage'!M27</f>
        <v>59817.35356643358</v>
      </c>
      <c r="D38" s="472">
        <f>'A) Base RI'!AN29</f>
        <v>2186</v>
      </c>
      <c r="E38" s="10">
        <f t="shared" si="0"/>
        <v>1135415.0527475115</v>
      </c>
      <c r="F38" s="472">
        <f>'F) Population'!K30</f>
        <v>514581.79074446671</v>
      </c>
      <c r="G38" s="10">
        <f>'G) Solidarité'!I27</f>
        <v>785286.29262581037</v>
      </c>
      <c r="H38" s="472">
        <f t="shared" si="1"/>
        <v>1299868.0833702772</v>
      </c>
      <c r="I38" s="58">
        <f t="shared" si="2"/>
        <v>-164453.03062276565</v>
      </c>
    </row>
    <row r="39" spans="1:9" x14ac:dyDescent="0.25">
      <c r="A39" s="50">
        <f>'A) Base RI'!A30</f>
        <v>5429</v>
      </c>
      <c r="B39" s="33" t="str">
        <f>'A) Base RI'!B30</f>
        <v>Longirod</v>
      </c>
      <c r="C39" s="32">
        <f>'D) Ecrêtage'!M28</f>
        <v>13793.381358024693</v>
      </c>
      <c r="D39" s="472">
        <f>'A) Base RI'!AN30</f>
        <v>478</v>
      </c>
      <c r="E39" s="10">
        <f t="shared" si="0"/>
        <v>261817.2133742877</v>
      </c>
      <c r="F39" s="472">
        <f>'F) Population'!K31</f>
        <v>47751.911468812876</v>
      </c>
      <c r="G39" s="10">
        <f>'G) Solidarité'!I28</f>
        <v>201791.26411682324</v>
      </c>
      <c r="H39" s="472">
        <f t="shared" si="1"/>
        <v>249543.17558563611</v>
      </c>
      <c r="I39" s="58">
        <f t="shared" si="2"/>
        <v>12274.037788651593</v>
      </c>
    </row>
    <row r="40" spans="1:9" x14ac:dyDescent="0.25">
      <c r="A40" s="50">
        <f>'A) Base RI'!A31</f>
        <v>5430</v>
      </c>
      <c r="B40" s="33" t="str">
        <f>'A) Base RI'!B31</f>
        <v>Marchissy</v>
      </c>
      <c r="C40" s="32">
        <f>'D) Ecrêtage'!M29</f>
        <v>13616.452025316456</v>
      </c>
      <c r="D40" s="472">
        <f>'A) Base RI'!AN31</f>
        <v>463</v>
      </c>
      <c r="E40" s="10">
        <f t="shared" si="0"/>
        <v>258458.8530381622</v>
      </c>
      <c r="F40" s="472">
        <f>'F) Population'!K32</f>
        <v>46253.420523138833</v>
      </c>
      <c r="G40" s="10">
        <f>'G) Solidarité'!I29</f>
        <v>179584.74110412094</v>
      </c>
      <c r="H40" s="472">
        <f t="shared" si="1"/>
        <v>225838.16162725977</v>
      </c>
      <c r="I40" s="58">
        <f t="shared" si="2"/>
        <v>32620.691410902422</v>
      </c>
    </row>
    <row r="41" spans="1:9" x14ac:dyDescent="0.25">
      <c r="A41" s="50">
        <f>'A) Base RI'!A32</f>
        <v>5431</v>
      </c>
      <c r="B41" s="33" t="str">
        <f>'A) Base RI'!B32</f>
        <v>Mollens</v>
      </c>
      <c r="C41" s="32">
        <f>'D) Ecrêtage'!M30</f>
        <v>8628.4962162162174</v>
      </c>
      <c r="D41" s="472">
        <f>'A) Base RI'!AN32</f>
        <v>283</v>
      </c>
      <c r="E41" s="10">
        <f t="shared" si="0"/>
        <v>163780.64060601254</v>
      </c>
      <c r="F41" s="472">
        <f>'F) Population'!K33</f>
        <v>28271.529175050302</v>
      </c>
      <c r="G41" s="10">
        <f>'G) Solidarité'!I30</f>
        <v>89666.816160084301</v>
      </c>
      <c r="H41" s="472">
        <f t="shared" si="1"/>
        <v>117938.3453351346</v>
      </c>
      <c r="I41" s="58">
        <f t="shared" si="2"/>
        <v>45842.295270877948</v>
      </c>
    </row>
    <row r="42" spans="1:9" x14ac:dyDescent="0.25">
      <c r="A42" s="50">
        <f>'A) Base RI'!A33</f>
        <v>5432</v>
      </c>
      <c r="B42" s="33" t="str">
        <f>'A) Base RI'!B33</f>
        <v>Montherod</v>
      </c>
      <c r="C42" s="32">
        <f>'D) Ecrêtage'!M31</f>
        <v>18262.77307692308</v>
      </c>
      <c r="D42" s="472">
        <f>'A) Base RI'!AN33</f>
        <v>536</v>
      </c>
      <c r="E42" s="10">
        <f t="shared" si="0"/>
        <v>346652.37126248149</v>
      </c>
      <c r="F42" s="472">
        <f>'F) Population'!K34</f>
        <v>53546.076458752512</v>
      </c>
      <c r="G42" s="10">
        <f>'G) Solidarité'!I31</f>
        <v>142296.8304276834</v>
      </c>
      <c r="H42" s="472">
        <f t="shared" si="1"/>
        <v>195842.9068864359</v>
      </c>
      <c r="I42" s="58">
        <f t="shared" si="2"/>
        <v>150809.46437604559</v>
      </c>
    </row>
    <row r="43" spans="1:9" x14ac:dyDescent="0.25">
      <c r="A43" s="50">
        <f>'A) Base RI'!A34</f>
        <v>5434</v>
      </c>
      <c r="B43" s="33" t="str">
        <f>'A) Base RI'!B34</f>
        <v>Saint-George</v>
      </c>
      <c r="C43" s="32">
        <f>'D) Ecrêtage'!M32</f>
        <v>36787.196197183097</v>
      </c>
      <c r="D43" s="472">
        <f>'A) Base RI'!AN34</f>
        <v>1031</v>
      </c>
      <c r="E43" s="10">
        <f t="shared" si="0"/>
        <v>698271.21763701981</v>
      </c>
      <c r="F43" s="472">
        <f>'F) Population'!K35</f>
        <v>110738.48088531186</v>
      </c>
      <c r="G43" s="10">
        <f>'G) Solidarité'!I32</f>
        <v>193591.49159984529</v>
      </c>
      <c r="H43" s="472">
        <f t="shared" si="1"/>
        <v>304329.97248515714</v>
      </c>
      <c r="I43" s="58">
        <f t="shared" si="2"/>
        <v>393941.24515186268</v>
      </c>
    </row>
    <row r="44" spans="1:9" x14ac:dyDescent="0.25">
      <c r="A44" s="50">
        <f>'A) Base RI'!A35</f>
        <v>5435</v>
      </c>
      <c r="B44" s="33" t="str">
        <f>'A) Base RI'!B35</f>
        <v>Saint-Livres</v>
      </c>
      <c r="C44" s="32">
        <f>'D) Ecrêtage'!M33</f>
        <v>24145.271449275358</v>
      </c>
      <c r="D44" s="472">
        <f>'A) Base RI'!AN35</f>
        <v>690</v>
      </c>
      <c r="E44" s="10">
        <f t="shared" si="0"/>
        <v>458310.22306486324</v>
      </c>
      <c r="F44" s="472">
        <f>'F) Population'!K36</f>
        <v>68930.58350100604</v>
      </c>
      <c r="G44" s="10">
        <f>'G) Solidarité'!I33</f>
        <v>131337.51722174906</v>
      </c>
      <c r="H44" s="472">
        <f t="shared" si="1"/>
        <v>200268.1007227551</v>
      </c>
      <c r="I44" s="58">
        <f t="shared" si="2"/>
        <v>258042.12234210814</v>
      </c>
    </row>
    <row r="45" spans="1:9" x14ac:dyDescent="0.25">
      <c r="A45" s="50">
        <f>'A) Base RI'!A36</f>
        <v>5436</v>
      </c>
      <c r="B45" s="33" t="str">
        <f>'A) Base RI'!B36</f>
        <v>Saint-Oyens</v>
      </c>
      <c r="C45" s="32">
        <f>'D) Ecrêtage'!M34</f>
        <v>15077.325709876546</v>
      </c>
      <c r="D45" s="472">
        <f>'A) Base RI'!AN36</f>
        <v>448</v>
      </c>
      <c r="E45" s="10">
        <f t="shared" si="0"/>
        <v>286188.23042979295</v>
      </c>
      <c r="F45" s="472">
        <f>'F) Population'!K37</f>
        <v>44754.929577464791</v>
      </c>
      <c r="G45" s="10">
        <f>'G) Solidarité'!I34</f>
        <v>133132.54598552518</v>
      </c>
      <c r="H45" s="472">
        <f t="shared" si="1"/>
        <v>177887.47556298997</v>
      </c>
      <c r="I45" s="58">
        <f t="shared" si="2"/>
        <v>108300.75486680298</v>
      </c>
    </row>
    <row r="46" spans="1:9" x14ac:dyDescent="0.25">
      <c r="A46" s="50">
        <f>'A) Base RI'!A37</f>
        <v>5437</v>
      </c>
      <c r="B46" s="33" t="str">
        <f>'A) Base RI'!B37</f>
        <v>Saubraz</v>
      </c>
      <c r="C46" s="32">
        <f>'D) Ecrêtage'!M35</f>
        <v>11422.239624999998</v>
      </c>
      <c r="D46" s="472">
        <f>'A) Base RI'!AN37</f>
        <v>418</v>
      </c>
      <c r="E46" s="10">
        <f t="shared" si="0"/>
        <v>216809.7054295564</v>
      </c>
      <c r="F46" s="472">
        <f>'F) Population'!K38</f>
        <v>41757.947686116699</v>
      </c>
      <c r="G46" s="10">
        <f>'G) Solidarité'!I35</f>
        <v>188387.10911255825</v>
      </c>
      <c r="H46" s="472">
        <f t="shared" si="1"/>
        <v>230145.05679867495</v>
      </c>
      <c r="I46" s="58">
        <f t="shared" si="2"/>
        <v>-13335.351369118551</v>
      </c>
    </row>
    <row r="47" spans="1:9" x14ac:dyDescent="0.25">
      <c r="A47" s="50">
        <f>'A) Base RI'!A38</f>
        <v>5451</v>
      </c>
      <c r="B47" s="33" t="str">
        <f>'A) Base RI'!B38</f>
        <v>Avenches</v>
      </c>
      <c r="C47" s="32">
        <f>'D) Ecrêtage'!M36</f>
        <v>150757.73362745097</v>
      </c>
      <c r="D47" s="472">
        <f>'A) Base RI'!AN38</f>
        <v>4282</v>
      </c>
      <c r="E47" s="10">
        <f t="shared" si="0"/>
        <v>2861587.6476147017</v>
      </c>
      <c r="F47" s="472">
        <f>'F) Population'!K39</f>
        <v>1439550.3018108651</v>
      </c>
      <c r="G47" s="10">
        <f>'G) Solidarité'!I36</f>
        <v>774764.76001802355</v>
      </c>
      <c r="H47" s="472">
        <f t="shared" si="1"/>
        <v>2214315.0618288885</v>
      </c>
      <c r="I47" s="58">
        <f t="shared" si="2"/>
        <v>647272.58578581316</v>
      </c>
    </row>
    <row r="48" spans="1:9" x14ac:dyDescent="0.25">
      <c r="A48" s="50">
        <f>'A) Base RI'!A39</f>
        <v>5456</v>
      </c>
      <c r="B48" s="33" t="str">
        <f>'A) Base RI'!B39</f>
        <v>Cudrefin</v>
      </c>
      <c r="C48" s="32">
        <f>'D) Ecrêtage'!M37</f>
        <v>59376.955254237291</v>
      </c>
      <c r="D48" s="472">
        <f>'A) Base RI'!AN39</f>
        <v>1633</v>
      </c>
      <c r="E48" s="10">
        <f t="shared" si="0"/>
        <v>1127055.6914073795</v>
      </c>
      <c r="F48" s="472">
        <f>'F) Population'!K40</f>
        <v>321226.50905432593</v>
      </c>
      <c r="G48" s="10">
        <f>'G) Solidarité'!I37</f>
        <v>196402.34119902848</v>
      </c>
      <c r="H48" s="472">
        <f t="shared" si="1"/>
        <v>517628.85025335441</v>
      </c>
      <c r="I48" s="58">
        <f t="shared" si="2"/>
        <v>609426.84115402505</v>
      </c>
    </row>
    <row r="49" spans="1:9" x14ac:dyDescent="0.25">
      <c r="A49" s="50">
        <f>'A) Base RI'!A40</f>
        <v>5458</v>
      </c>
      <c r="B49" s="33" t="str">
        <f>'A) Base RI'!B40</f>
        <v>Faoug</v>
      </c>
      <c r="C49" s="32">
        <f>'D) Ecrêtage'!M38</f>
        <v>30529.72296875</v>
      </c>
      <c r="D49" s="472">
        <f>'A) Base RI'!AN40</f>
        <v>904</v>
      </c>
      <c r="E49" s="10">
        <f t="shared" si="0"/>
        <v>579495.83102890395</v>
      </c>
      <c r="F49" s="472">
        <f>'F) Population'!K41</f>
        <v>90309.054325955731</v>
      </c>
      <c r="G49" s="10">
        <f>'G) Solidarité'!I38</f>
        <v>165991.12990374674</v>
      </c>
      <c r="H49" s="472">
        <f t="shared" si="1"/>
        <v>256300.18422970246</v>
      </c>
      <c r="I49" s="58">
        <f t="shared" si="2"/>
        <v>323195.6467992015</v>
      </c>
    </row>
    <row r="50" spans="1:9" x14ac:dyDescent="0.25">
      <c r="A50" s="50">
        <f>'A) Base RI'!A41</f>
        <v>5464</v>
      </c>
      <c r="B50" s="33" t="str">
        <f>'A) Base RI'!B41</f>
        <v>Vully-les-Lacs</v>
      </c>
      <c r="C50" s="32">
        <f>'D) Ecrêtage'!M39</f>
        <v>103962.98910447762</v>
      </c>
      <c r="D50" s="472">
        <f>'A) Base RI'!AN41</f>
        <v>3163</v>
      </c>
      <c r="E50" s="10">
        <f t="shared" si="0"/>
        <v>1973359.4972026318</v>
      </c>
      <c r="F50" s="472">
        <f>'F) Population'!K42</f>
        <v>880613.17907444655</v>
      </c>
      <c r="G50" s="10">
        <f>'G) Solidarité'!I39</f>
        <v>687432.27541111829</v>
      </c>
      <c r="H50" s="472">
        <f t="shared" si="1"/>
        <v>1568045.454485565</v>
      </c>
      <c r="I50" s="58">
        <f t="shared" si="2"/>
        <v>405314.04271706683</v>
      </c>
    </row>
    <row r="51" spans="1:9" x14ac:dyDescent="0.25">
      <c r="A51" s="50">
        <f>'A) Base RI'!A42</f>
        <v>5471</v>
      </c>
      <c r="B51" s="33" t="str">
        <f>'A) Base RI'!B42</f>
        <v>Bettens</v>
      </c>
      <c r="C51" s="32">
        <f>'D) Ecrêtage'!M40</f>
        <v>18585.086968253971</v>
      </c>
      <c r="D51" s="472">
        <f>'A) Base RI'!AN42</f>
        <v>592</v>
      </c>
      <c r="E51" s="10">
        <f t="shared" si="0"/>
        <v>352770.32904742897</v>
      </c>
      <c r="F51" s="472">
        <f>'F) Population'!K43</f>
        <v>59140.442655935614</v>
      </c>
      <c r="G51" s="10">
        <f>'G) Solidarité'!I40</f>
        <v>157426.6822874425</v>
      </c>
      <c r="H51" s="472">
        <f t="shared" si="1"/>
        <v>216567.12494337812</v>
      </c>
      <c r="I51" s="58">
        <f t="shared" si="2"/>
        <v>136203.20410405085</v>
      </c>
    </row>
    <row r="52" spans="1:9" x14ac:dyDescent="0.25">
      <c r="A52" s="50">
        <f>'A) Base RI'!A43</f>
        <v>5472</v>
      </c>
      <c r="B52" s="33" t="str">
        <f>'A) Base RI'!B43</f>
        <v>Bournens</v>
      </c>
      <c r="C52" s="32">
        <f>'D) Ecrêtage'!M41</f>
        <v>16542.658815789473</v>
      </c>
      <c r="D52" s="472">
        <f>'A) Base RI'!AN43</f>
        <v>404</v>
      </c>
      <c r="E52" s="10">
        <f t="shared" si="0"/>
        <v>314002.25372814928</v>
      </c>
      <c r="F52" s="472">
        <f>'F) Population'!K44</f>
        <v>40359.356136820927</v>
      </c>
      <c r="G52" s="10">
        <f>'G) Solidarité'!I41</f>
        <v>38133.052008800973</v>
      </c>
      <c r="H52" s="472">
        <f t="shared" si="1"/>
        <v>78492.408145621899</v>
      </c>
      <c r="I52" s="58">
        <f t="shared" si="2"/>
        <v>235509.8455825274</v>
      </c>
    </row>
    <row r="53" spans="1:9" x14ac:dyDescent="0.25">
      <c r="A53" s="50">
        <f>'A) Base RI'!A44</f>
        <v>5473</v>
      </c>
      <c r="B53" s="33" t="str">
        <f>'A) Base RI'!B44</f>
        <v>Boussens</v>
      </c>
      <c r="C53" s="32">
        <f>'D) Ecrêtage'!M42</f>
        <v>36720.844927536244</v>
      </c>
      <c r="D53" s="472">
        <f>'A) Base RI'!AN44</f>
        <v>968</v>
      </c>
      <c r="E53" s="10">
        <f t="shared" si="0"/>
        <v>697011.779934844</v>
      </c>
      <c r="F53" s="472">
        <f>'F) Population'!K45</f>
        <v>96702.615694164982</v>
      </c>
      <c r="G53" s="10">
        <f>'G) Solidarité'!I42</f>
        <v>130430.59879580331</v>
      </c>
      <c r="H53" s="472">
        <f t="shared" si="1"/>
        <v>227133.21448996829</v>
      </c>
      <c r="I53" s="58">
        <f t="shared" si="2"/>
        <v>469878.56544487574</v>
      </c>
    </row>
    <row r="54" spans="1:9" x14ac:dyDescent="0.25">
      <c r="A54" s="50">
        <f>'A) Base RI'!A45</f>
        <v>5474</v>
      </c>
      <c r="B54" s="33" t="str">
        <f>'A) Base RI'!B45</f>
        <v>La Chaux (Cossonay)</v>
      </c>
      <c r="C54" s="32">
        <f>'D) Ecrêtage'!M43</f>
        <v>12985.393549783552</v>
      </c>
      <c r="D54" s="472">
        <f>'A) Base RI'!AN45</f>
        <v>410</v>
      </c>
      <c r="E54" s="10">
        <f t="shared" si="0"/>
        <v>246480.50144679347</v>
      </c>
      <c r="F54" s="472">
        <f>'F) Population'!K46</f>
        <v>40958.752515090542</v>
      </c>
      <c r="G54" s="10">
        <f>'G) Solidarité'!I43</f>
        <v>129242.00217278364</v>
      </c>
      <c r="H54" s="472">
        <f t="shared" si="1"/>
        <v>170200.75468787417</v>
      </c>
      <c r="I54" s="58">
        <f t="shared" si="2"/>
        <v>76279.746758919297</v>
      </c>
    </row>
    <row r="55" spans="1:9" x14ac:dyDescent="0.25">
      <c r="A55" s="50">
        <f>'A) Base RI'!A46</f>
        <v>5475</v>
      </c>
      <c r="B55" s="33" t="str">
        <f>'A) Base RI'!B46</f>
        <v>Chavannes-le-Veyron</v>
      </c>
      <c r="C55" s="32">
        <f>'D) Ecrêtage'!M44</f>
        <v>4956.4012987012984</v>
      </c>
      <c r="D55" s="472">
        <f>'A) Base RI'!AN46</f>
        <v>142</v>
      </c>
      <c r="E55" s="10">
        <f t="shared" si="0"/>
        <v>94079.264736323501</v>
      </c>
      <c r="F55" s="472">
        <f>'F) Population'!K47</f>
        <v>14185.714285714284</v>
      </c>
      <c r="G55" s="10">
        <f>'G) Solidarité'!I44</f>
        <v>33956.977220546789</v>
      </c>
      <c r="H55" s="472">
        <f t="shared" si="1"/>
        <v>48142.691506261071</v>
      </c>
      <c r="I55" s="58">
        <f t="shared" si="2"/>
        <v>45936.57323006243</v>
      </c>
    </row>
    <row r="56" spans="1:9" x14ac:dyDescent="0.25">
      <c r="A56" s="50">
        <f>'A) Base RI'!A47</f>
        <v>5476</v>
      </c>
      <c r="B56" s="33" t="str">
        <f>'A) Base RI'!B47</f>
        <v>Chevilly</v>
      </c>
      <c r="C56" s="32">
        <f>'D) Ecrêtage'!M45</f>
        <v>10630.648108108109</v>
      </c>
      <c r="D56" s="472">
        <f>'A) Base RI'!AN47</f>
        <v>314</v>
      </c>
      <c r="E56" s="10">
        <f t="shared" si="0"/>
        <v>201784.21750140711</v>
      </c>
      <c r="F56" s="472">
        <f>'F) Population'!K48</f>
        <v>31368.410462776657</v>
      </c>
      <c r="G56" s="10">
        <f>'G) Solidarité'!I45</f>
        <v>76509.67998829612</v>
      </c>
      <c r="H56" s="472">
        <f t="shared" si="1"/>
        <v>107878.09045107279</v>
      </c>
      <c r="I56" s="58">
        <f t="shared" si="2"/>
        <v>93906.127050334326</v>
      </c>
    </row>
    <row r="57" spans="1:9" x14ac:dyDescent="0.25">
      <c r="A57" s="50">
        <f>'A) Base RI'!A48</f>
        <v>5477</v>
      </c>
      <c r="B57" s="33" t="str">
        <f>'A) Base RI'!B48</f>
        <v>Cossonay</v>
      </c>
      <c r="C57" s="32">
        <f>'D) Ecrêtage'!M46</f>
        <v>133477.09521126762</v>
      </c>
      <c r="D57" s="472">
        <f>'A) Base RI'!AN48</f>
        <v>3871</v>
      </c>
      <c r="E57" s="10">
        <f t="shared" si="0"/>
        <v>2533577.5333419158</v>
      </c>
      <c r="F57" s="472">
        <f>'F) Population'!K49</f>
        <v>1234257.042253521</v>
      </c>
      <c r="G57" s="10">
        <f>'G) Solidarité'!I46</f>
        <v>819810.17040111171</v>
      </c>
      <c r="H57" s="472">
        <f t="shared" si="1"/>
        <v>2054067.2126546327</v>
      </c>
      <c r="I57" s="58">
        <f t="shared" si="2"/>
        <v>479510.32068728306</v>
      </c>
    </row>
    <row r="58" spans="1:9" x14ac:dyDescent="0.25">
      <c r="A58" s="50">
        <f>'A) Base RI'!A49</f>
        <v>5478</v>
      </c>
      <c r="B58" s="33" t="str">
        <f>'A) Base RI'!B49</f>
        <v>Cottens</v>
      </c>
      <c r="C58" s="32">
        <f>'D) Ecrêtage'!M47</f>
        <v>14377.418378378377</v>
      </c>
      <c r="D58" s="472">
        <f>'A) Base RI'!AN49</f>
        <v>486</v>
      </c>
      <c r="E58" s="10">
        <f t="shared" si="0"/>
        <v>272903.03353740985</v>
      </c>
      <c r="F58" s="472">
        <f>'F) Population'!K50</f>
        <v>48551.106639839032</v>
      </c>
      <c r="G58" s="10">
        <f>'G) Solidarité'!I47</f>
        <v>163561.14359045486</v>
      </c>
      <c r="H58" s="472">
        <f t="shared" si="1"/>
        <v>212112.2502302939</v>
      </c>
      <c r="I58" s="58">
        <f t="shared" si="2"/>
        <v>60790.783307115955</v>
      </c>
    </row>
    <row r="59" spans="1:9" x14ac:dyDescent="0.25">
      <c r="A59" s="50">
        <f>'A) Base RI'!A50</f>
        <v>5479</v>
      </c>
      <c r="B59" s="33" t="str">
        <f>'A) Base RI'!B50</f>
        <v>Cuarnens</v>
      </c>
      <c r="C59" s="32">
        <f>'D) Ecrêtage'!M48</f>
        <v>16455.372077922078</v>
      </c>
      <c r="D59" s="472">
        <f>'A) Base RI'!AN50</f>
        <v>479</v>
      </c>
      <c r="E59" s="10">
        <f t="shared" si="0"/>
        <v>312345.43225125468</v>
      </c>
      <c r="F59" s="472">
        <f>'F) Population'!K51</f>
        <v>47851.810865191146</v>
      </c>
      <c r="G59" s="10">
        <f>'G) Solidarité'!I48</f>
        <v>120753.56691920588</v>
      </c>
      <c r="H59" s="472">
        <f t="shared" si="1"/>
        <v>168605.37778439705</v>
      </c>
      <c r="I59" s="58">
        <f t="shared" si="2"/>
        <v>143740.05446685763</v>
      </c>
    </row>
    <row r="60" spans="1:9" x14ac:dyDescent="0.25">
      <c r="A60" s="50">
        <f>'A) Base RI'!A51</f>
        <v>5480</v>
      </c>
      <c r="B60" s="33" t="str">
        <f>'A) Base RI'!B51</f>
        <v>Daillens</v>
      </c>
      <c r="C60" s="32">
        <f>'D) Ecrêtage'!M49</f>
        <v>41472.794507042257</v>
      </c>
      <c r="D60" s="472">
        <f>'A) Base RI'!AN51</f>
        <v>1027</v>
      </c>
      <c r="E60" s="10">
        <f t="shared" si="0"/>
        <v>787210.2718570272</v>
      </c>
      <c r="F60" s="472">
        <f>'F) Population'!K52</f>
        <v>109339.88933601609</v>
      </c>
      <c r="G60" s="10">
        <f>'G) Solidarité'!I49</f>
        <v>96208.821791785755</v>
      </c>
      <c r="H60" s="472">
        <f t="shared" si="1"/>
        <v>205548.71112780186</v>
      </c>
      <c r="I60" s="58">
        <f t="shared" si="2"/>
        <v>581661.5607292254</v>
      </c>
    </row>
    <row r="61" spans="1:9" x14ac:dyDescent="0.25">
      <c r="A61" s="50">
        <f>'A) Base RI'!A52</f>
        <v>5481</v>
      </c>
      <c r="B61" s="33" t="str">
        <f>'A) Base RI'!B52</f>
        <v>Dizy</v>
      </c>
      <c r="C61" s="32">
        <f>'D) Ecrêtage'!M50</f>
        <v>11087.272784810126</v>
      </c>
      <c r="D61" s="472">
        <f>'A) Base RI'!AN52</f>
        <v>223</v>
      </c>
      <c r="E61" s="10">
        <f t="shared" si="0"/>
        <v>210451.57739735488</v>
      </c>
      <c r="F61" s="472">
        <f>'F) Population'!K53</f>
        <v>22277.565392354125</v>
      </c>
      <c r="G61" s="10">
        <f>'G) Solidarité'!I50</f>
        <v>0</v>
      </c>
      <c r="H61" s="472">
        <f t="shared" si="1"/>
        <v>22277.565392354125</v>
      </c>
      <c r="I61" s="58">
        <f t="shared" si="2"/>
        <v>188174.01200500075</v>
      </c>
    </row>
    <row r="62" spans="1:9" x14ac:dyDescent="0.25">
      <c r="A62" s="50">
        <f>'A) Base RI'!A53</f>
        <v>5482</v>
      </c>
      <c r="B62" s="33" t="str">
        <f>'A) Base RI'!B53</f>
        <v>Eclépens</v>
      </c>
      <c r="C62" s="32">
        <f>'D) Ecrêtage'!M51</f>
        <v>49011.702173913051</v>
      </c>
      <c r="D62" s="472">
        <f>'A) Base RI'!AN53</f>
        <v>1211</v>
      </c>
      <c r="E62" s="10">
        <f t="shared" si="0"/>
        <v>930309.03393669962</v>
      </c>
      <c r="F62" s="472">
        <f>'F) Population'!K54</f>
        <v>173675.10060362171</v>
      </c>
      <c r="G62" s="10">
        <f>'G) Solidarité'!I51</f>
        <v>46708.028104396821</v>
      </c>
      <c r="H62" s="472">
        <f t="shared" si="1"/>
        <v>220383.12870801854</v>
      </c>
      <c r="I62" s="58">
        <f t="shared" si="2"/>
        <v>709925.90522868105</v>
      </c>
    </row>
    <row r="63" spans="1:9" x14ac:dyDescent="0.25">
      <c r="A63" s="50">
        <f>'A) Base RI'!A54</f>
        <v>5483</v>
      </c>
      <c r="B63" s="33" t="str">
        <f>'A) Base RI'!B54</f>
        <v>Ferreyres</v>
      </c>
      <c r="C63" s="32">
        <f>'D) Ecrêtage'!M52</f>
        <v>8858.2019736842121</v>
      </c>
      <c r="D63" s="472">
        <f>'A) Base RI'!AN54</f>
        <v>310</v>
      </c>
      <c r="E63" s="10">
        <f t="shared" si="0"/>
        <v>168140.76955157466</v>
      </c>
      <c r="F63" s="472">
        <f>'F) Population'!K55</f>
        <v>30968.812877263579</v>
      </c>
      <c r="G63" s="10">
        <f>'G) Solidarité'!I52</f>
        <v>117212.67115528717</v>
      </c>
      <c r="H63" s="472">
        <f t="shared" si="1"/>
        <v>148181.48403255074</v>
      </c>
      <c r="I63" s="58">
        <f t="shared" si="2"/>
        <v>19959.285519023921</v>
      </c>
    </row>
    <row r="64" spans="1:9" x14ac:dyDescent="0.25">
      <c r="A64" s="50">
        <f>'A) Base RI'!A55</f>
        <v>5484</v>
      </c>
      <c r="B64" s="33" t="str">
        <f>'A) Base RI'!B55</f>
        <v>Gollion</v>
      </c>
      <c r="C64" s="32">
        <f>'D) Ecrêtage'!M53</f>
        <v>32194.381081081083</v>
      </c>
      <c r="D64" s="472">
        <f>'A) Base RI'!AN55</f>
        <v>939</v>
      </c>
      <c r="E64" s="10">
        <f t="shared" si="0"/>
        <v>611093.31513223913</v>
      </c>
      <c r="F64" s="472">
        <f>'F) Population'!K56</f>
        <v>93805.533199195168</v>
      </c>
      <c r="G64" s="10">
        <f>'G) Solidarité'!I53</f>
        <v>220014.81766561477</v>
      </c>
      <c r="H64" s="472">
        <f t="shared" si="1"/>
        <v>313820.35086480994</v>
      </c>
      <c r="I64" s="58">
        <f t="shared" si="2"/>
        <v>297272.9642674292</v>
      </c>
    </row>
    <row r="65" spans="1:9" x14ac:dyDescent="0.25">
      <c r="A65" s="50">
        <f>'A) Base RI'!A56</f>
        <v>5485</v>
      </c>
      <c r="B65" s="33" t="str">
        <f>'A) Base RI'!B56</f>
        <v>Grancy</v>
      </c>
      <c r="C65" s="32">
        <f>'D) Ecrêtage'!M54</f>
        <v>18697.252714285714</v>
      </c>
      <c r="D65" s="472">
        <f>'A) Base RI'!AN56</f>
        <v>398</v>
      </c>
      <c r="E65" s="10">
        <f t="shared" si="0"/>
        <v>354899.38807217596</v>
      </c>
      <c r="F65" s="472">
        <f>'F) Population'!K57</f>
        <v>39759.959758551304</v>
      </c>
      <c r="G65" s="10">
        <f>'G) Solidarité'!I54</f>
        <v>0</v>
      </c>
      <c r="H65" s="472">
        <f t="shared" si="1"/>
        <v>39759.959758551304</v>
      </c>
      <c r="I65" s="58">
        <f t="shared" si="2"/>
        <v>315139.42831362464</v>
      </c>
    </row>
    <row r="66" spans="1:9" x14ac:dyDescent="0.25">
      <c r="A66" s="50">
        <f>'A) Base RI'!A57</f>
        <v>5486</v>
      </c>
      <c r="B66" s="33" t="str">
        <f>'A) Base RI'!B57</f>
        <v>L'Isle</v>
      </c>
      <c r="C66" s="32">
        <f>'D) Ecrêtage'!M55</f>
        <v>31254.420526315782</v>
      </c>
      <c r="D66" s="472">
        <f>'A) Base RI'!AN57</f>
        <v>1005</v>
      </c>
      <c r="E66" s="10">
        <f t="shared" si="0"/>
        <v>593251.58026370918</v>
      </c>
      <c r="F66" s="472">
        <f>'F) Population'!K58</f>
        <v>101647.63581488932</v>
      </c>
      <c r="G66" s="10">
        <f>'G) Solidarité'!I55</f>
        <v>321825.43923791545</v>
      </c>
      <c r="H66" s="472">
        <f t="shared" si="1"/>
        <v>423473.07505280478</v>
      </c>
      <c r="I66" s="58">
        <f t="shared" si="2"/>
        <v>169778.5052109044</v>
      </c>
    </row>
    <row r="67" spans="1:9" x14ac:dyDescent="0.25">
      <c r="A67" s="50">
        <f>'A) Base RI'!A58</f>
        <v>5487</v>
      </c>
      <c r="B67" s="33" t="str">
        <f>'A) Base RI'!B58</f>
        <v>Lussery-Villars</v>
      </c>
      <c r="C67" s="32">
        <f>'D) Ecrêtage'!M56</f>
        <v>14791.264800000001</v>
      </c>
      <c r="D67" s="472">
        <f>'A) Base RI'!AN58</f>
        <v>462</v>
      </c>
      <c r="E67" s="10">
        <f t="shared" si="0"/>
        <v>280758.40373718017</v>
      </c>
      <c r="F67" s="472">
        <f>'F) Population'!K59</f>
        <v>46153.521126760563</v>
      </c>
      <c r="G67" s="10">
        <f>'G) Solidarité'!I56</f>
        <v>134617.00699595391</v>
      </c>
      <c r="H67" s="472">
        <f t="shared" si="1"/>
        <v>180770.52812271449</v>
      </c>
      <c r="I67" s="58">
        <f t="shared" si="2"/>
        <v>99987.87561446568</v>
      </c>
    </row>
    <row r="68" spans="1:9" x14ac:dyDescent="0.25">
      <c r="A68" s="50">
        <f>'A) Base RI'!A59</f>
        <v>5488</v>
      </c>
      <c r="B68" s="33" t="str">
        <f>'A) Base RI'!B59</f>
        <v>Mauraz</v>
      </c>
      <c r="C68" s="32">
        <f>'D) Ecrêtage'!M57</f>
        <v>1908.9349999999995</v>
      </c>
      <c r="D68" s="472">
        <f>'A) Base RI'!AN59</f>
        <v>59</v>
      </c>
      <c r="E68" s="10">
        <f t="shared" si="0"/>
        <v>36234.192997344879</v>
      </c>
      <c r="F68" s="472">
        <f>'F) Population'!K60</f>
        <v>5894.0643863179075</v>
      </c>
      <c r="G68" s="10">
        <f>'G) Solidarité'!I57</f>
        <v>18110.901527680548</v>
      </c>
      <c r="H68" s="472">
        <f t="shared" si="1"/>
        <v>24004.965913998454</v>
      </c>
      <c r="I68" s="58">
        <f t="shared" si="2"/>
        <v>12229.227083346424</v>
      </c>
    </row>
    <row r="69" spans="1:9" x14ac:dyDescent="0.25">
      <c r="A69" s="50">
        <f>'A) Base RI'!A60</f>
        <v>5489</v>
      </c>
      <c r="B69" s="33" t="str">
        <f>'A) Base RI'!B60</f>
        <v>Mex</v>
      </c>
      <c r="C69" s="32">
        <f>'D) Ecrêtage'!M58</f>
        <v>63928.216488675753</v>
      </c>
      <c r="D69" s="472">
        <f>'A) Base RI'!AN60</f>
        <v>725</v>
      </c>
      <c r="E69" s="10">
        <f t="shared" si="0"/>
        <v>1213444.8444953458</v>
      </c>
      <c r="F69" s="472">
        <f>'F) Population'!K61</f>
        <v>72427.062374245477</v>
      </c>
      <c r="G69" s="10">
        <f>'G) Solidarité'!I58</f>
        <v>0</v>
      </c>
      <c r="H69" s="472">
        <f t="shared" si="1"/>
        <v>72427.062374245477</v>
      </c>
      <c r="I69" s="58">
        <f t="shared" si="2"/>
        <v>1141017.7821211005</v>
      </c>
    </row>
    <row r="70" spans="1:9" x14ac:dyDescent="0.25">
      <c r="A70" s="50">
        <f>'A) Base RI'!A61</f>
        <v>5490</v>
      </c>
      <c r="B70" s="33" t="str">
        <f>'A) Base RI'!B61</f>
        <v>Moiry</v>
      </c>
      <c r="C70" s="32">
        <f>'D) Ecrêtage'!M59</f>
        <v>9296.4079999999994</v>
      </c>
      <c r="D70" s="472">
        <f>'A) Base RI'!AN61</f>
        <v>310</v>
      </c>
      <c r="E70" s="10">
        <f t="shared" si="0"/>
        <v>176458.51831207506</v>
      </c>
      <c r="F70" s="472">
        <f>'F) Population'!K62</f>
        <v>30968.812877263579</v>
      </c>
      <c r="G70" s="10">
        <f>'G) Solidarité'!I59</f>
        <v>118741.19656401785</v>
      </c>
      <c r="H70" s="472">
        <f t="shared" si="1"/>
        <v>149710.00944128144</v>
      </c>
      <c r="I70" s="58">
        <f t="shared" si="2"/>
        <v>26748.508870793623</v>
      </c>
    </row>
    <row r="71" spans="1:9" x14ac:dyDescent="0.25">
      <c r="A71" s="50">
        <f>'A) Base RI'!A62</f>
        <v>5491</v>
      </c>
      <c r="B71" s="33" t="str">
        <f>'A) Base RI'!B62</f>
        <v>Mont-la-Ville</v>
      </c>
      <c r="C71" s="32">
        <f>'D) Ecrêtage'!M60</f>
        <v>12324.548552631581</v>
      </c>
      <c r="D71" s="472">
        <f>'A) Base RI'!AN62</f>
        <v>466</v>
      </c>
      <c r="E71" s="10">
        <f t="shared" si="0"/>
        <v>233936.76100087239</v>
      </c>
      <c r="F71" s="472">
        <f>'F) Population'!K63</f>
        <v>46553.118712273637</v>
      </c>
      <c r="G71" s="10">
        <f>'G) Solidarité'!I60</f>
        <v>198929.82359881472</v>
      </c>
      <c r="H71" s="472">
        <f t="shared" si="1"/>
        <v>245482.94231108835</v>
      </c>
      <c r="I71" s="58">
        <f t="shared" si="2"/>
        <v>-11546.181310215965</v>
      </c>
    </row>
    <row r="72" spans="1:9" x14ac:dyDescent="0.25">
      <c r="A72" s="50">
        <f>'A) Base RI'!A63</f>
        <v>5492</v>
      </c>
      <c r="B72" s="33" t="str">
        <f>'A) Base RI'!B63</f>
        <v>Montricher</v>
      </c>
      <c r="C72" s="32">
        <f>'D) Ecrêtage'!M61</f>
        <v>181920.96577427909</v>
      </c>
      <c r="D72" s="472">
        <f>'A) Base RI'!AN63</f>
        <v>940</v>
      </c>
      <c r="E72" s="10">
        <f t="shared" si="0"/>
        <v>3453108.3479157765</v>
      </c>
      <c r="F72" s="472">
        <f>'F) Population'!K64</f>
        <v>93905.432595573438</v>
      </c>
      <c r="G72" s="10">
        <f>'G) Solidarité'!I61</f>
        <v>0</v>
      </c>
      <c r="H72" s="472">
        <f t="shared" si="1"/>
        <v>93905.432595573438</v>
      </c>
      <c r="I72" s="58">
        <f t="shared" si="2"/>
        <v>3359202.9153202032</v>
      </c>
    </row>
    <row r="73" spans="1:9" x14ac:dyDescent="0.25">
      <c r="A73" s="50">
        <f>'A) Base RI'!A64</f>
        <v>5493</v>
      </c>
      <c r="B73" s="33" t="str">
        <f>'A) Base RI'!B64</f>
        <v>Orny</v>
      </c>
      <c r="C73" s="32">
        <f>'D) Ecrêtage'!M62</f>
        <v>10717.748314014751</v>
      </c>
      <c r="D73" s="472">
        <f>'A) Base RI'!AN64</f>
        <v>368</v>
      </c>
      <c r="E73" s="10">
        <f t="shared" si="0"/>
        <v>203437.49834697266</v>
      </c>
      <c r="F73" s="472">
        <f>'F) Population'!K65</f>
        <v>36762.977867203219</v>
      </c>
      <c r="G73" s="10">
        <f>'G) Solidarité'!I62</f>
        <v>124096.59946998591</v>
      </c>
      <c r="H73" s="472">
        <f t="shared" si="1"/>
        <v>160859.57733718914</v>
      </c>
      <c r="I73" s="58">
        <f t="shared" si="2"/>
        <v>42577.921009783517</v>
      </c>
    </row>
    <row r="74" spans="1:9" x14ac:dyDescent="0.25">
      <c r="A74" s="50">
        <f>'A) Base RI'!A65</f>
        <v>5494</v>
      </c>
      <c r="B74" s="33" t="str">
        <f>'A) Base RI'!B65</f>
        <v>Pampigny</v>
      </c>
      <c r="C74" s="32">
        <f>'D) Ecrêtage'!M63</f>
        <v>37813.321536507938</v>
      </c>
      <c r="D74" s="472">
        <f>'A) Base RI'!AN65</f>
        <v>1113</v>
      </c>
      <c r="E74" s="10">
        <f t="shared" si="0"/>
        <v>717748.47777660668</v>
      </c>
      <c r="F74" s="472">
        <f>'F) Population'!K66</f>
        <v>139409.60764587525</v>
      </c>
      <c r="G74" s="10">
        <f>'G) Solidarité'!I63</f>
        <v>275624.75144028681</v>
      </c>
      <c r="H74" s="472">
        <f t="shared" si="1"/>
        <v>415034.35908616206</v>
      </c>
      <c r="I74" s="58">
        <f t="shared" si="2"/>
        <v>302714.11869044462</v>
      </c>
    </row>
    <row r="75" spans="1:9" x14ac:dyDescent="0.25">
      <c r="A75" s="50">
        <f>'A) Base RI'!A66</f>
        <v>5495</v>
      </c>
      <c r="B75" s="33" t="str">
        <f>'A) Base RI'!B66</f>
        <v>Penthalaz</v>
      </c>
      <c r="C75" s="32">
        <f>'D) Ecrêtage'!M64</f>
        <v>92917.674594594588</v>
      </c>
      <c r="D75" s="472">
        <f>'A) Base RI'!AN66</f>
        <v>3283</v>
      </c>
      <c r="E75" s="10">
        <f t="shared" si="0"/>
        <v>1763704.3451584419</v>
      </c>
      <c r="F75" s="472">
        <f>'F) Population'!K67</f>
        <v>940552.81690140837</v>
      </c>
      <c r="G75" s="10">
        <f>'G) Solidarité'!I64</f>
        <v>1196273.0538035363</v>
      </c>
      <c r="H75" s="472">
        <f t="shared" si="1"/>
        <v>2136825.8707049447</v>
      </c>
      <c r="I75" s="58">
        <f t="shared" si="2"/>
        <v>-373121.52554650279</v>
      </c>
    </row>
    <row r="76" spans="1:9" x14ac:dyDescent="0.25">
      <c r="A76" s="50">
        <f>'A) Base RI'!A67</f>
        <v>5496</v>
      </c>
      <c r="B76" s="33" t="str">
        <f>'A) Base RI'!B67</f>
        <v>Penthaz</v>
      </c>
      <c r="C76" s="32">
        <f>'D) Ecrêtage'!M65</f>
        <v>57442.135633802813</v>
      </c>
      <c r="D76" s="472">
        <f>'A) Base RI'!AN67</f>
        <v>1747</v>
      </c>
      <c r="E76" s="10">
        <f t="shared" si="0"/>
        <v>1090330.172968107</v>
      </c>
      <c r="F76" s="472">
        <f>'F) Population'!K68</f>
        <v>361086.36820925551</v>
      </c>
      <c r="G76" s="10">
        <f>'G) Solidarité'!I65</f>
        <v>425955.56114894053</v>
      </c>
      <c r="H76" s="472">
        <f t="shared" si="1"/>
        <v>787041.92935819598</v>
      </c>
      <c r="I76" s="58">
        <f t="shared" si="2"/>
        <v>303288.24360991106</v>
      </c>
    </row>
    <row r="77" spans="1:9" x14ac:dyDescent="0.25">
      <c r="A77" s="50">
        <f>'A) Base RI'!A68</f>
        <v>5497</v>
      </c>
      <c r="B77" s="33" t="str">
        <f>'A) Base RI'!B68</f>
        <v>Pompaples</v>
      </c>
      <c r="C77" s="32">
        <f>'D) Ecrêtage'!M66</f>
        <v>22516.582121212119</v>
      </c>
      <c r="D77" s="472">
        <f>'A) Base RI'!AN68</f>
        <v>847</v>
      </c>
      <c r="E77" s="10">
        <f t="shared" si="0"/>
        <v>427395.47560318466</v>
      </c>
      <c r="F77" s="472">
        <f>'F) Population'!K69</f>
        <v>84614.788732394358</v>
      </c>
      <c r="G77" s="10">
        <f>'G) Solidarité'!I66</f>
        <v>270685.12651736091</v>
      </c>
      <c r="H77" s="472">
        <f t="shared" si="1"/>
        <v>355299.91524975526</v>
      </c>
      <c r="I77" s="58">
        <f t="shared" si="2"/>
        <v>72095.560353429406</v>
      </c>
    </row>
    <row r="78" spans="1:9" x14ac:dyDescent="0.25">
      <c r="A78" s="50">
        <f>'A) Base RI'!A69</f>
        <v>5498</v>
      </c>
      <c r="B78" s="33" t="str">
        <f>'A) Base RI'!B69</f>
        <v>La Sarraz</v>
      </c>
      <c r="C78" s="32">
        <f>'D) Ecrêtage'!M67</f>
        <v>78201.916969696991</v>
      </c>
      <c r="D78" s="472">
        <f>'A) Base RI'!AN69</f>
        <v>2596</v>
      </c>
      <c r="E78" s="10">
        <f t="shared" si="0"/>
        <v>1484379.1707115965</v>
      </c>
      <c r="F78" s="472">
        <f>'F) Population'!K70</f>
        <v>657937.42454728368</v>
      </c>
      <c r="G78" s="10">
        <f>'G) Solidarité'!I67</f>
        <v>670700.0573404819</v>
      </c>
      <c r="H78" s="472">
        <f t="shared" si="1"/>
        <v>1328637.4818877657</v>
      </c>
      <c r="I78" s="58">
        <f t="shared" si="2"/>
        <v>155741.6888238308</v>
      </c>
    </row>
    <row r="79" spans="1:9" x14ac:dyDescent="0.25">
      <c r="A79" s="50">
        <f>'A) Base RI'!A70</f>
        <v>5499</v>
      </c>
      <c r="B79" s="33" t="str">
        <f>'A) Base RI'!B70</f>
        <v>Senarclens</v>
      </c>
      <c r="C79" s="32">
        <f>'D) Ecrêtage'!M68</f>
        <v>23886.663649635037</v>
      </c>
      <c r="D79" s="472">
        <f>'A) Base RI'!AN70</f>
        <v>488</v>
      </c>
      <c r="E79" s="10">
        <f t="shared" si="0"/>
        <v>453401.4938924262</v>
      </c>
      <c r="F79" s="472">
        <f>'F) Population'!K71</f>
        <v>48750.905432595573</v>
      </c>
      <c r="G79" s="10">
        <f>'G) Solidarité'!I68</f>
        <v>0</v>
      </c>
      <c r="H79" s="472">
        <f t="shared" si="1"/>
        <v>48750.905432595573</v>
      </c>
      <c r="I79" s="58">
        <f t="shared" si="2"/>
        <v>404650.58845983061</v>
      </c>
    </row>
    <row r="80" spans="1:9" x14ac:dyDescent="0.25">
      <c r="A80" s="50">
        <f>'A) Base RI'!A71</f>
        <v>5500</v>
      </c>
      <c r="B80" s="33" t="str">
        <f>'A) Base RI'!B71</f>
        <v>Sévery</v>
      </c>
      <c r="C80" s="32">
        <f>'D) Ecrêtage'!M69</f>
        <v>6331.5331555555558</v>
      </c>
      <c r="D80" s="472">
        <f>'A) Base RI'!AN71</f>
        <v>225</v>
      </c>
      <c r="E80" s="10">
        <f t="shared" si="0"/>
        <v>120181.14515553862</v>
      </c>
      <c r="F80" s="472">
        <f>'F) Population'!K72</f>
        <v>22477.364185110662</v>
      </c>
      <c r="G80" s="10">
        <f>'G) Solidarité'!I69</f>
        <v>85033.890705611921</v>
      </c>
      <c r="H80" s="472">
        <f t="shared" si="1"/>
        <v>107511.25489072259</v>
      </c>
      <c r="I80" s="58">
        <f t="shared" si="2"/>
        <v>12669.890264816029</v>
      </c>
    </row>
    <row r="81" spans="1:9" x14ac:dyDescent="0.25">
      <c r="A81" s="50">
        <f>'A) Base RI'!A72</f>
        <v>5501</v>
      </c>
      <c r="B81" s="33" t="str">
        <f>'A) Base RI'!B72</f>
        <v>Sullens</v>
      </c>
      <c r="C81" s="32">
        <f>'D) Ecrêtage'!M70</f>
        <v>37812.339142857141</v>
      </c>
      <c r="D81" s="472">
        <f>'A) Base RI'!AN72</f>
        <v>1036</v>
      </c>
      <c r="E81" s="10">
        <f t="shared" ref="E81:E144" si="3">C81*E$15</f>
        <v>717729.83060363203</v>
      </c>
      <c r="F81" s="472">
        <f>'F) Population'!K73</f>
        <v>112486.72032193159</v>
      </c>
      <c r="G81" s="10">
        <f>'G) Solidarité'!I70</f>
        <v>172617.02832470497</v>
      </c>
      <c r="H81" s="472">
        <f t="shared" ref="H81:H144" si="4">F81+G81</f>
        <v>285103.74864663655</v>
      </c>
      <c r="I81" s="58">
        <f t="shared" ref="I81:I144" si="5">E81-H81</f>
        <v>432626.08195699548</v>
      </c>
    </row>
    <row r="82" spans="1:9" x14ac:dyDescent="0.25">
      <c r="A82" s="50">
        <f>'A) Base RI'!A73</f>
        <v>5503</v>
      </c>
      <c r="B82" s="33" t="str">
        <f>'A) Base RI'!B73</f>
        <v>Vufflens-la-Ville</v>
      </c>
      <c r="C82" s="32">
        <f>'D) Ecrêtage'!M71</f>
        <v>76842.912393778752</v>
      </c>
      <c r="D82" s="472">
        <f>'A) Base RI'!AN73</f>
        <v>1298</v>
      </c>
      <c r="E82" s="10">
        <f t="shared" si="3"/>
        <v>1458583.4081067427</v>
      </c>
      <c r="F82" s="472">
        <f>'F) Population'!K74</f>
        <v>204094.4668008048</v>
      </c>
      <c r="G82" s="10">
        <f>'G) Solidarité'!I71</f>
        <v>0</v>
      </c>
      <c r="H82" s="472">
        <f t="shared" si="4"/>
        <v>204094.4668008048</v>
      </c>
      <c r="I82" s="58">
        <f t="shared" si="5"/>
        <v>1254488.9413059379</v>
      </c>
    </row>
    <row r="83" spans="1:9" x14ac:dyDescent="0.25">
      <c r="A83" s="50">
        <f>'A) Base RI'!A74</f>
        <v>5511</v>
      </c>
      <c r="B83" s="33" t="str">
        <f>'A) Base RI'!B74</f>
        <v>Assens</v>
      </c>
      <c r="C83" s="32">
        <f>'D) Ecrêtage'!M72</f>
        <v>45641.470857142856</v>
      </c>
      <c r="D83" s="472">
        <f>'A) Base RI'!AN74</f>
        <v>1077</v>
      </c>
      <c r="E83" s="10">
        <f t="shared" si="3"/>
        <v>866337.44141126156</v>
      </c>
      <c r="F83" s="472">
        <f>'F) Population'!K75</f>
        <v>126822.28370221326</v>
      </c>
      <c r="G83" s="10">
        <f>'G) Solidarité'!I72</f>
        <v>56254.00117728331</v>
      </c>
      <c r="H83" s="472">
        <f t="shared" si="4"/>
        <v>183076.28487949655</v>
      </c>
      <c r="I83" s="58">
        <f t="shared" si="5"/>
        <v>683261.15653176501</v>
      </c>
    </row>
    <row r="84" spans="1:9" x14ac:dyDescent="0.25">
      <c r="A84" s="50">
        <f>'A) Base RI'!A75</f>
        <v>5512</v>
      </c>
      <c r="B84" s="33" t="str">
        <f>'A) Base RI'!B75</f>
        <v>Bercher</v>
      </c>
      <c r="C84" s="32">
        <f>'D) Ecrêtage'!M73</f>
        <v>37783.595443037979</v>
      </c>
      <c r="D84" s="472">
        <f>'A) Base RI'!AN75</f>
        <v>1239</v>
      </c>
      <c r="E84" s="10">
        <f t="shared" si="3"/>
        <v>717184.23593084048</v>
      </c>
      <c r="F84" s="472">
        <f>'F) Population'!K76</f>
        <v>183465.24144869213</v>
      </c>
      <c r="G84" s="10">
        <f>'G) Solidarité'!I73</f>
        <v>447232.1812414485</v>
      </c>
      <c r="H84" s="472">
        <f t="shared" si="4"/>
        <v>630697.42269014067</v>
      </c>
      <c r="I84" s="58">
        <f t="shared" si="5"/>
        <v>86486.813240699819</v>
      </c>
    </row>
    <row r="85" spans="1:9" x14ac:dyDescent="0.25">
      <c r="A85" s="50">
        <f>'A) Base RI'!A76</f>
        <v>5513</v>
      </c>
      <c r="B85" s="33" t="str">
        <f>'A) Base RI'!B76</f>
        <v>Bioley-Orjulaz</v>
      </c>
      <c r="C85" s="32">
        <f>'D) Ecrêtage'!M74</f>
        <v>23108.127499999999</v>
      </c>
      <c r="D85" s="472">
        <f>'A) Base RI'!AN76</f>
        <v>516</v>
      </c>
      <c r="E85" s="10">
        <f t="shared" si="3"/>
        <v>438623.81466223462</v>
      </c>
      <c r="F85" s="472">
        <f>'F) Population'!K77</f>
        <v>51548.088531187124</v>
      </c>
      <c r="G85" s="10">
        <f>'G) Solidarité'!I74</f>
        <v>2653.223007384533</v>
      </c>
      <c r="H85" s="472">
        <f t="shared" si="4"/>
        <v>54201.311538571659</v>
      </c>
      <c r="I85" s="58">
        <f t="shared" si="5"/>
        <v>384422.50312366296</v>
      </c>
    </row>
    <row r="86" spans="1:9" x14ac:dyDescent="0.25">
      <c r="A86" s="50">
        <f>'A) Base RI'!A77</f>
        <v>5514</v>
      </c>
      <c r="B86" s="33" t="str">
        <f>'A) Base RI'!B77</f>
        <v>Bottens</v>
      </c>
      <c r="C86" s="32">
        <f>'D) Ecrêtage'!M75</f>
        <v>44799.851014492742</v>
      </c>
      <c r="D86" s="472">
        <f>'A) Base RI'!AN77</f>
        <v>1298</v>
      </c>
      <c r="E86" s="10">
        <f t="shared" si="3"/>
        <v>850362.34754532098</v>
      </c>
      <c r="F86" s="472">
        <f>'F) Population'!K78</f>
        <v>204094.4668008048</v>
      </c>
      <c r="G86" s="10">
        <f>'G) Solidarité'!I75</f>
        <v>258809.65449118978</v>
      </c>
      <c r="H86" s="472">
        <f t="shared" si="4"/>
        <v>462904.12129199458</v>
      </c>
      <c r="I86" s="58">
        <f t="shared" si="5"/>
        <v>387458.2262533264</v>
      </c>
    </row>
    <row r="87" spans="1:9" x14ac:dyDescent="0.25">
      <c r="A87" s="50">
        <f>'A) Base RI'!A78</f>
        <v>5515</v>
      </c>
      <c r="B87" s="33" t="str">
        <f>'A) Base RI'!B78</f>
        <v>Bretigny-sur-Morrens</v>
      </c>
      <c r="C87" s="32">
        <f>'D) Ecrêtage'!M76</f>
        <v>28902.998888888895</v>
      </c>
      <c r="D87" s="472">
        <f>'A) Base RI'!AN78</f>
        <v>843</v>
      </c>
      <c r="E87" s="10">
        <f t="shared" si="3"/>
        <v>548618.38666169625</v>
      </c>
      <c r="F87" s="472">
        <f>'F) Population'!K79</f>
        <v>84215.19114688129</v>
      </c>
      <c r="G87" s="10">
        <f>'G) Solidarité'!I76</f>
        <v>236656.16824838592</v>
      </c>
      <c r="H87" s="472">
        <f t="shared" si="4"/>
        <v>320871.35939526721</v>
      </c>
      <c r="I87" s="58">
        <f t="shared" si="5"/>
        <v>227747.02726642904</v>
      </c>
    </row>
    <row r="88" spans="1:9" x14ac:dyDescent="0.25">
      <c r="A88" s="50">
        <f>'A) Base RI'!A79</f>
        <v>5516</v>
      </c>
      <c r="B88" s="33" t="str">
        <f>'A) Base RI'!B79</f>
        <v>Cugy</v>
      </c>
      <c r="C88" s="32">
        <f>'D) Ecrêtage'!M77</f>
        <v>111854.58641025641</v>
      </c>
      <c r="D88" s="472">
        <f>'A) Base RI'!AN79</f>
        <v>2742</v>
      </c>
      <c r="E88" s="10">
        <f t="shared" si="3"/>
        <v>2123152.7902350901</v>
      </c>
      <c r="F88" s="472">
        <f>'F) Population'!K80</f>
        <v>708986.01609657949</v>
      </c>
      <c r="G88" s="10">
        <f>'G) Solidarité'!I77</f>
        <v>282821.81256857835</v>
      </c>
      <c r="H88" s="472">
        <f t="shared" si="4"/>
        <v>991807.82866515778</v>
      </c>
      <c r="I88" s="58">
        <f t="shared" si="5"/>
        <v>1131344.9615699323</v>
      </c>
    </row>
    <row r="89" spans="1:9" x14ac:dyDescent="0.25">
      <c r="A89" s="50">
        <f>'A) Base RI'!A80</f>
        <v>5518</v>
      </c>
      <c r="B89" s="33" t="str">
        <f>'A) Base RI'!B80</f>
        <v>Echallens</v>
      </c>
      <c r="C89" s="32">
        <f>'D) Ecrêtage'!M78</f>
        <v>188362.16891891891</v>
      </c>
      <c r="D89" s="472">
        <f>'A) Base RI'!AN80</f>
        <v>5742</v>
      </c>
      <c r="E89" s="10">
        <f t="shared" si="3"/>
        <v>3575371.1792211817</v>
      </c>
      <c r="F89" s="472">
        <f>'F) Population'!K81</f>
        <v>2242941.2474849094</v>
      </c>
      <c r="G89" s="10">
        <f>'G) Solidarité'!I78</f>
        <v>1530340.265907988</v>
      </c>
      <c r="H89" s="472">
        <f t="shared" si="4"/>
        <v>3773281.5133928973</v>
      </c>
      <c r="I89" s="58">
        <f t="shared" si="5"/>
        <v>-197910.33417171566</v>
      </c>
    </row>
    <row r="90" spans="1:9" x14ac:dyDescent="0.25">
      <c r="A90" s="50">
        <f>'A) Base RI'!A81</f>
        <v>5520</v>
      </c>
      <c r="B90" s="33" t="str">
        <f>'A) Base RI'!B81</f>
        <v>Essertines-sur-Yverdon</v>
      </c>
      <c r="C90" s="32">
        <f>'D) Ecrêtage'!M79</f>
        <v>31866.674520547935</v>
      </c>
      <c r="D90" s="472">
        <f>'A) Base RI'!AN81</f>
        <v>1024</v>
      </c>
      <c r="E90" s="10">
        <f t="shared" si="3"/>
        <v>604872.99712201138</v>
      </c>
      <c r="F90" s="472">
        <f>'F) Population'!K82</f>
        <v>108290.94567404425</v>
      </c>
      <c r="G90" s="10">
        <f>'G) Solidarité'!I79</f>
        <v>302080.81700681977</v>
      </c>
      <c r="H90" s="472">
        <f t="shared" si="4"/>
        <v>410371.76268086402</v>
      </c>
      <c r="I90" s="58">
        <f t="shared" si="5"/>
        <v>194501.23444114736</v>
      </c>
    </row>
    <row r="91" spans="1:9" x14ac:dyDescent="0.25">
      <c r="A91" s="50">
        <f>'A) Base RI'!A82</f>
        <v>5521</v>
      </c>
      <c r="B91" s="33" t="str">
        <f>'A) Base RI'!B82</f>
        <v>Etagnières</v>
      </c>
      <c r="C91" s="32">
        <f>'D) Ecrêtage'!M80</f>
        <v>42985.528493150683</v>
      </c>
      <c r="D91" s="472">
        <f>'A) Base RI'!AN82</f>
        <v>1118</v>
      </c>
      <c r="E91" s="10">
        <f t="shared" si="3"/>
        <v>815924.02858855319</v>
      </c>
      <c r="F91" s="472">
        <f>'F) Population'!K83</f>
        <v>141157.84708249496</v>
      </c>
      <c r="G91" s="10">
        <f>'G) Solidarité'!I80</f>
        <v>156459.93946828414</v>
      </c>
      <c r="H91" s="472">
        <f t="shared" si="4"/>
        <v>297617.78655077913</v>
      </c>
      <c r="I91" s="58">
        <f t="shared" si="5"/>
        <v>518306.24203777406</v>
      </c>
    </row>
    <row r="92" spans="1:9" x14ac:dyDescent="0.25">
      <c r="A92" s="50">
        <f>'A) Base RI'!A83</f>
        <v>5522</v>
      </c>
      <c r="B92" s="33" t="str">
        <f>'A) Base RI'!B83</f>
        <v>Fey</v>
      </c>
      <c r="C92" s="32">
        <f>'D) Ecrêtage'!M81</f>
        <v>21913.487866666663</v>
      </c>
      <c r="D92" s="472">
        <f>'A) Base RI'!AN83</f>
        <v>734</v>
      </c>
      <c r="E92" s="10">
        <f t="shared" si="3"/>
        <v>415947.9231119841</v>
      </c>
      <c r="F92" s="472">
        <f>'F) Population'!K84</f>
        <v>73326.156941649897</v>
      </c>
      <c r="G92" s="10">
        <f>'G) Solidarité'!I81</f>
        <v>249291.88525472037</v>
      </c>
      <c r="H92" s="472">
        <f t="shared" si="4"/>
        <v>322618.04219637025</v>
      </c>
      <c r="I92" s="58">
        <f t="shared" si="5"/>
        <v>93329.880915613845</v>
      </c>
    </row>
    <row r="93" spans="1:9" x14ac:dyDescent="0.25">
      <c r="A93" s="50">
        <f>'A) Base RI'!A84</f>
        <v>5523</v>
      </c>
      <c r="B93" s="33" t="str">
        <f>'A) Base RI'!B84</f>
        <v>Froideville</v>
      </c>
      <c r="C93" s="32">
        <f>'D) Ecrêtage'!M82</f>
        <v>83191.459210526315</v>
      </c>
      <c r="D93" s="472">
        <f>'A) Base RI'!AN84</f>
        <v>2576</v>
      </c>
      <c r="E93" s="10">
        <f t="shared" si="3"/>
        <v>1579087.4957842752</v>
      </c>
      <c r="F93" s="472">
        <f>'F) Population'!K85</f>
        <v>650944.46680080483</v>
      </c>
      <c r="G93" s="10">
        <f>'G) Solidarité'!I82</f>
        <v>754254.32590556715</v>
      </c>
      <c r="H93" s="472">
        <f t="shared" si="4"/>
        <v>1405198.792706372</v>
      </c>
      <c r="I93" s="58">
        <f t="shared" si="5"/>
        <v>173888.70307790325</v>
      </c>
    </row>
    <row r="94" spans="1:9" x14ac:dyDescent="0.25">
      <c r="A94" s="50">
        <f>'A) Base RI'!A85</f>
        <v>5527</v>
      </c>
      <c r="B94" s="33" t="str">
        <f>'A) Base RI'!B85</f>
        <v>Morrens</v>
      </c>
      <c r="C94" s="32">
        <f>'D) Ecrêtage'!M83</f>
        <v>37832.854189189195</v>
      </c>
      <c r="D94" s="472">
        <f>'A) Base RI'!AN85</f>
        <v>1077</v>
      </c>
      <c r="E94" s="10">
        <f t="shared" si="3"/>
        <v>718119.23419681098</v>
      </c>
      <c r="F94" s="472">
        <f>'F) Population'!K86</f>
        <v>126822.28370221326</v>
      </c>
      <c r="G94" s="10">
        <f>'G) Solidarité'!I83</f>
        <v>232629.96463032946</v>
      </c>
      <c r="H94" s="472">
        <f t="shared" si="4"/>
        <v>359452.24833254272</v>
      </c>
      <c r="I94" s="58">
        <f t="shared" si="5"/>
        <v>358666.98586426827</v>
      </c>
    </row>
    <row r="95" spans="1:9" x14ac:dyDescent="0.25">
      <c r="A95" s="50">
        <f>'A) Base RI'!A86</f>
        <v>5529</v>
      </c>
      <c r="B95" s="33" t="str">
        <f>'A) Base RI'!B86</f>
        <v>Oulens-sous-Echallens</v>
      </c>
      <c r="C95" s="32">
        <f>'D) Ecrêtage'!M84</f>
        <v>21358.649436619718</v>
      </c>
      <c r="D95" s="472">
        <f>'A) Base RI'!AN86</f>
        <v>611</v>
      </c>
      <c r="E95" s="10">
        <f t="shared" si="3"/>
        <v>405416.33206427173</v>
      </c>
      <c r="F95" s="472">
        <f>'F) Population'!K87</f>
        <v>61038.531187122731</v>
      </c>
      <c r="G95" s="10">
        <f>'G) Solidarité'!I84</f>
        <v>123583.64871609415</v>
      </c>
      <c r="H95" s="472">
        <f t="shared" si="4"/>
        <v>184622.17990321689</v>
      </c>
      <c r="I95" s="58">
        <f t="shared" si="5"/>
        <v>220794.15216105484</v>
      </c>
    </row>
    <row r="96" spans="1:9" x14ac:dyDescent="0.25">
      <c r="A96" s="50">
        <f>'A) Base RI'!A87</f>
        <v>5530</v>
      </c>
      <c r="B96" s="33" t="str">
        <f>'A) Base RI'!B87</f>
        <v>Pailly</v>
      </c>
      <c r="C96" s="32">
        <f>'D) Ecrêtage'!M85</f>
        <v>17215.63182795699</v>
      </c>
      <c r="D96" s="472">
        <f>'A) Base RI'!AN87</f>
        <v>561</v>
      </c>
      <c r="E96" s="10">
        <f t="shared" si="3"/>
        <v>326776.20046016597</v>
      </c>
      <c r="F96" s="472">
        <f>'F) Population'!K88</f>
        <v>56043.561368209252</v>
      </c>
      <c r="G96" s="10">
        <f>'G) Solidarité'!I85</f>
        <v>192312.25024479834</v>
      </c>
      <c r="H96" s="472">
        <f t="shared" si="4"/>
        <v>248355.81161300759</v>
      </c>
      <c r="I96" s="58">
        <f t="shared" si="5"/>
        <v>78420.388847158378</v>
      </c>
    </row>
    <row r="97" spans="1:9" x14ac:dyDescent="0.25">
      <c r="A97" s="50">
        <f>'A) Base RI'!A88</f>
        <v>5531</v>
      </c>
      <c r="B97" s="33" t="str">
        <f>'A) Base RI'!B88</f>
        <v>Penthéréaz</v>
      </c>
      <c r="C97" s="32">
        <f>'D) Ecrêtage'!M86</f>
        <v>14983.10512820513</v>
      </c>
      <c r="D97" s="472">
        <f>'A) Base RI'!AN88</f>
        <v>421</v>
      </c>
      <c r="E97" s="10">
        <f t="shared" si="3"/>
        <v>284399.79512916505</v>
      </c>
      <c r="F97" s="472">
        <f>'F) Population'!K89</f>
        <v>42057.64587525151</v>
      </c>
      <c r="G97" s="10">
        <f>'G) Solidarité'!I86</f>
        <v>96340.530051112859</v>
      </c>
      <c r="H97" s="472">
        <f t="shared" si="4"/>
        <v>138398.17592636438</v>
      </c>
      <c r="I97" s="58">
        <f t="shared" si="5"/>
        <v>146001.61920280068</v>
      </c>
    </row>
    <row r="98" spans="1:9" x14ac:dyDescent="0.25">
      <c r="A98" s="50">
        <f>'A) Base RI'!A89</f>
        <v>5533</v>
      </c>
      <c r="B98" s="33" t="str">
        <f>'A) Base RI'!B89</f>
        <v>Poliez-Pittet</v>
      </c>
      <c r="C98" s="32">
        <f>'D) Ecrêtage'!M87</f>
        <v>25749.220563380281</v>
      </c>
      <c r="D98" s="472">
        <f>'A) Base RI'!AN89</f>
        <v>846</v>
      </c>
      <c r="E98" s="10">
        <f t="shared" si="3"/>
        <v>488755.36748224683</v>
      </c>
      <c r="F98" s="472">
        <f>'F) Population'!K90</f>
        <v>84514.889336016087</v>
      </c>
      <c r="G98" s="10">
        <f>'G) Solidarité'!I87</f>
        <v>247653.29225790899</v>
      </c>
      <c r="H98" s="472">
        <f t="shared" si="4"/>
        <v>332168.18159392511</v>
      </c>
      <c r="I98" s="58">
        <f t="shared" si="5"/>
        <v>156587.18588832172</v>
      </c>
    </row>
    <row r="99" spans="1:9" x14ac:dyDescent="0.25">
      <c r="A99" s="50">
        <f>'A) Base RI'!A90</f>
        <v>5534</v>
      </c>
      <c r="B99" s="33" t="str">
        <f>'A) Base RI'!B90</f>
        <v>Rueyres</v>
      </c>
      <c r="C99" s="32">
        <f>'D) Ecrêtage'!M88</f>
        <v>9061.5212328767138</v>
      </c>
      <c r="D99" s="472">
        <f>'A) Base RI'!AN90</f>
        <v>255</v>
      </c>
      <c r="E99" s="10">
        <f t="shared" si="3"/>
        <v>172000.04672846035</v>
      </c>
      <c r="F99" s="472">
        <f>'F) Population'!K91</f>
        <v>25474.346076458751</v>
      </c>
      <c r="G99" s="10">
        <f>'G) Solidarité'!I88</f>
        <v>51403.127795247041</v>
      </c>
      <c r="H99" s="472">
        <f t="shared" si="4"/>
        <v>76877.473871705792</v>
      </c>
      <c r="I99" s="58">
        <f t="shared" si="5"/>
        <v>95122.572856754559</v>
      </c>
    </row>
    <row r="100" spans="1:9" x14ac:dyDescent="0.25">
      <c r="A100" s="50">
        <f>'A) Base RI'!A91</f>
        <v>5535</v>
      </c>
      <c r="B100" s="33" t="str">
        <f>'A) Base RI'!B91</f>
        <v>Saint-Barthélemy</v>
      </c>
      <c r="C100" s="32">
        <f>'D) Ecrêtage'!M89</f>
        <v>21992.865064935064</v>
      </c>
      <c r="D100" s="472">
        <f>'A) Base RI'!AN91</f>
        <v>778</v>
      </c>
      <c r="E100" s="10">
        <f t="shared" si="3"/>
        <v>417454.61072662042</v>
      </c>
      <c r="F100" s="472">
        <f>'F) Population'!K92</f>
        <v>77721.730382293754</v>
      </c>
      <c r="G100" s="10">
        <f>'G) Solidarité'!I89</f>
        <v>307568.98767146241</v>
      </c>
      <c r="H100" s="472">
        <f t="shared" si="4"/>
        <v>385290.71805375617</v>
      </c>
      <c r="I100" s="58">
        <f t="shared" si="5"/>
        <v>32163.892672864255</v>
      </c>
    </row>
    <row r="101" spans="1:9" x14ac:dyDescent="0.25">
      <c r="A101" s="50">
        <f>'A) Base RI'!A92</f>
        <v>5537</v>
      </c>
      <c r="B101" s="33" t="str">
        <f>'A) Base RI'!B92</f>
        <v>Villars-le-Terroir</v>
      </c>
      <c r="C101" s="32">
        <f>'D) Ecrêtage'!M90</f>
        <v>37425.853630136982</v>
      </c>
      <c r="D101" s="472">
        <f>'A) Base RI'!AN92</f>
        <v>1213</v>
      </c>
      <c r="E101" s="10">
        <f t="shared" si="3"/>
        <v>710393.80781680066</v>
      </c>
      <c r="F101" s="472">
        <f>'F) Population'!K93</f>
        <v>174374.39637826959</v>
      </c>
      <c r="G101" s="10">
        <f>'G) Solidarité'!I90</f>
        <v>364658.2816840192</v>
      </c>
      <c r="H101" s="472">
        <f t="shared" si="4"/>
        <v>539032.67806228879</v>
      </c>
      <c r="I101" s="58">
        <f t="shared" si="5"/>
        <v>171361.12975451187</v>
      </c>
    </row>
    <row r="102" spans="1:9" x14ac:dyDescent="0.25">
      <c r="A102" s="50">
        <f>'A) Base RI'!A93</f>
        <v>5539</v>
      </c>
      <c r="B102" s="33" t="str">
        <f>'A) Base RI'!B93</f>
        <v>Vuarrens</v>
      </c>
      <c r="C102" s="32">
        <f>'D) Ecrêtage'!M91</f>
        <v>28895.172466666667</v>
      </c>
      <c r="D102" s="472">
        <f>'A) Base RI'!AN93</f>
        <v>1001</v>
      </c>
      <c r="E102" s="10">
        <f t="shared" si="3"/>
        <v>548469.83048074774</v>
      </c>
      <c r="F102" s="472">
        <f>'F) Population'!K94</f>
        <v>100249.04426559355</v>
      </c>
      <c r="G102" s="10">
        <f>'G) Solidarité'!I91</f>
        <v>362073.49767272285</v>
      </c>
      <c r="H102" s="472">
        <f t="shared" si="4"/>
        <v>462322.54193831643</v>
      </c>
      <c r="I102" s="58">
        <f t="shared" si="5"/>
        <v>86147.288542431314</v>
      </c>
    </row>
    <row r="103" spans="1:9" x14ac:dyDescent="0.25">
      <c r="A103" s="50">
        <f>'A) Base RI'!A94</f>
        <v>5540</v>
      </c>
      <c r="B103" s="33" t="str">
        <f>'A) Base RI'!B94</f>
        <v>Montilliez</v>
      </c>
      <c r="C103" s="32">
        <f>'D) Ecrêtage'!M92</f>
        <v>59583.392972972964</v>
      </c>
      <c r="D103" s="472">
        <f>'A) Base RI'!AN94</f>
        <v>1781</v>
      </c>
      <c r="E103" s="10">
        <f t="shared" si="3"/>
        <v>1130974.1612047271</v>
      </c>
      <c r="F103" s="472">
        <f>'F) Population'!K95</f>
        <v>372974.39637826954</v>
      </c>
      <c r="G103" s="10">
        <f>'G) Solidarité'!I92</f>
        <v>449470.02664269489</v>
      </c>
      <c r="H103" s="472">
        <f t="shared" si="4"/>
        <v>822444.42302096449</v>
      </c>
      <c r="I103" s="58">
        <f t="shared" si="5"/>
        <v>308529.73818376265</v>
      </c>
    </row>
    <row r="104" spans="1:9" x14ac:dyDescent="0.25">
      <c r="A104" s="50">
        <f>'A) Base RI'!A95</f>
        <v>5541</v>
      </c>
      <c r="B104" s="33" t="str">
        <f>'A) Base RI'!B95</f>
        <v>Goumoëns</v>
      </c>
      <c r="C104" s="32">
        <f>'D) Ecrêtage'!M93</f>
        <v>36064.061558441557</v>
      </c>
      <c r="D104" s="472">
        <f>'A) Base RI'!AN95</f>
        <v>1119</v>
      </c>
      <c r="E104" s="10">
        <f t="shared" si="3"/>
        <v>684545.13473570242</v>
      </c>
      <c r="F104" s="472">
        <f>'F) Population'!K96</f>
        <v>141507.49496981892</v>
      </c>
      <c r="G104" s="10">
        <f>'G) Solidarité'!I93</f>
        <v>338060.99000750598</v>
      </c>
      <c r="H104" s="472">
        <f t="shared" si="4"/>
        <v>479568.4849773249</v>
      </c>
      <c r="I104" s="58">
        <f t="shared" si="5"/>
        <v>204976.64975837752</v>
      </c>
    </row>
    <row r="105" spans="1:9" x14ac:dyDescent="0.25">
      <c r="A105" s="50">
        <f>'A) Base RI'!A96</f>
        <v>5551</v>
      </c>
      <c r="B105" s="33" t="str">
        <f>'A) Base RI'!B96</f>
        <v>Bonvillars</v>
      </c>
      <c r="C105" s="32">
        <f>'D) Ecrêtage'!M94</f>
        <v>23195.066545454545</v>
      </c>
      <c r="D105" s="472">
        <f>'A) Base RI'!AN96</f>
        <v>505</v>
      </c>
      <c r="E105" s="10">
        <f t="shared" si="3"/>
        <v>440274.03646235092</v>
      </c>
      <c r="F105" s="472">
        <f>'F) Population'!K97</f>
        <v>50449.195171026156</v>
      </c>
      <c r="G105" s="10">
        <f>'G) Solidarité'!I94</f>
        <v>0</v>
      </c>
      <c r="H105" s="472">
        <f t="shared" si="4"/>
        <v>50449.195171026156</v>
      </c>
      <c r="I105" s="58">
        <f t="shared" si="5"/>
        <v>389824.84129132476</v>
      </c>
    </row>
    <row r="106" spans="1:9" x14ac:dyDescent="0.25">
      <c r="A106" s="50">
        <f>'A) Base RI'!A97</f>
        <v>5552</v>
      </c>
      <c r="B106" s="33" t="str">
        <f>'A) Base RI'!B97</f>
        <v>Bullet</v>
      </c>
      <c r="C106" s="32">
        <f>'D) Ecrêtage'!M95</f>
        <v>17788.954109589042</v>
      </c>
      <c r="D106" s="472">
        <f>'A) Base RI'!AN97</f>
        <v>655</v>
      </c>
      <c r="E106" s="10">
        <f t="shared" si="3"/>
        <v>337658.64025111427</v>
      </c>
      <c r="F106" s="472">
        <f>'F) Population'!K98</f>
        <v>65434.104627766596</v>
      </c>
      <c r="G106" s="10">
        <f>'G) Solidarité'!I95</f>
        <v>248117.38277900478</v>
      </c>
      <c r="H106" s="472">
        <f t="shared" si="4"/>
        <v>313551.4874067714</v>
      </c>
      <c r="I106" s="58">
        <f t="shared" si="5"/>
        <v>24107.152844342869</v>
      </c>
    </row>
    <row r="107" spans="1:9" x14ac:dyDescent="0.25">
      <c r="A107" s="50">
        <f>'A) Base RI'!A98</f>
        <v>5553</v>
      </c>
      <c r="B107" s="33" t="str">
        <f>'A) Base RI'!B98</f>
        <v>Champagne</v>
      </c>
      <c r="C107" s="32">
        <f>'D) Ecrêtage'!M96</f>
        <v>38605.988461538451</v>
      </c>
      <c r="D107" s="472">
        <f>'A) Base RI'!AN98</f>
        <v>1034</v>
      </c>
      <c r="E107" s="10">
        <f t="shared" si="3"/>
        <v>732794.37841972313</v>
      </c>
      <c r="F107" s="472">
        <f>'F) Population'!K99</f>
        <v>111787.42454728369</v>
      </c>
      <c r="G107" s="10">
        <f>'G) Solidarité'!I96</f>
        <v>134013.82467274336</v>
      </c>
      <c r="H107" s="472">
        <f t="shared" si="4"/>
        <v>245801.24922002706</v>
      </c>
      <c r="I107" s="58">
        <f t="shared" si="5"/>
        <v>486993.12919969606</v>
      </c>
    </row>
    <row r="108" spans="1:9" x14ac:dyDescent="0.25">
      <c r="A108" s="50">
        <f>'A) Base RI'!A99</f>
        <v>5554</v>
      </c>
      <c r="B108" s="33" t="str">
        <f>'A) Base RI'!B99</f>
        <v>Concise</v>
      </c>
      <c r="C108" s="32">
        <f>'D) Ecrêtage'!M97</f>
        <v>29879.816133333334</v>
      </c>
      <c r="D108" s="472">
        <f>'A) Base RI'!AN99</f>
        <v>995</v>
      </c>
      <c r="E108" s="10">
        <f t="shared" si="3"/>
        <v>567159.71182904579</v>
      </c>
      <c r="F108" s="472">
        <f>'F) Population'!K100</f>
        <v>99399.89939637827</v>
      </c>
      <c r="G108" s="10">
        <f>'G) Solidarité'!I97</f>
        <v>334046.24851762055</v>
      </c>
      <c r="H108" s="472">
        <f t="shared" si="4"/>
        <v>433446.14791399881</v>
      </c>
      <c r="I108" s="58">
        <f t="shared" si="5"/>
        <v>133713.56391504698</v>
      </c>
    </row>
    <row r="109" spans="1:9" x14ac:dyDescent="0.25">
      <c r="A109" s="50">
        <f>'A) Base RI'!A100</f>
        <v>5555</v>
      </c>
      <c r="B109" s="33" t="str">
        <f>'A) Base RI'!B100</f>
        <v>Corcelles-près-Concise</v>
      </c>
      <c r="C109" s="32">
        <f>'D) Ecrêtage'!M98</f>
        <v>13019.29676056338</v>
      </c>
      <c r="D109" s="472">
        <f>'A) Base RI'!AN100</f>
        <v>401</v>
      </c>
      <c r="E109" s="10">
        <f t="shared" si="3"/>
        <v>247124.0306830566</v>
      </c>
      <c r="F109" s="472">
        <f>'F) Population'!K101</f>
        <v>40059.657947686115</v>
      </c>
      <c r="G109" s="10">
        <f>'G) Solidarité'!I98</f>
        <v>101089.74557621086</v>
      </c>
      <c r="H109" s="472">
        <f t="shared" si="4"/>
        <v>141149.40352389697</v>
      </c>
      <c r="I109" s="58">
        <f t="shared" si="5"/>
        <v>105974.62715915963</v>
      </c>
    </row>
    <row r="110" spans="1:9" x14ac:dyDescent="0.25">
      <c r="A110" s="50">
        <f>'A) Base RI'!A101</f>
        <v>5556</v>
      </c>
      <c r="B110" s="33" t="str">
        <f>'A) Base RI'!B101</f>
        <v>Fiez</v>
      </c>
      <c r="C110" s="32">
        <f>'D) Ecrêtage'!M99</f>
        <v>12683.231642512079</v>
      </c>
      <c r="D110" s="472">
        <f>'A) Base RI'!AN101</f>
        <v>447</v>
      </c>
      <c r="E110" s="10">
        <f t="shared" si="3"/>
        <v>240745.05583731993</v>
      </c>
      <c r="F110" s="472">
        <f>'F) Population'!K102</f>
        <v>44655.03018108652</v>
      </c>
      <c r="G110" s="10">
        <f>'G) Solidarité'!I99</f>
        <v>141008.86977147189</v>
      </c>
      <c r="H110" s="472">
        <f t="shared" si="4"/>
        <v>185663.89995255839</v>
      </c>
      <c r="I110" s="58">
        <f t="shared" si="5"/>
        <v>55081.155884761538</v>
      </c>
    </row>
    <row r="111" spans="1:9" x14ac:dyDescent="0.25">
      <c r="A111" s="50">
        <f>'A) Base RI'!A102</f>
        <v>5557</v>
      </c>
      <c r="B111" s="33" t="str">
        <f>'A) Base RI'!B102</f>
        <v>Fontaines-sur-Grandson</v>
      </c>
      <c r="C111" s="32">
        <f>'D) Ecrêtage'!M100</f>
        <v>5551.0404347826088</v>
      </c>
      <c r="D111" s="472">
        <f>'A) Base RI'!AN102</f>
        <v>218</v>
      </c>
      <c r="E111" s="10">
        <f t="shared" si="3"/>
        <v>105366.32753340388</v>
      </c>
      <c r="F111" s="472">
        <f>'F) Population'!K103</f>
        <v>21778.068410462776</v>
      </c>
      <c r="G111" s="10">
        <f>'G) Solidarité'!I100</f>
        <v>80762.98537762028</v>
      </c>
      <c r="H111" s="472">
        <f t="shared" si="4"/>
        <v>102541.05378808305</v>
      </c>
      <c r="I111" s="58">
        <f t="shared" si="5"/>
        <v>2825.2737453208247</v>
      </c>
    </row>
    <row r="112" spans="1:9" x14ac:dyDescent="0.25">
      <c r="A112" s="50">
        <f>'A) Base RI'!A103</f>
        <v>5559</v>
      </c>
      <c r="B112" s="33" t="str">
        <f>'A) Base RI'!B103</f>
        <v>Giez</v>
      </c>
      <c r="C112" s="32">
        <f>'D) Ecrêtage'!M101</f>
        <v>20477.299090909091</v>
      </c>
      <c r="D112" s="472">
        <f>'A) Base RI'!AN103</f>
        <v>412</v>
      </c>
      <c r="E112" s="10">
        <f t="shared" si="3"/>
        <v>388687.09899727075</v>
      </c>
      <c r="F112" s="472">
        <f>'F) Population'!K104</f>
        <v>41158.551307847083</v>
      </c>
      <c r="G112" s="10">
        <f>'G) Solidarité'!I101</f>
        <v>0</v>
      </c>
      <c r="H112" s="472">
        <f t="shared" si="4"/>
        <v>41158.551307847083</v>
      </c>
      <c r="I112" s="58">
        <f t="shared" si="5"/>
        <v>347528.54768942366</v>
      </c>
    </row>
    <row r="113" spans="1:9" x14ac:dyDescent="0.25">
      <c r="A113" s="50">
        <f>'A) Base RI'!A104</f>
        <v>5560</v>
      </c>
      <c r="B113" s="33" t="str">
        <f>'A) Base RI'!B104</f>
        <v>Grandevent</v>
      </c>
      <c r="C113" s="32">
        <f>'D) Ecrêtage'!M102</f>
        <v>7465.4854411764709</v>
      </c>
      <c r="D113" s="472">
        <f>'A) Base RI'!AN104</f>
        <v>238</v>
      </c>
      <c r="E113" s="10">
        <f t="shared" si="3"/>
        <v>141705.10797615253</v>
      </c>
      <c r="F113" s="472">
        <f>'F) Population'!K105</f>
        <v>23776.056338028167</v>
      </c>
      <c r="G113" s="10">
        <f>'G) Solidarité'!I102</f>
        <v>59839.107060992435</v>
      </c>
      <c r="H113" s="472">
        <f t="shared" si="4"/>
        <v>83615.163399020603</v>
      </c>
      <c r="I113" s="58">
        <f t="shared" si="5"/>
        <v>58089.94457713193</v>
      </c>
    </row>
    <row r="114" spans="1:9" x14ac:dyDescent="0.25">
      <c r="A114" s="50">
        <f>'A) Base RI'!A105</f>
        <v>5561</v>
      </c>
      <c r="B114" s="33" t="str">
        <f>'A) Base RI'!B105</f>
        <v>Grandson</v>
      </c>
      <c r="C114" s="32">
        <f>'D) Ecrêtage'!M103</f>
        <v>124296.34985507248</v>
      </c>
      <c r="D114" s="472">
        <f>'A) Base RI'!AN105</f>
        <v>3360</v>
      </c>
      <c r="E114" s="10">
        <f t="shared" si="3"/>
        <v>2359314.449949421</v>
      </c>
      <c r="F114" s="472">
        <f>'F) Population'!K106</f>
        <v>979014.08450704219</v>
      </c>
      <c r="G114" s="10">
        <f>'G) Solidarité'!I103</f>
        <v>512547.97062588698</v>
      </c>
      <c r="H114" s="472">
        <f t="shared" si="4"/>
        <v>1491562.0551329292</v>
      </c>
      <c r="I114" s="58">
        <f t="shared" si="5"/>
        <v>867752.39481649175</v>
      </c>
    </row>
    <row r="115" spans="1:9" x14ac:dyDescent="0.25">
      <c r="A115" s="50">
        <f>'A) Base RI'!A106</f>
        <v>5562</v>
      </c>
      <c r="B115" s="33" t="str">
        <f>'A) Base RI'!B106</f>
        <v>Mauborget</v>
      </c>
      <c r="C115" s="32">
        <f>'D) Ecrêtage'!M104</f>
        <v>5288.8125476190471</v>
      </c>
      <c r="D115" s="472">
        <f>'A) Base RI'!AN106</f>
        <v>122</v>
      </c>
      <c r="E115" s="10">
        <f t="shared" si="3"/>
        <v>100388.88415645785</v>
      </c>
      <c r="F115" s="472">
        <f>'F) Population'!K107</f>
        <v>12187.726358148893</v>
      </c>
      <c r="G115" s="10">
        <f>'G) Solidarité'!I104</f>
        <v>4064.0365391879509</v>
      </c>
      <c r="H115" s="472">
        <f t="shared" si="4"/>
        <v>16251.762897336845</v>
      </c>
      <c r="I115" s="58">
        <f t="shared" si="5"/>
        <v>84137.121259121006</v>
      </c>
    </row>
    <row r="116" spans="1:9" x14ac:dyDescent="0.25">
      <c r="A116" s="50">
        <f>'A) Base RI'!A107</f>
        <v>5563</v>
      </c>
      <c r="B116" s="33" t="str">
        <f>'A) Base RI'!B107</f>
        <v>Mutrux</v>
      </c>
      <c r="C116" s="32">
        <f>'D) Ecrêtage'!M105</f>
        <v>3325.060127388535</v>
      </c>
      <c r="D116" s="472">
        <f>'A) Base RI'!AN107</f>
        <v>158</v>
      </c>
      <c r="E116" s="10">
        <f t="shared" si="3"/>
        <v>63114.181668612269</v>
      </c>
      <c r="F116" s="472">
        <f>'F) Population'!K108</f>
        <v>15784.104627766599</v>
      </c>
      <c r="G116" s="10">
        <f>'G) Solidarité'!I105</f>
        <v>92843.226560750074</v>
      </c>
      <c r="H116" s="472">
        <f t="shared" si="4"/>
        <v>108627.33118851668</v>
      </c>
      <c r="I116" s="58">
        <f t="shared" si="5"/>
        <v>-45513.149519904407</v>
      </c>
    </row>
    <row r="117" spans="1:9" x14ac:dyDescent="0.25">
      <c r="A117" s="50">
        <f>'A) Base RI'!A108</f>
        <v>5564</v>
      </c>
      <c r="B117" s="33" t="str">
        <f>'A) Base RI'!B108</f>
        <v>Novalles</v>
      </c>
      <c r="C117" s="32">
        <f>'D) Ecrêtage'!M106</f>
        <v>2879.4712828947363</v>
      </c>
      <c r="D117" s="472">
        <f>'A) Base RI'!AN108</f>
        <v>101</v>
      </c>
      <c r="E117" s="10">
        <f t="shared" si="3"/>
        <v>54656.296937674757</v>
      </c>
      <c r="F117" s="472">
        <f>'F) Population'!K109</f>
        <v>10089.839034205232</v>
      </c>
      <c r="G117" s="10">
        <f>'G) Solidarité'!I106</f>
        <v>38339.719093423882</v>
      </c>
      <c r="H117" s="472">
        <f t="shared" si="4"/>
        <v>48429.558127629112</v>
      </c>
      <c r="I117" s="58">
        <f t="shared" si="5"/>
        <v>6226.7388100456446</v>
      </c>
    </row>
    <row r="118" spans="1:9" x14ac:dyDescent="0.25">
      <c r="A118" s="50">
        <f>'A) Base RI'!A109</f>
        <v>5565</v>
      </c>
      <c r="B118" s="33" t="str">
        <f>'A) Base RI'!B109</f>
        <v>Onnens</v>
      </c>
      <c r="C118" s="32">
        <f>'D) Ecrêtage'!M107</f>
        <v>21859.350153846153</v>
      </c>
      <c r="D118" s="472">
        <f>'A) Base RI'!AN109</f>
        <v>494</v>
      </c>
      <c r="E118" s="10">
        <f t="shared" si="3"/>
        <v>414920.31539628236</v>
      </c>
      <c r="F118" s="472">
        <f>'F) Population'!K110</f>
        <v>49350.301810865189</v>
      </c>
      <c r="G118" s="10">
        <f>'G) Solidarité'!I107</f>
        <v>6741.619019439946</v>
      </c>
      <c r="H118" s="472">
        <f t="shared" si="4"/>
        <v>56091.920830305135</v>
      </c>
      <c r="I118" s="58">
        <f t="shared" si="5"/>
        <v>358828.39456597721</v>
      </c>
    </row>
    <row r="119" spans="1:9" x14ac:dyDescent="0.25">
      <c r="A119" s="50">
        <f>'A) Base RI'!A110</f>
        <v>5566</v>
      </c>
      <c r="B119" s="33" t="str">
        <f>'A) Base RI'!B110</f>
        <v>Provence</v>
      </c>
      <c r="C119" s="32">
        <f>'D) Ecrêtage'!M108</f>
        <v>8283.9104526748961</v>
      </c>
      <c r="D119" s="472">
        <f>'A) Base RI'!AN110</f>
        <v>373</v>
      </c>
      <c r="E119" s="10">
        <f t="shared" si="3"/>
        <v>157239.93227372586</v>
      </c>
      <c r="F119" s="472">
        <f>'F) Population'!K111</f>
        <v>37262.474849094564</v>
      </c>
      <c r="G119" s="10">
        <f>'G) Solidarité'!I108</f>
        <v>222052.16020948972</v>
      </c>
      <c r="H119" s="472">
        <f t="shared" si="4"/>
        <v>259314.63505858427</v>
      </c>
      <c r="I119" s="58">
        <f t="shared" si="5"/>
        <v>-102074.70278485841</v>
      </c>
    </row>
    <row r="120" spans="1:9" x14ac:dyDescent="0.25">
      <c r="A120" s="50">
        <f>'A) Base RI'!A111</f>
        <v>5568</v>
      </c>
      <c r="B120" s="33" t="str">
        <f>'A) Base RI'!B111</f>
        <v>Sainte-Croix</v>
      </c>
      <c r="C120" s="32">
        <f>'D) Ecrêtage'!M109</f>
        <v>103146.8182857143</v>
      </c>
      <c r="D120" s="472">
        <f>'A) Base RI'!AN111</f>
        <v>4845</v>
      </c>
      <c r="E120" s="10">
        <f t="shared" si="3"/>
        <v>1957867.460561326</v>
      </c>
      <c r="F120" s="472">
        <f>'F) Population'!K112</f>
        <v>1720767.102615694</v>
      </c>
      <c r="G120" s="10">
        <f>'G) Solidarité'!I109</f>
        <v>2240770.4386750255</v>
      </c>
      <c r="H120" s="472">
        <f t="shared" si="4"/>
        <v>3961537.5412907195</v>
      </c>
      <c r="I120" s="58">
        <f t="shared" si="5"/>
        <v>-2003670.0807293935</v>
      </c>
    </row>
    <row r="121" spans="1:9" x14ac:dyDescent="0.25">
      <c r="A121" s="50">
        <f>'A) Base RI'!A112</f>
        <v>5571</v>
      </c>
      <c r="B121" s="33" t="str">
        <f>'A) Base RI'!B112</f>
        <v>Tévenon</v>
      </c>
      <c r="C121" s="32">
        <f>'D) Ecrêtage'!M110</f>
        <v>22505.207716894973</v>
      </c>
      <c r="D121" s="472">
        <f>'A) Base RI'!AN112</f>
        <v>877</v>
      </c>
      <c r="E121" s="10">
        <f t="shared" si="3"/>
        <v>427179.57387721847</v>
      </c>
      <c r="F121" s="472">
        <f>'F) Population'!K113</f>
        <v>87611.770623742457</v>
      </c>
      <c r="G121" s="10">
        <f>'G) Solidarité'!I110</f>
        <v>359990.69790417497</v>
      </c>
      <c r="H121" s="472">
        <f t="shared" si="4"/>
        <v>447602.4685279174</v>
      </c>
      <c r="I121" s="58">
        <f t="shared" si="5"/>
        <v>-20422.89465069893</v>
      </c>
    </row>
    <row r="122" spans="1:9" x14ac:dyDescent="0.25">
      <c r="A122" s="50">
        <f>'A) Base RI'!A113</f>
        <v>5581</v>
      </c>
      <c r="B122" s="33" t="str">
        <f>'A) Base RI'!B113</f>
        <v>Belmont-sur-Lausanne</v>
      </c>
      <c r="C122" s="32">
        <f>'D) Ecrêtage'!M111</f>
        <v>187970.76781774583</v>
      </c>
      <c r="D122" s="472">
        <f>'A) Base RI'!AN113</f>
        <v>3732</v>
      </c>
      <c r="E122" s="10">
        <f t="shared" si="3"/>
        <v>3567941.8518531579</v>
      </c>
      <c r="F122" s="472">
        <f>'F) Population'!K114</f>
        <v>1164826.9617706237</v>
      </c>
      <c r="G122" s="10">
        <f>'G) Solidarité'!I111</f>
        <v>0</v>
      </c>
      <c r="H122" s="472">
        <f t="shared" si="4"/>
        <v>1164826.9617706237</v>
      </c>
      <c r="I122" s="58">
        <f t="shared" si="5"/>
        <v>2403114.8900825344</v>
      </c>
    </row>
    <row r="123" spans="1:9" x14ac:dyDescent="0.25">
      <c r="A123" s="50">
        <f>'A) Base RI'!A114</f>
        <v>5582</v>
      </c>
      <c r="B123" s="33" t="str">
        <f>'A) Base RI'!B114</f>
        <v>Cheseaux-sur-Lausanne</v>
      </c>
      <c r="C123" s="32">
        <f>'D) Ecrêtage'!M112</f>
        <v>177854.9614765101</v>
      </c>
      <c r="D123" s="472">
        <f>'A) Base RI'!AN114</f>
        <v>4338</v>
      </c>
      <c r="E123" s="10">
        <f t="shared" si="3"/>
        <v>3375930.0341159902</v>
      </c>
      <c r="F123" s="472">
        <f>'F) Population'!K115</f>
        <v>1467522.1327967807</v>
      </c>
      <c r="G123" s="10">
        <f>'G) Solidarité'!I112</f>
        <v>388472.52640201576</v>
      </c>
      <c r="H123" s="472">
        <f t="shared" si="4"/>
        <v>1855994.6591987964</v>
      </c>
      <c r="I123" s="58">
        <f t="shared" si="5"/>
        <v>1519935.3749171938</v>
      </c>
    </row>
    <row r="124" spans="1:9" x14ac:dyDescent="0.25">
      <c r="A124" s="50">
        <f>'A) Base RI'!A115</f>
        <v>5583</v>
      </c>
      <c r="B124" s="33" t="str">
        <f>'A) Base RI'!B115</f>
        <v>Crissier</v>
      </c>
      <c r="C124" s="32">
        <f>'D) Ecrêtage'!M113</f>
        <v>343062.59507692308</v>
      </c>
      <c r="D124" s="472">
        <f>'A) Base RI'!AN115</f>
        <v>7905</v>
      </c>
      <c r="E124" s="10">
        <f t="shared" si="3"/>
        <v>6511796.5149086853</v>
      </c>
      <c r="F124" s="472">
        <f>'F) Population'!K116</f>
        <v>3539435.6136820922</v>
      </c>
      <c r="G124" s="10">
        <f>'G) Solidarité'!I113</f>
        <v>220788.67174313281</v>
      </c>
      <c r="H124" s="472">
        <f t="shared" si="4"/>
        <v>3760224.2854252248</v>
      </c>
      <c r="I124" s="58">
        <f t="shared" si="5"/>
        <v>2751572.2294834605</v>
      </c>
    </row>
    <row r="125" spans="1:9" x14ac:dyDescent="0.25">
      <c r="A125" s="50">
        <f>'A) Base RI'!A116</f>
        <v>5584</v>
      </c>
      <c r="B125" s="33" t="str">
        <f>'A) Base RI'!B116</f>
        <v>Epalinges</v>
      </c>
      <c r="C125" s="32">
        <f>'D) Ecrêtage'!M114</f>
        <v>468635.24666666664</v>
      </c>
      <c r="D125" s="472">
        <f>'A) Base RI'!AN116</f>
        <v>9624</v>
      </c>
      <c r="E125" s="10">
        <f t="shared" si="3"/>
        <v>8895336.9146033414</v>
      </c>
      <c r="F125" s="472">
        <f>'F) Population'!K117</f>
        <v>4725641.0462776646</v>
      </c>
      <c r="G125" s="10">
        <f>'G) Solidarité'!I114</f>
        <v>0</v>
      </c>
      <c r="H125" s="472">
        <f t="shared" si="4"/>
        <v>4725641.0462776646</v>
      </c>
      <c r="I125" s="58">
        <f t="shared" si="5"/>
        <v>4169695.8683256768</v>
      </c>
    </row>
    <row r="126" spans="1:9" x14ac:dyDescent="0.25">
      <c r="A126" s="50">
        <f>'A) Base RI'!A117</f>
        <v>5585</v>
      </c>
      <c r="B126" s="33" t="str">
        <f>'A) Base RI'!B117</f>
        <v>Jouxtens-Mézery</v>
      </c>
      <c r="C126" s="32">
        <f>'D) Ecrêtage'!M115</f>
        <v>185821.49079664846</v>
      </c>
      <c r="D126" s="472">
        <f>'A) Base RI'!AN117</f>
        <v>1471</v>
      </c>
      <c r="E126" s="10">
        <f t="shared" si="3"/>
        <v>3527145.6391024878</v>
      </c>
      <c r="F126" s="472">
        <f>'F) Population'!K118</f>
        <v>264583.55130784702</v>
      </c>
      <c r="G126" s="10">
        <f>'G) Solidarité'!I115</f>
        <v>0</v>
      </c>
      <c r="H126" s="472">
        <f t="shared" si="4"/>
        <v>264583.55130784702</v>
      </c>
      <c r="I126" s="58">
        <f t="shared" si="5"/>
        <v>3262562.087794641</v>
      </c>
    </row>
    <row r="127" spans="1:9" x14ac:dyDescent="0.25">
      <c r="A127" s="50">
        <f>'A) Base RI'!A118</f>
        <v>5586</v>
      </c>
      <c r="B127" s="33" t="str">
        <f>'A) Base RI'!B118</f>
        <v>Lausanne</v>
      </c>
      <c r="C127" s="32">
        <f>'D) Ecrêtage'!M116</f>
        <v>5998569.406244725</v>
      </c>
      <c r="D127" s="472">
        <f>'A) Base RI'!AN118</f>
        <v>139720</v>
      </c>
      <c r="E127" s="10">
        <f t="shared" si="3"/>
        <v>113861038.5234908</v>
      </c>
      <c r="F127" s="472">
        <f>'F) Population'!K119</f>
        <v>140564444.66800803</v>
      </c>
      <c r="G127" s="10">
        <f>'G) Solidarité'!I116</f>
        <v>7375633.2853259286</v>
      </c>
      <c r="H127" s="472">
        <f t="shared" si="4"/>
        <v>147940077.95333394</v>
      </c>
      <c r="I127" s="58">
        <f t="shared" si="5"/>
        <v>-34079039.429843143</v>
      </c>
    </row>
    <row r="128" spans="1:9" x14ac:dyDescent="0.25">
      <c r="A128" s="50">
        <f>'A) Base RI'!A119</f>
        <v>5587</v>
      </c>
      <c r="B128" s="33" t="str">
        <f>'A) Base RI'!B119</f>
        <v>Le Mont-sur-Lausanne</v>
      </c>
      <c r="C128" s="32">
        <f>'D) Ecrêtage'!M117</f>
        <v>426789.42020000005</v>
      </c>
      <c r="D128" s="472">
        <f>'A) Base RI'!AN119</f>
        <v>8516</v>
      </c>
      <c r="E128" s="10">
        <f t="shared" si="3"/>
        <v>8101045.9867683956</v>
      </c>
      <c r="F128" s="472">
        <f>'F) Population'!K120</f>
        <v>3905666.8008048288</v>
      </c>
      <c r="G128" s="10">
        <f>'G) Solidarité'!I117</f>
        <v>0</v>
      </c>
      <c r="H128" s="472">
        <f t="shared" si="4"/>
        <v>3905666.8008048288</v>
      </c>
      <c r="I128" s="58">
        <f t="shared" si="5"/>
        <v>4195379.1859635673</v>
      </c>
    </row>
    <row r="129" spans="1:9" x14ac:dyDescent="0.25">
      <c r="A129" s="50">
        <f>'A) Base RI'!A120</f>
        <v>5588</v>
      </c>
      <c r="B129" s="33" t="str">
        <f>'A) Base RI'!B120</f>
        <v>Paudex</v>
      </c>
      <c r="C129" s="32">
        <f>'D) Ecrêtage'!M118</f>
        <v>115234.85166339125</v>
      </c>
      <c r="D129" s="472">
        <f>'A) Base RI'!AN120</f>
        <v>1507</v>
      </c>
      <c r="E129" s="10">
        <f t="shared" si="3"/>
        <v>2187314.8405743144</v>
      </c>
      <c r="F129" s="472">
        <f>'F) Population'!K121</f>
        <v>277170.87525150902</v>
      </c>
      <c r="G129" s="10">
        <f>'G) Solidarité'!I118</f>
        <v>0</v>
      </c>
      <c r="H129" s="472">
        <f t="shared" si="4"/>
        <v>277170.87525150902</v>
      </c>
      <c r="I129" s="58">
        <f t="shared" si="5"/>
        <v>1910143.9653228053</v>
      </c>
    </row>
    <row r="130" spans="1:9" x14ac:dyDescent="0.25">
      <c r="A130" s="50">
        <f>'A) Base RI'!A121</f>
        <v>5589</v>
      </c>
      <c r="B130" s="33" t="str">
        <f>'A) Base RI'!B121</f>
        <v>Prilly</v>
      </c>
      <c r="C130" s="32">
        <f>'D) Ecrêtage'!M119</f>
        <v>426033.15632653062</v>
      </c>
      <c r="D130" s="472">
        <f>'A) Base RI'!AN121</f>
        <v>12392</v>
      </c>
      <c r="E130" s="10">
        <f t="shared" si="3"/>
        <v>8086691.0657531638</v>
      </c>
      <c r="F130" s="472">
        <f>'F) Population'!K122</f>
        <v>7134814.8893360151</v>
      </c>
      <c r="G130" s="10">
        <f>'G) Solidarité'!I119</f>
        <v>2839484.3895068774</v>
      </c>
      <c r="H130" s="472">
        <f t="shared" si="4"/>
        <v>9974299.2788428925</v>
      </c>
      <c r="I130" s="58">
        <f t="shared" si="5"/>
        <v>-1887608.2130897287</v>
      </c>
    </row>
    <row r="131" spans="1:9" x14ac:dyDescent="0.25">
      <c r="A131" s="50">
        <f>'A) Base RI'!A122</f>
        <v>5590</v>
      </c>
      <c r="B131" s="33" t="str">
        <f>'A) Base RI'!B122</f>
        <v>Pully</v>
      </c>
      <c r="C131" s="32">
        <f>'D) Ecrêtage'!M120</f>
        <v>1328575.6928938658</v>
      </c>
      <c r="D131" s="472">
        <f>'A) Base RI'!AN122</f>
        <v>18336</v>
      </c>
      <c r="E131" s="10">
        <f t="shared" si="3"/>
        <v>25218180.853668429</v>
      </c>
      <c r="F131" s="472">
        <f>'F) Population'!K123</f>
        <v>13239467.203219313</v>
      </c>
      <c r="G131" s="10">
        <f>'G) Solidarité'!I120</f>
        <v>0</v>
      </c>
      <c r="H131" s="472">
        <f t="shared" si="4"/>
        <v>13239467.203219313</v>
      </c>
      <c r="I131" s="58">
        <f t="shared" si="5"/>
        <v>11978713.650449116</v>
      </c>
    </row>
    <row r="132" spans="1:9" x14ac:dyDescent="0.25">
      <c r="A132" s="50">
        <f>'A) Base RI'!A123</f>
        <v>5591</v>
      </c>
      <c r="B132" s="33" t="str">
        <f>'A) Base RI'!B123</f>
        <v>Renens</v>
      </c>
      <c r="C132" s="32">
        <f>'D) Ecrêtage'!M121</f>
        <v>580334.81221110106</v>
      </c>
      <c r="D132" s="472">
        <f>'A) Base RI'!AN123</f>
        <v>20968</v>
      </c>
      <c r="E132" s="10">
        <f t="shared" si="3"/>
        <v>11015547.197120352</v>
      </c>
      <c r="F132" s="472">
        <f>'F) Population'!K124</f>
        <v>16000286.921529172</v>
      </c>
      <c r="G132" s="10">
        <f>'G) Solidarité'!I121</f>
        <v>8918772.6612936854</v>
      </c>
      <c r="H132" s="472">
        <f t="shared" si="4"/>
        <v>24919059.582822859</v>
      </c>
      <c r="I132" s="58">
        <f t="shared" si="5"/>
        <v>-13903512.385702508</v>
      </c>
    </row>
    <row r="133" spans="1:9" x14ac:dyDescent="0.25">
      <c r="A133" s="50">
        <f>'A) Base RI'!A124</f>
        <v>5592</v>
      </c>
      <c r="B133" s="33" t="str">
        <f>'A) Base RI'!B124</f>
        <v>Romanel-sur-Lausanne</v>
      </c>
      <c r="C133" s="32">
        <f>'D) Ecrêtage'!M122</f>
        <v>113924.20114285716</v>
      </c>
      <c r="D133" s="472">
        <f>'A) Base RI'!AN124</f>
        <v>3311</v>
      </c>
      <c r="E133" s="10">
        <f t="shared" si="3"/>
        <v>2162436.9039692949</v>
      </c>
      <c r="F133" s="472">
        <f>'F) Population'!K125</f>
        <v>954538.73239436606</v>
      </c>
      <c r="G133" s="10">
        <f>'G) Solidarité'!I122</f>
        <v>686333.02498323319</v>
      </c>
      <c r="H133" s="472">
        <f t="shared" si="4"/>
        <v>1640871.7573775994</v>
      </c>
      <c r="I133" s="58">
        <f t="shared" si="5"/>
        <v>521565.14659169549</v>
      </c>
    </row>
    <row r="134" spans="1:9" x14ac:dyDescent="0.25">
      <c r="A134" s="50">
        <f>'A) Base RI'!A125</f>
        <v>5601</v>
      </c>
      <c r="B134" s="33" t="str">
        <f>'A) Base RI'!B125</f>
        <v>Chexbres</v>
      </c>
      <c r="C134" s="32">
        <f>'D) Ecrêtage'!M123</f>
        <v>102834.27275362321</v>
      </c>
      <c r="D134" s="472">
        <f>'A) Base RI'!AN125</f>
        <v>2238</v>
      </c>
      <c r="E134" s="10">
        <f t="shared" si="3"/>
        <v>1951934.9195736831</v>
      </c>
      <c r="F134" s="472">
        <f>'F) Population'!K126</f>
        <v>532763.48088531184</v>
      </c>
      <c r="G134" s="10">
        <f>'G) Solidarité'!I123</f>
        <v>0</v>
      </c>
      <c r="H134" s="472">
        <f t="shared" si="4"/>
        <v>532763.48088531184</v>
      </c>
      <c r="I134" s="58">
        <f t="shared" si="5"/>
        <v>1419171.4386883713</v>
      </c>
    </row>
    <row r="135" spans="1:9" x14ac:dyDescent="0.25">
      <c r="A135" s="50">
        <f>'A) Base RI'!A126</f>
        <v>5604</v>
      </c>
      <c r="B135" s="33" t="str">
        <f>'A) Base RI'!B126</f>
        <v>Forel (Lavaux)</v>
      </c>
      <c r="C135" s="32">
        <f>'D) Ecrêtage'!M124</f>
        <v>76415.868285714285</v>
      </c>
      <c r="D135" s="472">
        <f>'A) Base RI'!AN126</f>
        <v>2082</v>
      </c>
      <c r="E135" s="10">
        <f t="shared" si="3"/>
        <v>1450477.5277965243</v>
      </c>
      <c r="F135" s="472">
        <f>'F) Population'!K127</f>
        <v>478218.41046277661</v>
      </c>
      <c r="G135" s="10">
        <f>'G) Solidarité'!I124</f>
        <v>338608.95992259582</v>
      </c>
      <c r="H135" s="472">
        <f t="shared" si="4"/>
        <v>816827.37038537243</v>
      </c>
      <c r="I135" s="58">
        <f t="shared" si="5"/>
        <v>633650.15741115191</v>
      </c>
    </row>
    <row r="136" spans="1:9" x14ac:dyDescent="0.25">
      <c r="A136" s="50">
        <f>'A) Base RI'!A127</f>
        <v>5606</v>
      </c>
      <c r="B136" s="33" t="str">
        <f>'A) Base RI'!B127</f>
        <v>Lutry</v>
      </c>
      <c r="C136" s="32">
        <f>'D) Ecrêtage'!M125</f>
        <v>780480.77736579673</v>
      </c>
      <c r="D136" s="472">
        <f>'A) Base RI'!AN127</f>
        <v>10285</v>
      </c>
      <c r="E136" s="10">
        <f t="shared" si="3"/>
        <v>14814590.919958012</v>
      </c>
      <c r="F136" s="472">
        <f>'F) Population'!K128</f>
        <v>5286925.8048289726</v>
      </c>
      <c r="G136" s="10">
        <f>'G) Solidarité'!I125</f>
        <v>0</v>
      </c>
      <c r="H136" s="472">
        <f t="shared" si="4"/>
        <v>5286925.8048289726</v>
      </c>
      <c r="I136" s="58">
        <f t="shared" si="5"/>
        <v>9527665.1151290387</v>
      </c>
    </row>
    <row r="137" spans="1:9" x14ac:dyDescent="0.25">
      <c r="A137" s="50">
        <f>'A) Base RI'!A128</f>
        <v>5607</v>
      </c>
      <c r="B137" s="33" t="str">
        <f>'A) Base RI'!B128</f>
        <v>Puidoux</v>
      </c>
      <c r="C137" s="32">
        <f>'D) Ecrêtage'!M126</f>
        <v>111751.15780124225</v>
      </c>
      <c r="D137" s="472">
        <f>'A) Base RI'!AN128</f>
        <v>2880</v>
      </c>
      <c r="E137" s="10">
        <f t="shared" si="3"/>
        <v>2121189.5740017109</v>
      </c>
      <c r="F137" s="472">
        <f>'F) Population'!K129</f>
        <v>757237.42454728368</v>
      </c>
      <c r="G137" s="10">
        <f>'G) Solidarité'!I126</f>
        <v>350771.63616136869</v>
      </c>
      <c r="H137" s="472">
        <f t="shared" si="4"/>
        <v>1108009.0607086523</v>
      </c>
      <c r="I137" s="58">
        <f t="shared" si="5"/>
        <v>1013180.5132930586</v>
      </c>
    </row>
    <row r="138" spans="1:9" x14ac:dyDescent="0.25">
      <c r="A138" s="50">
        <f>'A) Base RI'!A129</f>
        <v>5609</v>
      </c>
      <c r="B138" s="33" t="str">
        <f>'A) Base RI'!B129</f>
        <v>Rivaz</v>
      </c>
      <c r="C138" s="32">
        <f>'D) Ecrêtage'!M127</f>
        <v>13518.908661417323</v>
      </c>
      <c r="D138" s="472">
        <f>'A) Base RI'!AN129</f>
        <v>358</v>
      </c>
      <c r="E138" s="10">
        <f t="shared" si="3"/>
        <v>256607.34679351197</v>
      </c>
      <c r="F138" s="472">
        <f>'F) Population'!K130</f>
        <v>35763.983903420522</v>
      </c>
      <c r="G138" s="10">
        <f>'G) Solidarité'!I127</f>
        <v>41842.455125707536</v>
      </c>
      <c r="H138" s="472">
        <f t="shared" si="4"/>
        <v>77606.439029128058</v>
      </c>
      <c r="I138" s="58">
        <f t="shared" si="5"/>
        <v>179000.90776438391</v>
      </c>
    </row>
    <row r="139" spans="1:9" x14ac:dyDescent="0.25">
      <c r="A139" s="50">
        <f>'A) Base RI'!A130</f>
        <v>5610</v>
      </c>
      <c r="B139" s="33" t="str">
        <f>'A) Base RI'!B130</f>
        <v>St-Saphorin (Lavaux)</v>
      </c>
      <c r="C139" s="32">
        <f>'D) Ecrêtage'!M128</f>
        <v>21494.070428571435</v>
      </c>
      <c r="D139" s="472">
        <f>'A) Base RI'!AN130</f>
        <v>391</v>
      </c>
      <c r="E139" s="10">
        <f t="shared" si="3"/>
        <v>407986.80741218582</v>
      </c>
      <c r="F139" s="472">
        <f>'F) Population'!K131</f>
        <v>39060.663983903418</v>
      </c>
      <c r="G139" s="10">
        <f>'G) Solidarité'!I128</f>
        <v>0</v>
      </c>
      <c r="H139" s="472">
        <f t="shared" si="4"/>
        <v>39060.663983903418</v>
      </c>
      <c r="I139" s="58">
        <f t="shared" si="5"/>
        <v>368926.1434282824</v>
      </c>
    </row>
    <row r="140" spans="1:9" x14ac:dyDescent="0.25">
      <c r="A140" s="50">
        <f>'A) Base RI'!A131</f>
        <v>5611</v>
      </c>
      <c r="B140" s="33" t="str">
        <f>'A) Base RI'!B131</f>
        <v>Savigny</v>
      </c>
      <c r="C140" s="32">
        <f>'D) Ecrêtage'!M129</f>
        <v>137747.50487922705</v>
      </c>
      <c r="D140" s="472">
        <f>'A) Base RI'!AN131</f>
        <v>3353</v>
      </c>
      <c r="E140" s="10">
        <f t="shared" si="3"/>
        <v>2614635.7401884403</v>
      </c>
      <c r="F140" s="472">
        <f>'F) Population'!K132</f>
        <v>975517.60563380271</v>
      </c>
      <c r="G140" s="10">
        <f>'G) Solidarité'!I129</f>
        <v>252333.7984334983</v>
      </c>
      <c r="H140" s="472">
        <f t="shared" si="4"/>
        <v>1227851.404067301</v>
      </c>
      <c r="I140" s="58">
        <f t="shared" si="5"/>
        <v>1386784.3361211393</v>
      </c>
    </row>
    <row r="141" spans="1:9" x14ac:dyDescent="0.25">
      <c r="A141" s="50">
        <f>'A) Base RI'!A132</f>
        <v>5613</v>
      </c>
      <c r="B141" s="33" t="str">
        <f>'A) Base RI'!B132</f>
        <v>Bourg-en-Lavaux</v>
      </c>
      <c r="C141" s="32">
        <f>'D) Ecrêtage'!M130</f>
        <v>293991.54098360648</v>
      </c>
      <c r="D141" s="472">
        <f>'A) Base RI'!AN132</f>
        <v>5367</v>
      </c>
      <c r="E141" s="10">
        <f t="shared" si="3"/>
        <v>5580360.9004952116</v>
      </c>
      <c r="F141" s="472">
        <f>'F) Population'!K133</f>
        <v>2018167.6056338025</v>
      </c>
      <c r="G141" s="10">
        <f>'G) Solidarité'!I130</f>
        <v>0</v>
      </c>
      <c r="H141" s="472">
        <f t="shared" si="4"/>
        <v>2018167.6056338025</v>
      </c>
      <c r="I141" s="58">
        <f t="shared" si="5"/>
        <v>3562193.2948614089</v>
      </c>
    </row>
    <row r="142" spans="1:9" x14ac:dyDescent="0.25">
      <c r="A142" s="50">
        <f>'A) Base RI'!A133</f>
        <v>5621</v>
      </c>
      <c r="B142" s="33" t="str">
        <f>'A) Base RI'!B133</f>
        <v>Aclens</v>
      </c>
      <c r="C142" s="32">
        <f>'D) Ecrêtage'!M131</f>
        <v>37690.385795317372</v>
      </c>
      <c r="D142" s="472">
        <f>'A) Base RI'!AN133</f>
        <v>535</v>
      </c>
      <c r="E142" s="10">
        <f t="shared" si="3"/>
        <v>715414.98953705397</v>
      </c>
      <c r="F142" s="472">
        <f>'F) Population'!K134</f>
        <v>53446.177062374241</v>
      </c>
      <c r="G142" s="10">
        <f>'G) Solidarité'!I131</f>
        <v>0</v>
      </c>
      <c r="H142" s="472">
        <f t="shared" si="4"/>
        <v>53446.177062374241</v>
      </c>
      <c r="I142" s="58">
        <f t="shared" si="5"/>
        <v>661968.81247467978</v>
      </c>
    </row>
    <row r="143" spans="1:9" x14ac:dyDescent="0.25">
      <c r="A143" s="50">
        <f>'A) Base RI'!A134</f>
        <v>5622</v>
      </c>
      <c r="B143" s="33" t="str">
        <f>'A) Base RI'!B134</f>
        <v>Bremblens</v>
      </c>
      <c r="C143" s="32">
        <f>'D) Ecrêtage'!M132</f>
        <v>25350.281363636361</v>
      </c>
      <c r="D143" s="472">
        <f>'A) Base RI'!AN134</f>
        <v>548</v>
      </c>
      <c r="E143" s="10">
        <f t="shared" si="3"/>
        <v>481182.95670989074</v>
      </c>
      <c r="F143" s="472">
        <f>'F) Population'!K135</f>
        <v>54744.86921529175</v>
      </c>
      <c r="G143" s="10">
        <f>'G) Solidarité'!I132</f>
        <v>0</v>
      </c>
      <c r="H143" s="472">
        <f t="shared" si="4"/>
        <v>54744.86921529175</v>
      </c>
      <c r="I143" s="58">
        <f t="shared" si="5"/>
        <v>426438.08749459899</v>
      </c>
    </row>
    <row r="144" spans="1:9" x14ac:dyDescent="0.25">
      <c r="A144" s="50">
        <f>'A) Base RI'!A135</f>
        <v>5623</v>
      </c>
      <c r="B144" s="33" t="str">
        <f>'A) Base RI'!B135</f>
        <v>Buchillon</v>
      </c>
      <c r="C144" s="32">
        <f>'D) Ecrêtage'!M133</f>
        <v>95555.278269668168</v>
      </c>
      <c r="D144" s="472">
        <f>'A) Base RI'!AN135</f>
        <v>650</v>
      </c>
      <c r="E144" s="10">
        <f t="shared" si="3"/>
        <v>1813769.664623548</v>
      </c>
      <c r="F144" s="472">
        <f>'F) Population'!K136</f>
        <v>64934.60764587525</v>
      </c>
      <c r="G144" s="10">
        <f>'G) Solidarité'!I133</f>
        <v>0</v>
      </c>
      <c r="H144" s="472">
        <f t="shared" si="4"/>
        <v>64934.60764587525</v>
      </c>
      <c r="I144" s="58">
        <f t="shared" si="5"/>
        <v>1748835.0569776727</v>
      </c>
    </row>
    <row r="145" spans="1:9" x14ac:dyDescent="0.25">
      <c r="A145" s="50">
        <f>'A) Base RI'!A136</f>
        <v>5624</v>
      </c>
      <c r="B145" s="33" t="str">
        <f>'A) Base RI'!B136</f>
        <v>Bussigny</v>
      </c>
      <c r="C145" s="32">
        <f>'D) Ecrêtage'!M134</f>
        <v>383784.23111111118</v>
      </c>
      <c r="D145" s="472">
        <f>'A) Base RI'!AN136</f>
        <v>8759</v>
      </c>
      <c r="E145" s="10">
        <f t="shared" ref="E145:E208" si="6">C145*E$15</f>
        <v>7284748.7732257079</v>
      </c>
      <c r="F145" s="472">
        <f>'F) Population'!K137</f>
        <v>4051320.1207243456</v>
      </c>
      <c r="G145" s="10">
        <f>'G) Solidarité'!I134</f>
        <v>172151.8718610022</v>
      </c>
      <c r="H145" s="472">
        <f t="shared" ref="H145:H208" si="7">F145+G145</f>
        <v>4223471.992585348</v>
      </c>
      <c r="I145" s="58">
        <f t="shared" ref="I145:I208" si="8">E145-H145</f>
        <v>3061276.78064036</v>
      </c>
    </row>
    <row r="146" spans="1:9" x14ac:dyDescent="0.25">
      <c r="A146" s="50">
        <f>'A) Base RI'!A137</f>
        <v>5625</v>
      </c>
      <c r="B146" s="33" t="str">
        <f>'A) Base RI'!B137</f>
        <v>Bussy-Chardonney</v>
      </c>
      <c r="C146" s="32">
        <f>'D) Ecrêtage'!M135</f>
        <v>13516.350747863249</v>
      </c>
      <c r="D146" s="472">
        <f>'A) Base RI'!AN137</f>
        <v>376</v>
      </c>
      <c r="E146" s="10">
        <f t="shared" si="6"/>
        <v>256558.79410136223</v>
      </c>
      <c r="F146" s="472">
        <f>'F) Population'!K138</f>
        <v>37562.173038229375</v>
      </c>
      <c r="G146" s="10">
        <f>'G) Solidarité'!I135</f>
        <v>82787.683724787596</v>
      </c>
      <c r="H146" s="472">
        <f t="shared" si="7"/>
        <v>120349.85676301697</v>
      </c>
      <c r="I146" s="58">
        <f t="shared" si="8"/>
        <v>136208.93733834528</v>
      </c>
    </row>
    <row r="147" spans="1:9" x14ac:dyDescent="0.25">
      <c r="A147" s="50">
        <f>'A) Base RI'!A138</f>
        <v>5627</v>
      </c>
      <c r="B147" s="33" t="str">
        <f>'A) Base RI'!B138</f>
        <v>Chavannes-près-Renens</v>
      </c>
      <c r="C147" s="32">
        <f>'D) Ecrêtage'!M136</f>
        <v>182156.43953586498</v>
      </c>
      <c r="D147" s="472">
        <f>'A) Base RI'!AN138</f>
        <v>7741</v>
      </c>
      <c r="E147" s="10">
        <f t="shared" si="6"/>
        <v>3457577.9614558467</v>
      </c>
      <c r="F147" s="472">
        <f>'F) Population'!K139</f>
        <v>3441134.6076458748</v>
      </c>
      <c r="G147" s="10">
        <f>'G) Solidarité'!I136</f>
        <v>4129902.1009983639</v>
      </c>
      <c r="H147" s="472">
        <f t="shared" si="7"/>
        <v>7571036.7086442392</v>
      </c>
      <c r="I147" s="58">
        <f t="shared" si="8"/>
        <v>-4113458.7471883926</v>
      </c>
    </row>
    <row r="148" spans="1:9" x14ac:dyDescent="0.25">
      <c r="A148" s="50">
        <f>'A) Base RI'!A139</f>
        <v>5628</v>
      </c>
      <c r="B148" s="33" t="str">
        <f>'A) Base RI'!B139</f>
        <v>Chigny</v>
      </c>
      <c r="C148" s="32">
        <f>'D) Ecrêtage'!M137</f>
        <v>25716.856589278395</v>
      </c>
      <c r="D148" s="472">
        <f>'A) Base RI'!AN139</f>
        <v>358</v>
      </c>
      <c r="E148" s="10">
        <f t="shared" si="6"/>
        <v>488141.05505999632</v>
      </c>
      <c r="F148" s="472">
        <f>'F) Population'!K140</f>
        <v>35763.983903420522</v>
      </c>
      <c r="G148" s="10">
        <f>'G) Solidarité'!I137</f>
        <v>0</v>
      </c>
      <c r="H148" s="472">
        <f t="shared" si="7"/>
        <v>35763.983903420522</v>
      </c>
      <c r="I148" s="58">
        <f t="shared" si="8"/>
        <v>452377.07115657581</v>
      </c>
    </row>
    <row r="149" spans="1:9" x14ac:dyDescent="0.25">
      <c r="A149" s="50">
        <f>'A) Base RI'!A140</f>
        <v>5629</v>
      </c>
      <c r="B149" s="33" t="str">
        <f>'A) Base RI'!B140</f>
        <v>Clarmont</v>
      </c>
      <c r="C149" s="32">
        <f>'D) Ecrêtage'!M138</f>
        <v>6960.0919999999987</v>
      </c>
      <c r="D149" s="472">
        <f>'A) Base RI'!AN140</f>
        <v>190</v>
      </c>
      <c r="E149" s="10">
        <f t="shared" si="6"/>
        <v>132112.05033554111</v>
      </c>
      <c r="F149" s="472">
        <f>'F) Population'!K141</f>
        <v>18980.885311871225</v>
      </c>
      <c r="G149" s="10">
        <f>'G) Solidarité'!I138</f>
        <v>35774.432132965114</v>
      </c>
      <c r="H149" s="472">
        <f t="shared" si="7"/>
        <v>54755.317444836342</v>
      </c>
      <c r="I149" s="58">
        <f t="shared" si="8"/>
        <v>77356.732890704763</v>
      </c>
    </row>
    <row r="150" spans="1:9" x14ac:dyDescent="0.25">
      <c r="A150" s="50">
        <f>'A) Base RI'!A141</f>
        <v>5631</v>
      </c>
      <c r="B150" s="33" t="str">
        <f>'A) Base RI'!B141</f>
        <v>Denens</v>
      </c>
      <c r="C150" s="32">
        <f>'D) Ecrêtage'!M139</f>
        <v>43469.932701404548</v>
      </c>
      <c r="D150" s="472">
        <f>'A) Base RI'!AN141</f>
        <v>747</v>
      </c>
      <c r="E150" s="10">
        <f t="shared" si="6"/>
        <v>825118.68192698353</v>
      </c>
      <c r="F150" s="472">
        <f>'F) Population'!K142</f>
        <v>74624.849094567398</v>
      </c>
      <c r="G150" s="10">
        <f>'G) Solidarité'!I139</f>
        <v>0</v>
      </c>
      <c r="H150" s="472">
        <f t="shared" si="7"/>
        <v>74624.849094567398</v>
      </c>
      <c r="I150" s="58">
        <f t="shared" si="8"/>
        <v>750493.83283241617</v>
      </c>
    </row>
    <row r="151" spans="1:9" x14ac:dyDescent="0.25">
      <c r="A151" s="50">
        <f>'A) Base RI'!A142</f>
        <v>5632</v>
      </c>
      <c r="B151" s="33" t="str">
        <f>'A) Base RI'!B142</f>
        <v>Denges</v>
      </c>
      <c r="C151" s="32">
        <f>'D) Ecrêtage'!M140</f>
        <v>69010.195161290321</v>
      </c>
      <c r="D151" s="472">
        <f>'A) Base RI'!AN142</f>
        <v>1610</v>
      </c>
      <c r="E151" s="10">
        <f t="shared" si="6"/>
        <v>1309907.7392675129</v>
      </c>
      <c r="F151" s="472">
        <f>'F) Population'!K143</f>
        <v>313184.60764587519</v>
      </c>
      <c r="G151" s="10">
        <f>'G) Solidarité'!I140</f>
        <v>54050.584975309554</v>
      </c>
      <c r="H151" s="472">
        <f t="shared" si="7"/>
        <v>367235.19262118475</v>
      </c>
      <c r="I151" s="58">
        <f t="shared" si="8"/>
        <v>942672.54664632818</v>
      </c>
    </row>
    <row r="152" spans="1:9" x14ac:dyDescent="0.25">
      <c r="A152" s="50">
        <f>'A) Base RI'!A143</f>
        <v>5633</v>
      </c>
      <c r="B152" s="33" t="str">
        <f>'A) Base RI'!B143</f>
        <v>Echandens</v>
      </c>
      <c r="C152" s="32">
        <f>'D) Ecrêtage'!M141</f>
        <v>138978.74822580643</v>
      </c>
      <c r="D152" s="472">
        <f>'A) Base RI'!AN143</f>
        <v>2789</v>
      </c>
      <c r="E152" s="10">
        <f t="shared" si="6"/>
        <v>2638006.4201993644</v>
      </c>
      <c r="F152" s="472">
        <f>'F) Population'!K144</f>
        <v>725419.46680080483</v>
      </c>
      <c r="G152" s="10">
        <f>'G) Solidarité'!I141</f>
        <v>0</v>
      </c>
      <c r="H152" s="472">
        <f t="shared" si="7"/>
        <v>725419.46680080483</v>
      </c>
      <c r="I152" s="58">
        <f t="shared" si="8"/>
        <v>1912586.9533985597</v>
      </c>
    </row>
    <row r="153" spans="1:9" x14ac:dyDescent="0.25">
      <c r="A153" s="50">
        <f>'A) Base RI'!A144</f>
        <v>5634</v>
      </c>
      <c r="B153" s="33" t="str">
        <f>'A) Base RI'!B144</f>
        <v>Echichens</v>
      </c>
      <c r="C153" s="32">
        <f>'D) Ecrêtage'!M142</f>
        <v>172606.73271860249</v>
      </c>
      <c r="D153" s="472">
        <f>'A) Base RI'!AN144</f>
        <v>3050</v>
      </c>
      <c r="E153" s="10">
        <f t="shared" si="6"/>
        <v>3276311.4857064108</v>
      </c>
      <c r="F153" s="472">
        <f>'F) Population'!K145</f>
        <v>824170.02012072422</v>
      </c>
      <c r="G153" s="10">
        <f>'G) Solidarité'!I142</f>
        <v>0</v>
      </c>
      <c r="H153" s="472">
        <f t="shared" si="7"/>
        <v>824170.02012072422</v>
      </c>
      <c r="I153" s="58">
        <f t="shared" si="8"/>
        <v>2452141.4655856867</v>
      </c>
    </row>
    <row r="154" spans="1:9" x14ac:dyDescent="0.25">
      <c r="A154" s="50">
        <f>'A) Base RI'!A145</f>
        <v>5635</v>
      </c>
      <c r="B154" s="33" t="str">
        <f>'A) Base RI'!B145</f>
        <v>Ecublens</v>
      </c>
      <c r="C154" s="32">
        <f>'D) Ecrêtage'!M143</f>
        <v>437106.29065104178</v>
      </c>
      <c r="D154" s="472">
        <f>'A) Base RI'!AN145</f>
        <v>12939</v>
      </c>
      <c r="E154" s="10">
        <f t="shared" si="6"/>
        <v>8296874.2758676317</v>
      </c>
      <c r="F154" s="472">
        <f>'F) Population'!K146</f>
        <v>7681264.5875251498</v>
      </c>
      <c r="G154" s="10">
        <f>'G) Solidarité'!I143</f>
        <v>2373681.1999868425</v>
      </c>
      <c r="H154" s="472">
        <f t="shared" si="7"/>
        <v>10054945.787511993</v>
      </c>
      <c r="I154" s="58">
        <f t="shared" si="8"/>
        <v>-1758071.5116443615</v>
      </c>
    </row>
    <row r="155" spans="1:9" x14ac:dyDescent="0.25">
      <c r="A155" s="50">
        <f>'A) Base RI'!A146</f>
        <v>5636</v>
      </c>
      <c r="B155" s="33" t="str">
        <f>'A) Base RI'!B146</f>
        <v>Etoy</v>
      </c>
      <c r="C155" s="32">
        <f>'D) Ecrêtage'!M144</f>
        <v>183083.99333260235</v>
      </c>
      <c r="D155" s="472">
        <f>'A) Base RI'!AN146</f>
        <v>2905</v>
      </c>
      <c r="E155" s="10">
        <f t="shared" si="6"/>
        <v>3475184.1991152754</v>
      </c>
      <c r="F155" s="472">
        <f>'F) Population'!K147</f>
        <v>765978.6217303822</v>
      </c>
      <c r="G155" s="10">
        <f>'G) Solidarité'!I144</f>
        <v>0</v>
      </c>
      <c r="H155" s="472">
        <f t="shared" si="7"/>
        <v>765978.6217303822</v>
      </c>
      <c r="I155" s="58">
        <f t="shared" si="8"/>
        <v>2709205.5773848933</v>
      </c>
    </row>
    <row r="156" spans="1:9" x14ac:dyDescent="0.25">
      <c r="A156" s="50">
        <f>'A) Base RI'!A147</f>
        <v>5637</v>
      </c>
      <c r="B156" s="33" t="str">
        <f>'A) Base RI'!B147</f>
        <v>Lavigny</v>
      </c>
      <c r="C156" s="32">
        <f>'D) Ecrêtage'!M145</f>
        <v>35857.018299776282</v>
      </c>
      <c r="D156" s="472">
        <f>'A) Base RI'!AN147</f>
        <v>999</v>
      </c>
      <c r="E156" s="10">
        <f t="shared" si="6"/>
        <v>680615.17096361134</v>
      </c>
      <c r="F156" s="472">
        <f>'F) Population'!K148</f>
        <v>99799.496981891338</v>
      </c>
      <c r="G156" s="10">
        <f>'G) Solidarité'!I145</f>
        <v>201869.71901178791</v>
      </c>
      <c r="H156" s="472">
        <f t="shared" si="7"/>
        <v>301669.21599367925</v>
      </c>
      <c r="I156" s="58">
        <f t="shared" si="8"/>
        <v>378945.95496993209</v>
      </c>
    </row>
    <row r="157" spans="1:9" x14ac:dyDescent="0.25">
      <c r="A157" s="50">
        <f>'A) Base RI'!A148</f>
        <v>5638</v>
      </c>
      <c r="B157" s="33" t="str">
        <f>'A) Base RI'!B148</f>
        <v>Lonay</v>
      </c>
      <c r="C157" s="32">
        <f>'D) Ecrêtage'!M146</f>
        <v>163818.58469948487</v>
      </c>
      <c r="D157" s="472">
        <f>'A) Base RI'!AN148</f>
        <v>2593</v>
      </c>
      <c r="E157" s="10">
        <f t="shared" si="6"/>
        <v>3109500.4358728952</v>
      </c>
      <c r="F157" s="472">
        <f>'F) Population'!K149</f>
        <v>656888.48088531184</v>
      </c>
      <c r="G157" s="10">
        <f>'G) Solidarité'!I146</f>
        <v>0</v>
      </c>
      <c r="H157" s="472">
        <f t="shared" si="7"/>
        <v>656888.48088531184</v>
      </c>
      <c r="I157" s="58">
        <f t="shared" si="8"/>
        <v>2452611.9549875832</v>
      </c>
    </row>
    <row r="158" spans="1:9" x14ac:dyDescent="0.25">
      <c r="A158" s="50">
        <f>'A) Base RI'!A149</f>
        <v>5639</v>
      </c>
      <c r="B158" s="33" t="str">
        <f>'A) Base RI'!B149</f>
        <v>Lully</v>
      </c>
      <c r="C158" s="32">
        <f>'D) Ecrêtage'!M147</f>
        <v>46238.537920854986</v>
      </c>
      <c r="D158" s="472">
        <f>'A) Base RI'!AN149</f>
        <v>790</v>
      </c>
      <c r="E158" s="10">
        <f t="shared" si="6"/>
        <v>877670.58959016937</v>
      </c>
      <c r="F158" s="472">
        <f>'F) Population'!K150</f>
        <v>78920.523138832999</v>
      </c>
      <c r="G158" s="10">
        <f>'G) Solidarité'!I147</f>
        <v>0</v>
      </c>
      <c r="H158" s="472">
        <f t="shared" si="7"/>
        <v>78920.523138832999</v>
      </c>
      <c r="I158" s="58">
        <f t="shared" si="8"/>
        <v>798750.06645133637</v>
      </c>
    </row>
    <row r="159" spans="1:9" x14ac:dyDescent="0.25">
      <c r="A159" s="50">
        <f>'A) Base RI'!A150</f>
        <v>5640</v>
      </c>
      <c r="B159" s="33" t="str">
        <f>'A) Base RI'!B150</f>
        <v>Lussy-sur-Morges</v>
      </c>
      <c r="C159" s="32">
        <f>'D) Ecrêtage'!M148</f>
        <v>50080.591536998734</v>
      </c>
      <c r="D159" s="472">
        <f>'A) Base RI'!AN150</f>
        <v>687</v>
      </c>
      <c r="E159" s="10">
        <f t="shared" si="6"/>
        <v>950598.01364258572</v>
      </c>
      <c r="F159" s="472">
        <f>'F) Population'!K151</f>
        <v>68630.885311871229</v>
      </c>
      <c r="G159" s="10">
        <f>'G) Solidarité'!I148</f>
        <v>0</v>
      </c>
      <c r="H159" s="472">
        <f t="shared" si="7"/>
        <v>68630.885311871229</v>
      </c>
      <c r="I159" s="58">
        <f t="shared" si="8"/>
        <v>881967.12833071453</v>
      </c>
    </row>
    <row r="160" spans="1:9" x14ac:dyDescent="0.25">
      <c r="A160" s="50">
        <f>'A) Base RI'!A151</f>
        <v>5642</v>
      </c>
      <c r="B160" s="33" t="str">
        <f>'A) Base RI'!B151</f>
        <v>Morges</v>
      </c>
      <c r="C160" s="32">
        <f>'D) Ecrêtage'!M149</f>
        <v>759222.5945985401</v>
      </c>
      <c r="D160" s="472">
        <f>'A) Base RI'!AN151</f>
        <v>15725</v>
      </c>
      <c r="E160" s="10">
        <f t="shared" si="6"/>
        <v>14411081.582467942</v>
      </c>
      <c r="F160" s="472">
        <f>'F) Population'!K152</f>
        <v>10500675.301810864</v>
      </c>
      <c r="G160" s="10">
        <f>'G) Solidarité'!I149</f>
        <v>0</v>
      </c>
      <c r="H160" s="472">
        <f t="shared" si="7"/>
        <v>10500675.301810864</v>
      </c>
      <c r="I160" s="58">
        <f t="shared" si="8"/>
        <v>3910406.2806570772</v>
      </c>
    </row>
    <row r="161" spans="1:9" x14ac:dyDescent="0.25">
      <c r="A161" s="50">
        <f>'A) Base RI'!A152</f>
        <v>5643</v>
      </c>
      <c r="B161" s="33" t="str">
        <f>'A) Base RI'!B152</f>
        <v>Préverenges</v>
      </c>
      <c r="C161" s="32">
        <f>'D) Ecrêtage'!M150</f>
        <v>260053.614375</v>
      </c>
      <c r="D161" s="472">
        <f>'A) Base RI'!AN152</f>
        <v>5298</v>
      </c>
      <c r="E161" s="10">
        <f t="shared" si="6"/>
        <v>4936172.710396558</v>
      </c>
      <c r="F161" s="472">
        <f>'F) Population'!K153</f>
        <v>1976809.2555331988</v>
      </c>
      <c r="G161" s="10">
        <f>'G) Solidarité'!I150</f>
        <v>0</v>
      </c>
      <c r="H161" s="472">
        <f t="shared" si="7"/>
        <v>1976809.2555331988</v>
      </c>
      <c r="I161" s="58">
        <f t="shared" si="8"/>
        <v>2959363.4548633592</v>
      </c>
    </row>
    <row r="162" spans="1:9" x14ac:dyDescent="0.25">
      <c r="A162" s="50">
        <f>'A) Base RI'!A153</f>
        <v>5644</v>
      </c>
      <c r="B162" s="33" t="str">
        <f>'A) Base RI'!B153</f>
        <v>Reverolle</v>
      </c>
      <c r="C162" s="32">
        <f>'D) Ecrêtage'!M151</f>
        <v>13341.614868421055</v>
      </c>
      <c r="D162" s="472">
        <f>'A) Base RI'!AN153</f>
        <v>399</v>
      </c>
      <c r="E162" s="10">
        <f t="shared" si="6"/>
        <v>253242.06850344021</v>
      </c>
      <c r="F162" s="472">
        <f>'F) Population'!K154</f>
        <v>39859.859154929574</v>
      </c>
      <c r="G162" s="10">
        <f>'G) Solidarité'!I151</f>
        <v>106371.08196281604</v>
      </c>
      <c r="H162" s="472">
        <f t="shared" si="7"/>
        <v>146230.94111774562</v>
      </c>
      <c r="I162" s="58">
        <f t="shared" si="8"/>
        <v>107011.12738569459</v>
      </c>
    </row>
    <row r="163" spans="1:9" x14ac:dyDescent="0.25">
      <c r="A163" s="50">
        <f>'A) Base RI'!A154</f>
        <v>5645</v>
      </c>
      <c r="B163" s="33" t="str">
        <f>'A) Base RI'!B154</f>
        <v>Romanel-sur-Morges</v>
      </c>
      <c r="C163" s="32">
        <f>'D) Ecrêtage'!M152</f>
        <v>26400.132083680532</v>
      </c>
      <c r="D163" s="472">
        <f>'A) Base RI'!AN154</f>
        <v>458</v>
      </c>
      <c r="E163" s="10">
        <f t="shared" si="6"/>
        <v>501110.55697311711</v>
      </c>
      <c r="F163" s="472">
        <f>'F) Population'!K155</f>
        <v>45753.923541247481</v>
      </c>
      <c r="G163" s="10">
        <f>'G) Solidarité'!I152</f>
        <v>0</v>
      </c>
      <c r="H163" s="472">
        <f t="shared" si="7"/>
        <v>45753.923541247481</v>
      </c>
      <c r="I163" s="58">
        <f t="shared" si="8"/>
        <v>455356.63343186962</v>
      </c>
    </row>
    <row r="164" spans="1:9" x14ac:dyDescent="0.25">
      <c r="A164" s="50">
        <f>'A) Base RI'!A155</f>
        <v>5646</v>
      </c>
      <c r="B164" s="33" t="str">
        <f>'A) Base RI'!B155</f>
        <v>Saint-Prex</v>
      </c>
      <c r="C164" s="32">
        <f>'D) Ecrêtage'!M153</f>
        <v>465295.81777053984</v>
      </c>
      <c r="D164" s="472">
        <f>'A) Base RI'!AN155</f>
        <v>5684</v>
      </c>
      <c r="E164" s="10">
        <f t="shared" si="6"/>
        <v>8831949.9940831717</v>
      </c>
      <c r="F164" s="472">
        <f>'F) Population'!K156</f>
        <v>2208176.2575452714</v>
      </c>
      <c r="G164" s="10">
        <f>'G) Solidarité'!I153</f>
        <v>0</v>
      </c>
      <c r="H164" s="472">
        <f t="shared" si="7"/>
        <v>2208176.2575452714</v>
      </c>
      <c r="I164" s="58">
        <f t="shared" si="8"/>
        <v>6623773.7365378998</v>
      </c>
    </row>
    <row r="165" spans="1:9" x14ac:dyDescent="0.25">
      <c r="A165" s="50">
        <f>'A) Base RI'!A156</f>
        <v>5648</v>
      </c>
      <c r="B165" s="33" t="str">
        <f>'A) Base RI'!B156</f>
        <v>Saint-Sulpice</v>
      </c>
      <c r="C165" s="32">
        <f>'D) Ecrêtage'!M154</f>
        <v>272390.15842991677</v>
      </c>
      <c r="D165" s="472">
        <f>'A) Base RI'!AN156</f>
        <v>4669</v>
      </c>
      <c r="E165" s="10">
        <f t="shared" si="6"/>
        <v>5170337.1624109549</v>
      </c>
      <c r="F165" s="472">
        <f>'F) Population'!K157</f>
        <v>1632855.6338028167</v>
      </c>
      <c r="G165" s="10">
        <f>'G) Solidarité'!I154</f>
        <v>0</v>
      </c>
      <c r="H165" s="472">
        <f t="shared" si="7"/>
        <v>1632855.6338028167</v>
      </c>
      <c r="I165" s="58">
        <f t="shared" si="8"/>
        <v>3537481.5286081382</v>
      </c>
    </row>
    <row r="166" spans="1:9" x14ac:dyDescent="0.25">
      <c r="A166" s="50">
        <f>'A) Base RI'!A157</f>
        <v>5649</v>
      </c>
      <c r="B166" s="33" t="str">
        <f>'A) Base RI'!B157</f>
        <v>Tolochenaz</v>
      </c>
      <c r="C166" s="32">
        <f>'D) Ecrêtage'!M155</f>
        <v>129535.13347447779</v>
      </c>
      <c r="D166" s="472">
        <f>'A) Base RI'!AN157</f>
        <v>1933</v>
      </c>
      <c r="E166" s="10">
        <f t="shared" si="6"/>
        <v>2458753.7167326589</v>
      </c>
      <c r="F166" s="472">
        <f>'F) Population'!K158</f>
        <v>426120.87525150902</v>
      </c>
      <c r="G166" s="10">
        <f>'G) Solidarité'!I155</f>
        <v>0</v>
      </c>
      <c r="H166" s="472">
        <f t="shared" si="7"/>
        <v>426120.87525150902</v>
      </c>
      <c r="I166" s="58">
        <f t="shared" si="8"/>
        <v>2032632.8414811499</v>
      </c>
    </row>
    <row r="167" spans="1:9" x14ac:dyDescent="0.25">
      <c r="A167" s="50">
        <f>'A) Base RI'!A158</f>
        <v>5650</v>
      </c>
      <c r="B167" s="33" t="str">
        <f>'A) Base RI'!B158</f>
        <v>Vaux-sur-Morges</v>
      </c>
      <c r="C167" s="32">
        <f>'D) Ecrêtage'!M156</f>
        <v>128605.83258251277</v>
      </c>
      <c r="D167" s="472">
        <f>'A) Base RI'!AN158</f>
        <v>184</v>
      </c>
      <c r="E167" s="10">
        <f t="shared" si="6"/>
        <v>2441114.3168201083</v>
      </c>
      <c r="F167" s="472">
        <f>'F) Population'!K159</f>
        <v>18381.488933601609</v>
      </c>
      <c r="G167" s="10">
        <f>'G) Solidarité'!I156</f>
        <v>0</v>
      </c>
      <c r="H167" s="472">
        <f t="shared" si="7"/>
        <v>18381.488933601609</v>
      </c>
      <c r="I167" s="58">
        <f t="shared" si="8"/>
        <v>2422732.8278865069</v>
      </c>
    </row>
    <row r="168" spans="1:9" x14ac:dyDescent="0.25">
      <c r="A168" s="50">
        <f>'A) Base RI'!A159</f>
        <v>5651</v>
      </c>
      <c r="B168" s="33" t="str">
        <f>'A) Base RI'!B159</f>
        <v>Villars-Sainte-Croix</v>
      </c>
      <c r="C168" s="32">
        <f>'D) Ecrêtage'!M157</f>
        <v>57258.584311335449</v>
      </c>
      <c r="D168" s="472">
        <f>'A) Base RI'!AN159</f>
        <v>963</v>
      </c>
      <c r="E168" s="10">
        <f t="shared" si="6"/>
        <v>1086846.1182238646</v>
      </c>
      <c r="F168" s="472">
        <f>'F) Population'!K160</f>
        <v>96203.118712273645</v>
      </c>
      <c r="G168" s="10">
        <f>'G) Solidarité'!I157</f>
        <v>0</v>
      </c>
      <c r="H168" s="472">
        <f t="shared" si="7"/>
        <v>96203.118712273645</v>
      </c>
      <c r="I168" s="58">
        <f t="shared" si="8"/>
        <v>990642.99951159093</v>
      </c>
    </row>
    <row r="169" spans="1:9" x14ac:dyDescent="0.25">
      <c r="A169" s="50">
        <f>'A) Base RI'!A160</f>
        <v>5652</v>
      </c>
      <c r="B169" s="33" t="str">
        <f>'A) Base RI'!B160</f>
        <v>Villars-sous-Yens</v>
      </c>
      <c r="C169" s="32">
        <f>'D) Ecrêtage'!M158</f>
        <v>29800.949188596489</v>
      </c>
      <c r="D169" s="472">
        <f>'A) Base RI'!AN160</f>
        <v>608</v>
      </c>
      <c r="E169" s="10">
        <f t="shared" si="6"/>
        <v>565662.70952320204</v>
      </c>
      <c r="F169" s="472">
        <f>'F) Population'!K161</f>
        <v>60738.832997987927</v>
      </c>
      <c r="G169" s="10">
        <f>'G) Solidarité'!I158</f>
        <v>0</v>
      </c>
      <c r="H169" s="472">
        <f t="shared" si="7"/>
        <v>60738.832997987927</v>
      </c>
      <c r="I169" s="58">
        <f t="shared" si="8"/>
        <v>504923.87652521412</v>
      </c>
    </row>
    <row r="170" spans="1:9" x14ac:dyDescent="0.25">
      <c r="A170" s="50">
        <f>'A) Base RI'!A161</f>
        <v>5653</v>
      </c>
      <c r="B170" s="33" t="str">
        <f>'A) Base RI'!B161</f>
        <v>Vufflens-le-Château</v>
      </c>
      <c r="C170" s="32">
        <f>'D) Ecrêtage'!M159</f>
        <v>59637.912560059514</v>
      </c>
      <c r="D170" s="472">
        <f>'A) Base RI'!AN161</f>
        <v>886</v>
      </c>
      <c r="E170" s="10">
        <f t="shared" si="6"/>
        <v>1132009.0174154569</v>
      </c>
      <c r="F170" s="472">
        <f>'F) Population'!K162</f>
        <v>88510.865191146877</v>
      </c>
      <c r="G170" s="10">
        <f>'G) Solidarité'!I159</f>
        <v>0</v>
      </c>
      <c r="H170" s="472">
        <f t="shared" si="7"/>
        <v>88510.865191146877</v>
      </c>
      <c r="I170" s="58">
        <f t="shared" si="8"/>
        <v>1043498.1522243101</v>
      </c>
    </row>
    <row r="171" spans="1:9" x14ac:dyDescent="0.25">
      <c r="A171" s="50">
        <f>'A) Base RI'!A162</f>
        <v>5654</v>
      </c>
      <c r="B171" s="33" t="str">
        <f>'A) Base RI'!B162</f>
        <v>Vullierens</v>
      </c>
      <c r="C171" s="32">
        <f>'D) Ecrêtage'!M160</f>
        <v>19280.901315789473</v>
      </c>
      <c r="D171" s="472">
        <f>'A) Base RI'!AN162</f>
        <v>507</v>
      </c>
      <c r="E171" s="10">
        <f t="shared" si="6"/>
        <v>365977.83551513113</v>
      </c>
      <c r="F171" s="472">
        <f>'F) Population'!K163</f>
        <v>50648.993963782697</v>
      </c>
      <c r="G171" s="10">
        <f>'G) Solidarité'!I160</f>
        <v>81778.106785751428</v>
      </c>
      <c r="H171" s="472">
        <f t="shared" si="7"/>
        <v>132427.10074953412</v>
      </c>
      <c r="I171" s="58">
        <f t="shared" si="8"/>
        <v>233550.73476559701</v>
      </c>
    </row>
    <row r="172" spans="1:9" x14ac:dyDescent="0.25">
      <c r="A172" s="50">
        <f>'A) Base RI'!A163</f>
        <v>5655</v>
      </c>
      <c r="B172" s="33" t="str">
        <f>'A) Base RI'!B163</f>
        <v>Yens</v>
      </c>
      <c r="C172" s="32">
        <f>'D) Ecrêtage'!M161</f>
        <v>85859.778494703729</v>
      </c>
      <c r="D172" s="472">
        <f>'A) Base RI'!AN163</f>
        <v>1429</v>
      </c>
      <c r="E172" s="10">
        <f t="shared" si="6"/>
        <v>1629735.8394530863</v>
      </c>
      <c r="F172" s="472">
        <f>'F) Population'!K164</f>
        <v>249898.34004024143</v>
      </c>
      <c r="G172" s="10">
        <f>'G) Solidarité'!I161</f>
        <v>0</v>
      </c>
      <c r="H172" s="472">
        <f t="shared" si="7"/>
        <v>249898.34004024143</v>
      </c>
      <c r="I172" s="58">
        <f t="shared" si="8"/>
        <v>1379837.4994128449</v>
      </c>
    </row>
    <row r="173" spans="1:9" x14ac:dyDescent="0.25">
      <c r="A173" s="50">
        <f>'A) Base RI'!A164</f>
        <v>5661</v>
      </c>
      <c r="B173" s="33" t="str">
        <f>'A) Base RI'!B164</f>
        <v>Boulens</v>
      </c>
      <c r="C173" s="32">
        <f>'D) Ecrêtage'!M162</f>
        <v>10339.57164556962</v>
      </c>
      <c r="D173" s="472">
        <f>'A) Base RI'!AN164</f>
        <v>384</v>
      </c>
      <c r="E173" s="10">
        <f t="shared" si="6"/>
        <v>196259.18877041098</v>
      </c>
      <c r="F173" s="472">
        <f>'F) Population'!K165</f>
        <v>38361.368209255532</v>
      </c>
      <c r="G173" s="10">
        <f>'G) Solidarité'!I162</f>
        <v>172569.71210358062</v>
      </c>
      <c r="H173" s="472">
        <f t="shared" si="7"/>
        <v>210931.08031283616</v>
      </c>
      <c r="I173" s="58">
        <f t="shared" si="8"/>
        <v>-14671.891542425175</v>
      </c>
    </row>
    <row r="174" spans="1:9" x14ac:dyDescent="0.25">
      <c r="A174" s="50">
        <f>'A) Base RI'!A165</f>
        <v>5663</v>
      </c>
      <c r="B174" s="33" t="str">
        <f>'A) Base RI'!B165</f>
        <v>Bussy-sur-Moudon</v>
      </c>
      <c r="C174" s="32">
        <f>'D) Ecrêtage'!M163</f>
        <v>5294.5642500000013</v>
      </c>
      <c r="D174" s="472">
        <f>'A) Base RI'!AN165</f>
        <v>214</v>
      </c>
      <c r="E174" s="10">
        <f t="shared" si="6"/>
        <v>100498.05932173837</v>
      </c>
      <c r="F174" s="472">
        <f>'F) Population'!K166</f>
        <v>21378.470824949698</v>
      </c>
      <c r="G174" s="10">
        <f>'G) Solidarité'!I163</f>
        <v>110502.82476804862</v>
      </c>
      <c r="H174" s="472">
        <f t="shared" si="7"/>
        <v>131881.29559299833</v>
      </c>
      <c r="I174" s="58">
        <f t="shared" si="8"/>
        <v>-31383.236271259957</v>
      </c>
    </row>
    <row r="175" spans="1:9" x14ac:dyDescent="0.25">
      <c r="A175" s="50">
        <f>'A) Base RI'!A166</f>
        <v>5665</v>
      </c>
      <c r="B175" s="33" t="str">
        <f>'A) Base RI'!B166</f>
        <v>Chavannes-sur-Moudon</v>
      </c>
      <c r="C175" s="32">
        <f>'D) Ecrêtage'!M164</f>
        <v>4618.4299999999994</v>
      </c>
      <c r="D175" s="472">
        <f>'A) Base RI'!AN166</f>
        <v>216</v>
      </c>
      <c r="E175" s="10">
        <f t="shared" si="6"/>
        <v>87664.107978913657</v>
      </c>
      <c r="F175" s="472">
        <f>'F) Population'!K167</f>
        <v>21578.269617706235</v>
      </c>
      <c r="G175" s="10">
        <f>'G) Solidarité'!I164</f>
        <v>108222.56449798119</v>
      </c>
      <c r="H175" s="472">
        <f t="shared" si="7"/>
        <v>129800.83411568742</v>
      </c>
      <c r="I175" s="58">
        <f t="shared" si="8"/>
        <v>-42136.726136773766</v>
      </c>
    </row>
    <row r="176" spans="1:9" x14ac:dyDescent="0.25">
      <c r="A176" s="50">
        <f>'A) Base RI'!A167</f>
        <v>5669</v>
      </c>
      <c r="B176" s="33" t="str">
        <f>'A) Base RI'!B167</f>
        <v>Curtilles</v>
      </c>
      <c r="C176" s="32">
        <f>'D) Ecrêtage'!M165</f>
        <v>7795.8649333333315</v>
      </c>
      <c r="D176" s="472">
        <f>'A) Base RI'!AN167</f>
        <v>313</v>
      </c>
      <c r="E176" s="10">
        <f t="shared" si="6"/>
        <v>147976.16187855176</v>
      </c>
      <c r="F176" s="472">
        <f>'F) Population'!K168</f>
        <v>31268.511066398391</v>
      </c>
      <c r="G176" s="10">
        <f>'G) Solidarité'!I165</f>
        <v>140891.6549243051</v>
      </c>
      <c r="H176" s="472">
        <f t="shared" si="7"/>
        <v>172160.16599070348</v>
      </c>
      <c r="I176" s="58">
        <f t="shared" si="8"/>
        <v>-24184.004112151713</v>
      </c>
    </row>
    <row r="177" spans="1:9" x14ac:dyDescent="0.25">
      <c r="A177" s="50">
        <f>'A) Base RI'!A168</f>
        <v>5671</v>
      </c>
      <c r="B177" s="33" t="str">
        <f>'A) Base RI'!B168</f>
        <v>Dompierre</v>
      </c>
      <c r="C177" s="32">
        <f>'D) Ecrêtage'!M166</f>
        <v>6158.8938749999998</v>
      </c>
      <c r="D177" s="472">
        <f>'A) Base RI'!AN168</f>
        <v>239</v>
      </c>
      <c r="E177" s="10">
        <f t="shared" si="6"/>
        <v>116904.21586744196</v>
      </c>
      <c r="F177" s="472">
        <f>'F) Population'!K169</f>
        <v>23875.955734406438</v>
      </c>
      <c r="G177" s="10">
        <f>'G) Solidarité'!I166</f>
        <v>117166.37569133556</v>
      </c>
      <c r="H177" s="472">
        <f t="shared" si="7"/>
        <v>141042.33142574201</v>
      </c>
      <c r="I177" s="58">
        <f t="shared" si="8"/>
        <v>-24138.115558300051</v>
      </c>
    </row>
    <row r="178" spans="1:9" x14ac:dyDescent="0.25">
      <c r="A178" s="50">
        <f>'A) Base RI'!A169</f>
        <v>5673</v>
      </c>
      <c r="B178" s="33" t="str">
        <f>'A) Base RI'!B169</f>
        <v>Hermenches</v>
      </c>
      <c r="C178" s="32">
        <f>'D) Ecrêtage'!M167</f>
        <v>9293.9345333333331</v>
      </c>
      <c r="D178" s="472">
        <f>'A) Base RI'!AN169</f>
        <v>364</v>
      </c>
      <c r="E178" s="10">
        <f t="shared" si="6"/>
        <v>176411.56853716262</v>
      </c>
      <c r="F178" s="472">
        <f>'F) Population'!K170</f>
        <v>36363.380281690137</v>
      </c>
      <c r="G178" s="10">
        <f>'G) Solidarité'!I167</f>
        <v>158760.82411951458</v>
      </c>
      <c r="H178" s="472">
        <f t="shared" si="7"/>
        <v>195124.20440120471</v>
      </c>
      <c r="I178" s="58">
        <f t="shared" si="8"/>
        <v>-18712.635864042095</v>
      </c>
    </row>
    <row r="179" spans="1:9" x14ac:dyDescent="0.25">
      <c r="A179" s="50">
        <f>'A) Base RI'!A170</f>
        <v>5674</v>
      </c>
      <c r="B179" s="33" t="str">
        <f>'A) Base RI'!B170</f>
        <v>Lovatens</v>
      </c>
      <c r="C179" s="32">
        <f>'D) Ecrêtage'!M168</f>
        <v>3277.031161904762</v>
      </c>
      <c r="D179" s="472">
        <f>'A) Base RI'!AN170</f>
        <v>146</v>
      </c>
      <c r="E179" s="10">
        <f t="shared" si="6"/>
        <v>62202.526319005374</v>
      </c>
      <c r="F179" s="472">
        <f>'F) Population'!K171</f>
        <v>14585.311871227364</v>
      </c>
      <c r="G179" s="10">
        <f>'G) Solidarité'!I168</f>
        <v>73745.093994440307</v>
      </c>
      <c r="H179" s="472">
        <f t="shared" si="7"/>
        <v>88330.405865667679</v>
      </c>
      <c r="I179" s="58">
        <f t="shared" si="8"/>
        <v>-26127.879546662305</v>
      </c>
    </row>
    <row r="180" spans="1:9" x14ac:dyDescent="0.25">
      <c r="A180" s="50">
        <f>'A) Base RI'!A171</f>
        <v>5675</v>
      </c>
      <c r="B180" s="33" t="str">
        <f>'A) Base RI'!B171</f>
        <v>Lucens</v>
      </c>
      <c r="C180" s="32">
        <f>'D) Ecrêtage'!M169</f>
        <v>92142.722793148874</v>
      </c>
      <c r="D180" s="472">
        <f>'A) Base RI'!AN171</f>
        <v>4199</v>
      </c>
      <c r="E180" s="10">
        <f t="shared" si="6"/>
        <v>1748994.7017513986</v>
      </c>
      <c r="F180" s="472">
        <f>'F) Population'!K172</f>
        <v>1398092.0523138831</v>
      </c>
      <c r="G180" s="10">
        <f>'G) Solidarité'!I169</f>
        <v>1834953.9665252375</v>
      </c>
      <c r="H180" s="472">
        <f t="shared" si="7"/>
        <v>3233046.0188391209</v>
      </c>
      <c r="I180" s="58">
        <f t="shared" si="8"/>
        <v>-1484051.3170877222</v>
      </c>
    </row>
    <row r="181" spans="1:9" x14ac:dyDescent="0.25">
      <c r="A181" s="50">
        <f>'A) Base RI'!A172</f>
        <v>5678</v>
      </c>
      <c r="B181" s="33" t="str">
        <f>'A) Base RI'!B172</f>
        <v>Moudon</v>
      </c>
      <c r="C181" s="32">
        <f>'D) Ecrêtage'!M170</f>
        <v>119798.79359999999</v>
      </c>
      <c r="D181" s="472">
        <f>'A) Base RI'!AN172</f>
        <v>6135</v>
      </c>
      <c r="E181" s="10">
        <f t="shared" si="6"/>
        <v>2273944.6907052808</v>
      </c>
      <c r="F181" s="472">
        <f>'F) Population'!K173</f>
        <v>2478504.0241448688</v>
      </c>
      <c r="G181" s="10">
        <f>'G) Solidarité'!I170</f>
        <v>3498639.0270650918</v>
      </c>
      <c r="H181" s="472">
        <f t="shared" si="7"/>
        <v>5977143.0512099601</v>
      </c>
      <c r="I181" s="58">
        <f t="shared" si="8"/>
        <v>-3703198.3605046794</v>
      </c>
    </row>
    <row r="182" spans="1:9" x14ac:dyDescent="0.25">
      <c r="A182" s="50">
        <f>'A) Base RI'!A173</f>
        <v>5680</v>
      </c>
      <c r="B182" s="33" t="str">
        <f>'A) Base RI'!B173</f>
        <v>Ogens</v>
      </c>
      <c r="C182" s="32">
        <f>'D) Ecrêtage'!M171</f>
        <v>6445.3270940170942</v>
      </c>
      <c r="D182" s="472">
        <f>'A) Base RI'!AN173</f>
        <v>299</v>
      </c>
      <c r="E182" s="10">
        <f t="shared" si="6"/>
        <v>122341.10949593961</v>
      </c>
      <c r="F182" s="472">
        <f>'F) Population'!K174</f>
        <v>29869.919517102615</v>
      </c>
      <c r="G182" s="10">
        <f>'G) Solidarité'!I171</f>
        <v>169771.13615537243</v>
      </c>
      <c r="H182" s="472">
        <f t="shared" si="7"/>
        <v>199641.05567247505</v>
      </c>
      <c r="I182" s="58">
        <f t="shared" si="8"/>
        <v>-77299.946176535435</v>
      </c>
    </row>
    <row r="183" spans="1:9" x14ac:dyDescent="0.25">
      <c r="A183" s="50">
        <f>'A) Base RI'!A174</f>
        <v>5683</v>
      </c>
      <c r="B183" s="33" t="str">
        <f>'A) Base RI'!B174</f>
        <v>Prévonloup</v>
      </c>
      <c r="C183" s="32">
        <f>'D) Ecrêtage'!M172</f>
        <v>3724.6422972972978</v>
      </c>
      <c r="D183" s="472">
        <f>'A) Base RI'!AN174</f>
        <v>184</v>
      </c>
      <c r="E183" s="10">
        <f t="shared" si="6"/>
        <v>70698.796892688508</v>
      </c>
      <c r="F183" s="472">
        <f>'F) Population'!K175</f>
        <v>18381.488933601609</v>
      </c>
      <c r="G183" s="10">
        <f>'G) Solidarité'!I172</f>
        <v>99288.918086466903</v>
      </c>
      <c r="H183" s="472">
        <f t="shared" si="7"/>
        <v>117670.40702006851</v>
      </c>
      <c r="I183" s="58">
        <f t="shared" si="8"/>
        <v>-46971.610127380001</v>
      </c>
    </row>
    <row r="184" spans="1:9" x14ac:dyDescent="0.25">
      <c r="A184" s="50">
        <f>'A) Base RI'!A175</f>
        <v>5684</v>
      </c>
      <c r="B184" s="33" t="str">
        <f>'A) Base RI'!B175</f>
        <v>Rossenges</v>
      </c>
      <c r="C184" s="32">
        <f>'D) Ecrêtage'!M173</f>
        <v>1951.4436666666666</v>
      </c>
      <c r="D184" s="472">
        <f>'A) Base RI'!AN175</f>
        <v>65</v>
      </c>
      <c r="E184" s="10">
        <f t="shared" si="6"/>
        <v>37041.06553730031</v>
      </c>
      <c r="F184" s="472">
        <f>'F) Population'!K176</f>
        <v>6493.4607645875249</v>
      </c>
      <c r="G184" s="10">
        <f>'G) Solidarité'!I173</f>
        <v>21833.37479310617</v>
      </c>
      <c r="H184" s="472">
        <f t="shared" si="7"/>
        <v>28326.835557693696</v>
      </c>
      <c r="I184" s="58">
        <f t="shared" si="8"/>
        <v>8714.2299796066145</v>
      </c>
    </row>
    <row r="185" spans="1:9" x14ac:dyDescent="0.25">
      <c r="A185" s="50">
        <f>'A) Base RI'!A176</f>
        <v>5688</v>
      </c>
      <c r="B185" s="33" t="str">
        <f>'A) Base RI'!B176</f>
        <v>Syens</v>
      </c>
      <c r="C185" s="32">
        <f>'D) Ecrêtage'!M174</f>
        <v>3966.9414021164025</v>
      </c>
      <c r="D185" s="472">
        <f>'A) Base RI'!AN176</f>
        <v>159</v>
      </c>
      <c r="E185" s="10">
        <f t="shared" si="6"/>
        <v>75297.964767497935</v>
      </c>
      <c r="F185" s="472">
        <f>'F) Population'!K177</f>
        <v>15884.004024144868</v>
      </c>
      <c r="G185" s="10">
        <f>'G) Solidarité'!I174</f>
        <v>72567.906027840683</v>
      </c>
      <c r="H185" s="472">
        <f t="shared" si="7"/>
        <v>88451.910051985556</v>
      </c>
      <c r="I185" s="58">
        <f t="shared" si="8"/>
        <v>-13153.945284487621</v>
      </c>
    </row>
    <row r="186" spans="1:9" x14ac:dyDescent="0.25">
      <c r="A186" s="50">
        <f>'A) Base RI'!A177</f>
        <v>5690</v>
      </c>
      <c r="B186" s="33" t="str">
        <f>'A) Base RI'!B177</f>
        <v>Villars-le-Comte</v>
      </c>
      <c r="C186" s="32">
        <f>'D) Ecrêtage'!M175</f>
        <v>4059.4070238095242</v>
      </c>
      <c r="D186" s="472">
        <f>'A) Base RI'!AN177</f>
        <v>132</v>
      </c>
      <c r="E186" s="10">
        <f t="shared" si="6"/>
        <v>77053.088531297151</v>
      </c>
      <c r="F186" s="472">
        <f>'F) Population'!K178</f>
        <v>13186.720321931589</v>
      </c>
      <c r="G186" s="10">
        <f>'G) Solidarité'!I175</f>
        <v>36746.998883216496</v>
      </c>
      <c r="H186" s="472">
        <f t="shared" si="7"/>
        <v>49933.719205148082</v>
      </c>
      <c r="I186" s="58">
        <f t="shared" si="8"/>
        <v>27119.36932614907</v>
      </c>
    </row>
    <row r="187" spans="1:9" x14ac:dyDescent="0.25">
      <c r="A187" s="50">
        <f>'A) Base RI'!A178</f>
        <v>5692</v>
      </c>
      <c r="B187" s="33" t="str">
        <f>'A) Base RI'!B178</f>
        <v>Vucherens</v>
      </c>
      <c r="C187" s="32">
        <f>'D) Ecrêtage'!M176</f>
        <v>16205.612531645571</v>
      </c>
      <c r="D187" s="472">
        <f>'A) Base RI'!AN178</f>
        <v>577</v>
      </c>
      <c r="E187" s="10">
        <f t="shared" si="6"/>
        <v>307604.65501016879</v>
      </c>
      <c r="F187" s="472">
        <f>'F) Population'!K179</f>
        <v>57641.951710261565</v>
      </c>
      <c r="G187" s="10">
        <f>'G) Solidarité'!I176</f>
        <v>242719.55866981161</v>
      </c>
      <c r="H187" s="472">
        <f t="shared" si="7"/>
        <v>300361.51038007316</v>
      </c>
      <c r="I187" s="58">
        <f t="shared" si="8"/>
        <v>7243.1446300956304</v>
      </c>
    </row>
    <row r="188" spans="1:9" x14ac:dyDescent="0.25">
      <c r="A188" s="50">
        <f>'A) Base RI'!A179</f>
        <v>5693</v>
      </c>
      <c r="B188" s="33" t="str">
        <f>'A) Base RI'!B179</f>
        <v>Montanaire</v>
      </c>
      <c r="C188" s="32">
        <f>'D) Ecrêtage'!M177</f>
        <v>69929.896527777775</v>
      </c>
      <c r="D188" s="472">
        <f>'A) Base RI'!AN179</f>
        <v>2685</v>
      </c>
      <c r="E188" s="10">
        <f t="shared" si="6"/>
        <v>1327364.9270781132</v>
      </c>
      <c r="F188" s="472">
        <f>'F) Population'!K180</f>
        <v>689056.08651911467</v>
      </c>
      <c r="G188" s="10">
        <f>'G) Solidarité'!I177</f>
        <v>1050980.4831252345</v>
      </c>
      <c r="H188" s="472">
        <f t="shared" si="7"/>
        <v>1740036.5696443492</v>
      </c>
      <c r="I188" s="58">
        <f t="shared" si="8"/>
        <v>-412671.64256623597</v>
      </c>
    </row>
    <row r="189" spans="1:9" x14ac:dyDescent="0.25">
      <c r="A189" s="50">
        <f>'A) Base RI'!A180</f>
        <v>5701</v>
      </c>
      <c r="B189" s="33" t="str">
        <f>'A) Base RI'!B180</f>
        <v>Arnex-sur-Nyon</v>
      </c>
      <c r="C189" s="32">
        <f>'D) Ecrêtage'!M178</f>
        <v>13420.011118625067</v>
      </c>
      <c r="D189" s="472">
        <f>'A) Base RI'!AN180</f>
        <v>235</v>
      </c>
      <c r="E189" s="10">
        <f t="shared" si="6"/>
        <v>254730.13638430589</v>
      </c>
      <c r="F189" s="472">
        <f>'F) Population'!K181</f>
        <v>23476.35814889336</v>
      </c>
      <c r="G189" s="10">
        <f>'G) Solidarité'!I178</f>
        <v>0</v>
      </c>
      <c r="H189" s="472">
        <f t="shared" si="7"/>
        <v>23476.35814889336</v>
      </c>
      <c r="I189" s="58">
        <f t="shared" si="8"/>
        <v>231253.77823541252</v>
      </c>
    </row>
    <row r="190" spans="1:9" x14ac:dyDescent="0.25">
      <c r="A190" s="50">
        <f>'A) Base RI'!A181</f>
        <v>5702</v>
      </c>
      <c r="B190" s="33" t="str">
        <f>'A) Base RI'!B181</f>
        <v>Arzier-Le Muids</v>
      </c>
      <c r="C190" s="32">
        <f>'D) Ecrêtage'!M179</f>
        <v>171329.69511301353</v>
      </c>
      <c r="D190" s="472">
        <f>'A) Base RI'!AN181</f>
        <v>2697</v>
      </c>
      <c r="E190" s="10">
        <f t="shared" si="6"/>
        <v>3252071.5681263059</v>
      </c>
      <c r="F190" s="472">
        <f>'F) Population'!K182</f>
        <v>693251.861167002</v>
      </c>
      <c r="G190" s="10">
        <f>'G) Solidarité'!I179</f>
        <v>0</v>
      </c>
      <c r="H190" s="472">
        <f t="shared" si="7"/>
        <v>693251.861167002</v>
      </c>
      <c r="I190" s="58">
        <f t="shared" si="8"/>
        <v>2558819.7069593039</v>
      </c>
    </row>
    <row r="191" spans="1:9" x14ac:dyDescent="0.25">
      <c r="A191" s="50">
        <f>'A) Base RI'!A182</f>
        <v>5703</v>
      </c>
      <c r="B191" s="33" t="str">
        <f>'A) Base RI'!B182</f>
        <v>Bassins</v>
      </c>
      <c r="C191" s="32">
        <f>'D) Ecrêtage'!M180</f>
        <v>55245.232548262546</v>
      </c>
      <c r="D191" s="472">
        <f>'A) Base RI'!AN182</f>
        <v>1347</v>
      </c>
      <c r="E191" s="10">
        <f t="shared" si="6"/>
        <v>1048629.9524797569</v>
      </c>
      <c r="F191" s="472">
        <f>'F) Population'!K183</f>
        <v>221227.21327967805</v>
      </c>
      <c r="G191" s="10">
        <f>'G) Solidarité'!I180</f>
        <v>118594.69165492176</v>
      </c>
      <c r="H191" s="472">
        <f t="shared" si="7"/>
        <v>339821.90493459982</v>
      </c>
      <c r="I191" s="58">
        <f t="shared" si="8"/>
        <v>708808.04754515714</v>
      </c>
    </row>
    <row r="192" spans="1:9" x14ac:dyDescent="0.25">
      <c r="A192" s="50">
        <f>'A) Base RI'!A183</f>
        <v>5704</v>
      </c>
      <c r="B192" s="33" t="str">
        <f>'A) Base RI'!B183</f>
        <v>Begnins</v>
      </c>
      <c r="C192" s="32">
        <f>'D) Ecrêtage'!M181</f>
        <v>121073.1454283051</v>
      </c>
      <c r="D192" s="472">
        <f>'A) Base RI'!AN183</f>
        <v>1952</v>
      </c>
      <c r="E192" s="10">
        <f t="shared" si="6"/>
        <v>2298133.6285650441</v>
      </c>
      <c r="F192" s="472">
        <f>'F) Population'!K184</f>
        <v>432764.18511066394</v>
      </c>
      <c r="G192" s="10">
        <f>'G) Solidarité'!I181</f>
        <v>0</v>
      </c>
      <c r="H192" s="472">
        <f t="shared" si="7"/>
        <v>432764.18511066394</v>
      </c>
      <c r="I192" s="58">
        <f t="shared" si="8"/>
        <v>1865369.4434543801</v>
      </c>
    </row>
    <row r="193" spans="1:9" x14ac:dyDescent="0.25">
      <c r="A193" s="50">
        <f>'A) Base RI'!A184</f>
        <v>5705</v>
      </c>
      <c r="B193" s="33" t="str">
        <f>'A) Base RI'!B184</f>
        <v>Bogis-Bossey</v>
      </c>
      <c r="C193" s="32">
        <f>'D) Ecrêtage'!M182</f>
        <v>49175.830567814912</v>
      </c>
      <c r="D193" s="472">
        <f>'A) Base RI'!AN184</f>
        <v>867</v>
      </c>
      <c r="E193" s="10">
        <f t="shared" si="6"/>
        <v>933424.41497428564</v>
      </c>
      <c r="F193" s="472">
        <f>'F) Population'!K185</f>
        <v>86612.776659959753</v>
      </c>
      <c r="G193" s="10">
        <f>'G) Solidarité'!I182</f>
        <v>0</v>
      </c>
      <c r="H193" s="472">
        <f t="shared" si="7"/>
        <v>86612.776659959753</v>
      </c>
      <c r="I193" s="58">
        <f t="shared" si="8"/>
        <v>846811.63831432583</v>
      </c>
    </row>
    <row r="194" spans="1:9" x14ac:dyDescent="0.25">
      <c r="A194" s="50">
        <f>'A) Base RI'!A185</f>
        <v>5706</v>
      </c>
      <c r="B194" s="33" t="str">
        <f>'A) Base RI'!B185</f>
        <v>Borex</v>
      </c>
      <c r="C194" s="32">
        <f>'D) Ecrêtage'!M183</f>
        <v>69585.555817171087</v>
      </c>
      <c r="D194" s="472">
        <f>'A) Base RI'!AN185</f>
        <v>1140</v>
      </c>
      <c r="E194" s="10">
        <f t="shared" si="6"/>
        <v>1320828.8701851517</v>
      </c>
      <c r="F194" s="472">
        <f>'F) Population'!K186</f>
        <v>148850.10060362171</v>
      </c>
      <c r="G194" s="10">
        <f>'G) Solidarité'!I183</f>
        <v>0</v>
      </c>
      <c r="H194" s="472">
        <f t="shared" si="7"/>
        <v>148850.10060362171</v>
      </c>
      <c r="I194" s="58">
        <f t="shared" si="8"/>
        <v>1171978.76958153</v>
      </c>
    </row>
    <row r="195" spans="1:9" x14ac:dyDescent="0.25">
      <c r="A195" s="50">
        <f>'A) Base RI'!A186</f>
        <v>5707</v>
      </c>
      <c r="B195" s="33" t="str">
        <f>'A) Base RI'!B186</f>
        <v>Chavannes-de-Bogis</v>
      </c>
      <c r="C195" s="32">
        <f>'D) Ecrêtage'!M184</f>
        <v>76518.260728975889</v>
      </c>
      <c r="D195" s="472">
        <f>'A) Base RI'!AN186</f>
        <v>1281</v>
      </c>
      <c r="E195" s="10">
        <f t="shared" si="6"/>
        <v>1452421.0761890104</v>
      </c>
      <c r="F195" s="472">
        <f>'F) Population'!K187</f>
        <v>198150.45271629776</v>
      </c>
      <c r="G195" s="10">
        <f>'G) Solidarité'!I184</f>
        <v>0</v>
      </c>
      <c r="H195" s="472">
        <f t="shared" si="7"/>
        <v>198150.45271629776</v>
      </c>
      <c r="I195" s="58">
        <f t="shared" si="8"/>
        <v>1254270.6234727127</v>
      </c>
    </row>
    <row r="196" spans="1:9" x14ac:dyDescent="0.25">
      <c r="A196" s="50">
        <f>'A) Base RI'!A187</f>
        <v>5708</v>
      </c>
      <c r="B196" s="33" t="str">
        <f>'A) Base RI'!B187</f>
        <v>Chavannes-des-Bois</v>
      </c>
      <c r="C196" s="32">
        <f>'D) Ecrêtage'!M185</f>
        <v>56406.479638173878</v>
      </c>
      <c r="D196" s="472">
        <f>'A) Base RI'!AN187</f>
        <v>964</v>
      </c>
      <c r="E196" s="10">
        <f t="shared" si="6"/>
        <v>1070672.0079575246</v>
      </c>
      <c r="F196" s="472">
        <f>'F) Population'!K188</f>
        <v>96303.018108651915</v>
      </c>
      <c r="G196" s="10">
        <f>'G) Solidarité'!I185</f>
        <v>0</v>
      </c>
      <c r="H196" s="472">
        <f t="shared" si="7"/>
        <v>96303.018108651915</v>
      </c>
      <c r="I196" s="58">
        <f t="shared" si="8"/>
        <v>974368.98984887265</v>
      </c>
    </row>
    <row r="197" spans="1:9" x14ac:dyDescent="0.25">
      <c r="A197" s="50">
        <f>'A) Base RI'!A188</f>
        <v>5709</v>
      </c>
      <c r="B197" s="33" t="str">
        <f>'A) Base RI'!B188</f>
        <v>Chéserex</v>
      </c>
      <c r="C197" s="32">
        <f>'D) Ecrêtage'!M186</f>
        <v>100234.2316147745</v>
      </c>
      <c r="D197" s="472">
        <f>'A) Base RI'!AN188</f>
        <v>1227</v>
      </c>
      <c r="E197" s="10">
        <f t="shared" si="6"/>
        <v>1902582.5883386852</v>
      </c>
      <c r="F197" s="472">
        <f>'F) Population'!K189</f>
        <v>179269.46680080483</v>
      </c>
      <c r="G197" s="10">
        <f>'G) Solidarité'!I186</f>
        <v>0</v>
      </c>
      <c r="H197" s="472">
        <f t="shared" si="7"/>
        <v>179269.46680080483</v>
      </c>
      <c r="I197" s="58">
        <f t="shared" si="8"/>
        <v>1723313.1215378805</v>
      </c>
    </row>
    <row r="198" spans="1:9" x14ac:dyDescent="0.25">
      <c r="A198" s="50">
        <f>'A) Base RI'!A189</f>
        <v>5710</v>
      </c>
      <c r="B198" s="33" t="str">
        <f>'A) Base RI'!B189</f>
        <v>Coinsins</v>
      </c>
      <c r="C198" s="32">
        <f>'D) Ecrêtage'!M187</f>
        <v>95888.763306448789</v>
      </c>
      <c r="D198" s="472">
        <f>'A) Base RI'!AN189</f>
        <v>499</v>
      </c>
      <c r="E198" s="10">
        <f t="shared" si="6"/>
        <v>1820099.6660036033</v>
      </c>
      <c r="F198" s="472">
        <f>'F) Population'!K190</f>
        <v>49849.798792756541</v>
      </c>
      <c r="G198" s="10">
        <f>'G) Solidarité'!I187</f>
        <v>0</v>
      </c>
      <c r="H198" s="472">
        <f t="shared" si="7"/>
        <v>49849.798792756541</v>
      </c>
      <c r="I198" s="58">
        <f t="shared" si="8"/>
        <v>1770249.8672108466</v>
      </c>
    </row>
    <row r="199" spans="1:9" x14ac:dyDescent="0.25">
      <c r="A199" s="50">
        <f>'A) Base RI'!A190</f>
        <v>5711</v>
      </c>
      <c r="B199" s="33" t="str">
        <f>'A) Base RI'!B190</f>
        <v>Commugny</v>
      </c>
      <c r="C199" s="32">
        <f>'D) Ecrêtage'!M188</f>
        <v>252295.00727124591</v>
      </c>
      <c r="D199" s="472">
        <f>'A) Base RI'!AN190</f>
        <v>2877</v>
      </c>
      <c r="E199" s="10">
        <f t="shared" si="6"/>
        <v>4788903.7529998962</v>
      </c>
      <c r="F199" s="472">
        <f>'F) Population'!K191</f>
        <v>756188.48088531184</v>
      </c>
      <c r="G199" s="10">
        <f>'G) Solidarité'!I188</f>
        <v>0</v>
      </c>
      <c r="H199" s="472">
        <f t="shared" si="7"/>
        <v>756188.48088531184</v>
      </c>
      <c r="I199" s="58">
        <f t="shared" si="8"/>
        <v>4032715.2721145842</v>
      </c>
    </row>
    <row r="200" spans="1:9" x14ac:dyDescent="0.25">
      <c r="A200" s="50">
        <f>'A) Base RI'!A191</f>
        <v>5712</v>
      </c>
      <c r="B200" s="33" t="str">
        <f>'A) Base RI'!B191</f>
        <v>Coppet</v>
      </c>
      <c r="C200" s="32">
        <f>'D) Ecrêtage'!M189</f>
        <v>301281.02540606516</v>
      </c>
      <c r="D200" s="472">
        <f>'A) Base RI'!AN191</f>
        <v>3126</v>
      </c>
      <c r="E200" s="10">
        <f t="shared" si="6"/>
        <v>5718725.2688024128</v>
      </c>
      <c r="F200" s="472">
        <f>'F) Population'!K192</f>
        <v>862131.79074446671</v>
      </c>
      <c r="G200" s="10">
        <f>'G) Solidarité'!I189</f>
        <v>0</v>
      </c>
      <c r="H200" s="472">
        <f t="shared" si="7"/>
        <v>862131.79074446671</v>
      </c>
      <c r="I200" s="58">
        <f t="shared" si="8"/>
        <v>4856593.4780579461</v>
      </c>
    </row>
    <row r="201" spans="1:9" x14ac:dyDescent="0.25">
      <c r="A201" s="50">
        <f>'A) Base RI'!A192</f>
        <v>5713</v>
      </c>
      <c r="B201" s="33" t="str">
        <f>'A) Base RI'!B192</f>
        <v>Crans-près-Céligny</v>
      </c>
      <c r="C201" s="32">
        <f>'D) Ecrêtage'!M190</f>
        <v>236338.83782444469</v>
      </c>
      <c r="D201" s="472">
        <f>'A) Base RI'!AN192</f>
        <v>2193</v>
      </c>
      <c r="E201" s="10">
        <f t="shared" si="6"/>
        <v>4486033.8683606954</v>
      </c>
      <c r="F201" s="472">
        <f>'F) Population'!K193</f>
        <v>517029.32595573436</v>
      </c>
      <c r="G201" s="10">
        <f>'G) Solidarité'!I190</f>
        <v>0</v>
      </c>
      <c r="H201" s="472">
        <f t="shared" si="7"/>
        <v>517029.32595573436</v>
      </c>
      <c r="I201" s="58">
        <f t="shared" si="8"/>
        <v>3969004.5424049608</v>
      </c>
    </row>
    <row r="202" spans="1:9" x14ac:dyDescent="0.25">
      <c r="A202" s="50">
        <f>'A) Base RI'!A193</f>
        <v>5714</v>
      </c>
      <c r="B202" s="33" t="str">
        <f>'A) Base RI'!B193</f>
        <v>Crassier</v>
      </c>
      <c r="C202" s="32">
        <f>'D) Ecrêtage'!M191</f>
        <v>74882.292060089618</v>
      </c>
      <c r="D202" s="472">
        <f>'A) Base RI'!AN193</f>
        <v>1175</v>
      </c>
      <c r="E202" s="10">
        <f t="shared" si="6"/>
        <v>1421368.1568983931</v>
      </c>
      <c r="F202" s="472">
        <f>'F) Population'!K194</f>
        <v>161087.77665995975</v>
      </c>
      <c r="G202" s="10">
        <f>'G) Solidarité'!I191</f>
        <v>0</v>
      </c>
      <c r="H202" s="472">
        <f t="shared" si="7"/>
        <v>161087.77665995975</v>
      </c>
      <c r="I202" s="58">
        <f t="shared" si="8"/>
        <v>1260280.3802384334</v>
      </c>
    </row>
    <row r="203" spans="1:9" x14ac:dyDescent="0.25">
      <c r="A203" s="50">
        <f>'A) Base RI'!A194</f>
        <v>5715</v>
      </c>
      <c r="B203" s="33" t="str">
        <f>'A) Base RI'!B194</f>
        <v>Duillier</v>
      </c>
      <c r="C203" s="32">
        <f>'D) Ecrêtage'!M192</f>
        <v>74237.315453120289</v>
      </c>
      <c r="D203" s="472">
        <f>'A) Base RI'!AN194</f>
        <v>1085</v>
      </c>
      <c r="E203" s="10">
        <f t="shared" si="6"/>
        <v>1409125.6201668128</v>
      </c>
      <c r="F203" s="472">
        <f>'F) Population'!K195</f>
        <v>129619.46680080482</v>
      </c>
      <c r="G203" s="10">
        <f>'G) Solidarité'!I192</f>
        <v>0</v>
      </c>
      <c r="H203" s="472">
        <f t="shared" si="7"/>
        <v>129619.46680080482</v>
      </c>
      <c r="I203" s="58">
        <f t="shared" si="8"/>
        <v>1279506.1533660081</v>
      </c>
    </row>
    <row r="204" spans="1:9" x14ac:dyDescent="0.25">
      <c r="A204" s="50">
        <f>'A) Base RI'!A195</f>
        <v>5716</v>
      </c>
      <c r="B204" s="33" t="str">
        <f>'A) Base RI'!B195</f>
        <v>Eysins</v>
      </c>
      <c r="C204" s="32">
        <f>'D) Ecrêtage'!M193</f>
        <v>155930.77890890944</v>
      </c>
      <c r="D204" s="472">
        <f>'A) Base RI'!AN195</f>
        <v>1618</v>
      </c>
      <c r="E204" s="10">
        <f t="shared" si="6"/>
        <v>2959779.1109764036</v>
      </c>
      <c r="F204" s="472">
        <f>'F) Population'!K196</f>
        <v>315981.79074446677</v>
      </c>
      <c r="G204" s="10">
        <f>'G) Solidarité'!I193</f>
        <v>0</v>
      </c>
      <c r="H204" s="472">
        <f t="shared" si="7"/>
        <v>315981.79074446677</v>
      </c>
      <c r="I204" s="58">
        <f t="shared" si="8"/>
        <v>2643797.3202319369</v>
      </c>
    </row>
    <row r="205" spans="1:9" x14ac:dyDescent="0.25">
      <c r="A205" s="50">
        <f>'A) Base RI'!A196</f>
        <v>5717</v>
      </c>
      <c r="B205" s="33" t="str">
        <f>'A) Base RI'!B196</f>
        <v>Founex</v>
      </c>
      <c r="C205" s="32">
        <f>'D) Ecrêtage'!M194</f>
        <v>339272.20498613658</v>
      </c>
      <c r="D205" s="472">
        <f>'A) Base RI'!AN196</f>
        <v>3790</v>
      </c>
      <c r="E205" s="10">
        <f t="shared" si="6"/>
        <v>6439849.7351153549</v>
      </c>
      <c r="F205" s="472">
        <f>'F) Population'!K197</f>
        <v>1193797.7867203217</v>
      </c>
      <c r="G205" s="10">
        <f>'G) Solidarité'!I194</f>
        <v>0</v>
      </c>
      <c r="H205" s="472">
        <f t="shared" si="7"/>
        <v>1193797.7867203217</v>
      </c>
      <c r="I205" s="58">
        <f t="shared" si="8"/>
        <v>5246051.9483950334</v>
      </c>
    </row>
    <row r="206" spans="1:9" x14ac:dyDescent="0.25">
      <c r="A206" s="50">
        <f>'A) Base RI'!A197</f>
        <v>5718</v>
      </c>
      <c r="B206" s="33" t="str">
        <f>'A) Base RI'!B197</f>
        <v>Genolier</v>
      </c>
      <c r="C206" s="32">
        <f>'D) Ecrêtage'!M195</f>
        <v>157719.14560453352</v>
      </c>
      <c r="D206" s="472">
        <f>'A) Base RI'!AN197</f>
        <v>1961</v>
      </c>
      <c r="E206" s="10">
        <f t="shared" si="6"/>
        <v>2993724.7529177302</v>
      </c>
      <c r="F206" s="472">
        <f>'F) Population'!K198</f>
        <v>435911.01609657943</v>
      </c>
      <c r="G206" s="10">
        <f>'G) Solidarité'!I195</f>
        <v>0</v>
      </c>
      <c r="H206" s="472">
        <f t="shared" si="7"/>
        <v>435911.01609657943</v>
      </c>
      <c r="I206" s="58">
        <f t="shared" si="8"/>
        <v>2557813.7368211509</v>
      </c>
    </row>
    <row r="207" spans="1:9" x14ac:dyDescent="0.25">
      <c r="A207" s="50">
        <f>'A) Base RI'!A198</f>
        <v>5719</v>
      </c>
      <c r="B207" s="33" t="str">
        <f>'A) Base RI'!B198</f>
        <v>Gingins</v>
      </c>
      <c r="C207" s="32">
        <f>'D) Ecrêtage'!M196</f>
        <v>102221.19778455902</v>
      </c>
      <c r="D207" s="472">
        <f>'A) Base RI'!AN198</f>
        <v>1226</v>
      </c>
      <c r="E207" s="10">
        <f t="shared" si="6"/>
        <v>1940297.9194920075</v>
      </c>
      <c r="F207" s="472">
        <f>'F) Population'!K199</f>
        <v>178919.81891348085</v>
      </c>
      <c r="G207" s="10">
        <f>'G) Solidarité'!I196</f>
        <v>0</v>
      </c>
      <c r="H207" s="472">
        <f t="shared" si="7"/>
        <v>178919.81891348085</v>
      </c>
      <c r="I207" s="58">
        <f t="shared" si="8"/>
        <v>1761378.1005785265</v>
      </c>
    </row>
    <row r="208" spans="1:9" x14ac:dyDescent="0.25">
      <c r="A208" s="50">
        <f>'A) Base RI'!A199</f>
        <v>5720</v>
      </c>
      <c r="B208" s="33" t="str">
        <f>'A) Base RI'!B199</f>
        <v>Givrins</v>
      </c>
      <c r="C208" s="32">
        <f>'D) Ecrêtage'!M197</f>
        <v>65277.239509463201</v>
      </c>
      <c r="D208" s="472">
        <f>'A) Base RI'!AN199</f>
        <v>1033</v>
      </c>
      <c r="E208" s="10">
        <f t="shared" si="6"/>
        <v>1239051.1435537599</v>
      </c>
      <c r="F208" s="472">
        <f>'F) Population'!K200</f>
        <v>111437.77665995975</v>
      </c>
      <c r="G208" s="10">
        <f>'G) Solidarité'!I197</f>
        <v>0</v>
      </c>
      <c r="H208" s="472">
        <f t="shared" si="7"/>
        <v>111437.77665995975</v>
      </c>
      <c r="I208" s="58">
        <f t="shared" si="8"/>
        <v>1127613.3668938002</v>
      </c>
    </row>
    <row r="209" spans="1:9" x14ac:dyDescent="0.25">
      <c r="A209" s="50">
        <f>'A) Base RI'!A200</f>
        <v>5721</v>
      </c>
      <c r="B209" s="33" t="str">
        <f>'A) Base RI'!B200</f>
        <v>Gland</v>
      </c>
      <c r="C209" s="32">
        <f>'D) Ecrêtage'!M198</f>
        <v>654524.19695999997</v>
      </c>
      <c r="D209" s="472">
        <f>'A) Base RI'!AN200</f>
        <v>13101</v>
      </c>
      <c r="E209" s="10">
        <f t="shared" ref="E209:E272" si="9">C209*E$15</f>
        <v>12423763.027070496</v>
      </c>
      <c r="F209" s="472">
        <f>'F) Population'!K201</f>
        <v>7843101.609657946</v>
      </c>
      <c r="G209" s="10">
        <f>'G) Solidarité'!I198</f>
        <v>0</v>
      </c>
      <c r="H209" s="472">
        <f t="shared" ref="H209:H272" si="10">F209+G209</f>
        <v>7843101.609657946</v>
      </c>
      <c r="I209" s="58">
        <f t="shared" ref="I209:I272" si="11">E209-H209</f>
        <v>4580661.4174125502</v>
      </c>
    </row>
    <row r="210" spans="1:9" x14ac:dyDescent="0.25">
      <c r="A210" s="50">
        <f>'A) Base RI'!A201</f>
        <v>5722</v>
      </c>
      <c r="B210" s="33" t="str">
        <f>'A) Base RI'!B201</f>
        <v>Grens</v>
      </c>
      <c r="C210" s="32">
        <f>'D) Ecrêtage'!M199</f>
        <v>22104.870799281129</v>
      </c>
      <c r="D210" s="472">
        <f>'A) Base RI'!AN201</f>
        <v>391</v>
      </c>
      <c r="E210" s="10">
        <f t="shared" si="9"/>
        <v>419580.63251107337</v>
      </c>
      <c r="F210" s="472">
        <f>'F) Population'!K202</f>
        <v>39060.663983903418</v>
      </c>
      <c r="G210" s="10">
        <f>'G) Solidarité'!I199</f>
        <v>0</v>
      </c>
      <c r="H210" s="472">
        <f t="shared" si="10"/>
        <v>39060.663983903418</v>
      </c>
      <c r="I210" s="58">
        <f t="shared" si="11"/>
        <v>380519.96852716996</v>
      </c>
    </row>
    <row r="211" spans="1:9" x14ac:dyDescent="0.25">
      <c r="A211" s="50">
        <f>'A) Base RI'!A202</f>
        <v>5723</v>
      </c>
      <c r="B211" s="33" t="str">
        <f>'A) Base RI'!B202</f>
        <v>Mies</v>
      </c>
      <c r="C211" s="32">
        <f>'D) Ecrêtage'!M200</f>
        <v>393953.94435869262</v>
      </c>
      <c r="D211" s="472">
        <f>'A) Base RI'!AN202</f>
        <v>2075</v>
      </c>
      <c r="E211" s="10">
        <f t="shared" si="9"/>
        <v>7477783.8176565142</v>
      </c>
      <c r="F211" s="472">
        <f>'F) Population'!K203</f>
        <v>475770.87525150896</v>
      </c>
      <c r="G211" s="10">
        <f>'G) Solidarité'!I200</f>
        <v>0</v>
      </c>
      <c r="H211" s="472">
        <f t="shared" si="10"/>
        <v>475770.87525150896</v>
      </c>
      <c r="I211" s="58">
        <f t="shared" si="11"/>
        <v>7002012.942405005</v>
      </c>
    </row>
    <row r="212" spans="1:9" x14ac:dyDescent="0.25">
      <c r="A212" s="50">
        <f>'A) Base RI'!A203</f>
        <v>5724</v>
      </c>
      <c r="B212" s="33" t="str">
        <f>'A) Base RI'!B203</f>
        <v>Nyon</v>
      </c>
      <c r="C212" s="32">
        <f>'D) Ecrêtage'!M201</f>
        <v>1309447.4659231247</v>
      </c>
      <c r="D212" s="472">
        <f>'A) Base RI'!AN203</f>
        <v>21239</v>
      </c>
      <c r="E212" s="10">
        <f t="shared" si="9"/>
        <v>24855100.985702865</v>
      </c>
      <c r="F212" s="472">
        <f>'F) Population'!K204</f>
        <v>16284550.653923538</v>
      </c>
      <c r="G212" s="10">
        <f>'G) Solidarité'!I201</f>
        <v>0</v>
      </c>
      <c r="H212" s="472">
        <f t="shared" si="10"/>
        <v>16284550.653923538</v>
      </c>
      <c r="I212" s="58">
        <f t="shared" si="11"/>
        <v>8570550.3317793272</v>
      </c>
    </row>
    <row r="213" spans="1:9" x14ac:dyDescent="0.25">
      <c r="A213" s="50">
        <f>'A) Base RI'!A204</f>
        <v>5725</v>
      </c>
      <c r="B213" s="33" t="str">
        <f>'A) Base RI'!B204</f>
        <v>Prangins</v>
      </c>
      <c r="C213" s="32">
        <f>'D) Ecrêtage'!M202</f>
        <v>304511.24195130728</v>
      </c>
      <c r="D213" s="472">
        <f>'A) Base RI'!AN204</f>
        <v>4040</v>
      </c>
      <c r="E213" s="10">
        <f t="shared" si="9"/>
        <v>5780039.1897706594</v>
      </c>
      <c r="F213" s="472">
        <f>'F) Population'!K205</f>
        <v>1318672.0321931588</v>
      </c>
      <c r="G213" s="10">
        <f>'G) Solidarité'!I202</f>
        <v>0</v>
      </c>
      <c r="H213" s="472">
        <f t="shared" si="10"/>
        <v>1318672.0321931588</v>
      </c>
      <c r="I213" s="58">
        <f t="shared" si="11"/>
        <v>4461367.1575775007</v>
      </c>
    </row>
    <row r="214" spans="1:9" x14ac:dyDescent="0.25">
      <c r="A214" s="50">
        <f>'A) Base RI'!A205</f>
        <v>5726</v>
      </c>
      <c r="B214" s="33" t="str">
        <f>'A) Base RI'!B205</f>
        <v>La Rippe</v>
      </c>
      <c r="C214" s="32">
        <f>'D) Ecrêtage'!M203</f>
        <v>59824.020307692314</v>
      </c>
      <c r="D214" s="472">
        <f>'A) Base RI'!AN205</f>
        <v>1161</v>
      </c>
      <c r="E214" s="10">
        <f t="shared" si="9"/>
        <v>1135541.5966002003</v>
      </c>
      <c r="F214" s="472">
        <f>'F) Population'!K206</f>
        <v>156192.70623742451</v>
      </c>
      <c r="G214" s="10">
        <f>'G) Solidarité'!I203</f>
        <v>0</v>
      </c>
      <c r="H214" s="472">
        <f t="shared" si="10"/>
        <v>156192.70623742451</v>
      </c>
      <c r="I214" s="58">
        <f t="shared" si="11"/>
        <v>979348.89036277577</v>
      </c>
    </row>
    <row r="215" spans="1:9" x14ac:dyDescent="0.25">
      <c r="A215" s="50">
        <f>'A) Base RI'!A206</f>
        <v>5727</v>
      </c>
      <c r="B215" s="33" t="str">
        <f>'A) Base RI'!B206</f>
        <v>Saint-Cergue</v>
      </c>
      <c r="C215" s="32">
        <f>'D) Ecrêtage'!M204</f>
        <v>84748.014494949501</v>
      </c>
      <c r="D215" s="472">
        <f>'A) Base RI'!AN206</f>
        <v>2583</v>
      </c>
      <c r="E215" s="10">
        <f t="shared" si="9"/>
        <v>1608633.0405968681</v>
      </c>
      <c r="F215" s="472">
        <f>'F) Population'!K207</f>
        <v>653392.00201207236</v>
      </c>
      <c r="G215" s="10">
        <f>'G) Solidarité'!I204</f>
        <v>547361.04084084928</v>
      </c>
      <c r="H215" s="472">
        <f t="shared" si="10"/>
        <v>1200753.0428529216</v>
      </c>
      <c r="I215" s="58">
        <f t="shared" si="11"/>
        <v>407879.9977439465</v>
      </c>
    </row>
    <row r="216" spans="1:9" x14ac:dyDescent="0.25">
      <c r="A216" s="50">
        <f>'A) Base RI'!A207</f>
        <v>5728</v>
      </c>
      <c r="B216" s="33" t="str">
        <f>'A) Base RI'!B207</f>
        <v>Signy-Avenex</v>
      </c>
      <c r="C216" s="32">
        <f>'D) Ecrêtage'!M205</f>
        <v>42390.339442962628</v>
      </c>
      <c r="D216" s="472">
        <f>'A) Base RI'!AN207</f>
        <v>592</v>
      </c>
      <c r="E216" s="10">
        <f t="shared" si="9"/>
        <v>804626.52767080558</v>
      </c>
      <c r="F216" s="472">
        <f>'F) Population'!K208</f>
        <v>59140.442655935614</v>
      </c>
      <c r="G216" s="10">
        <f>'G) Solidarité'!I205</f>
        <v>0</v>
      </c>
      <c r="H216" s="472">
        <f t="shared" si="10"/>
        <v>59140.442655935614</v>
      </c>
      <c r="I216" s="58">
        <f t="shared" si="11"/>
        <v>745486.08501486992</v>
      </c>
    </row>
    <row r="217" spans="1:9" x14ac:dyDescent="0.25">
      <c r="A217" s="50">
        <f>'A) Base RI'!A208</f>
        <v>5729</v>
      </c>
      <c r="B217" s="33" t="str">
        <f>'A) Base RI'!B208</f>
        <v>Tannay</v>
      </c>
      <c r="C217" s="32">
        <f>'D) Ecrêtage'!M206</f>
        <v>134523.0821423289</v>
      </c>
      <c r="D217" s="472">
        <f>'A) Base RI'!AN208</f>
        <v>1593</v>
      </c>
      <c r="E217" s="10">
        <f t="shared" si="9"/>
        <v>2553431.7936141491</v>
      </c>
      <c r="F217" s="472">
        <f>'F) Population'!K209</f>
        <v>307240.59356136818</v>
      </c>
      <c r="G217" s="10">
        <f>'G) Solidarité'!I206</f>
        <v>0</v>
      </c>
      <c r="H217" s="472">
        <f t="shared" si="10"/>
        <v>307240.59356136818</v>
      </c>
      <c r="I217" s="58">
        <f t="shared" si="11"/>
        <v>2246191.200052781</v>
      </c>
    </row>
    <row r="218" spans="1:9" x14ac:dyDescent="0.25">
      <c r="A218" s="50">
        <f>'A) Base RI'!A209</f>
        <v>5730</v>
      </c>
      <c r="B218" s="33" t="str">
        <f>'A) Base RI'!B209</f>
        <v>Trélex</v>
      </c>
      <c r="C218" s="32">
        <f>'D) Ecrêtage'!M207</f>
        <v>140688.57218471222</v>
      </c>
      <c r="D218" s="472">
        <f>'A) Base RI'!AN209</f>
        <v>1408</v>
      </c>
      <c r="E218" s="10">
        <f t="shared" si="9"/>
        <v>2670461.2137457537</v>
      </c>
      <c r="F218" s="472">
        <f>'F) Population'!K210</f>
        <v>242555.7344064386</v>
      </c>
      <c r="G218" s="10">
        <f>'G) Solidarité'!I207</f>
        <v>0</v>
      </c>
      <c r="H218" s="472">
        <f t="shared" si="10"/>
        <v>242555.7344064386</v>
      </c>
      <c r="I218" s="58">
        <f t="shared" si="11"/>
        <v>2427905.4793393151</v>
      </c>
    </row>
    <row r="219" spans="1:9" x14ac:dyDescent="0.25">
      <c r="A219" s="50">
        <f>'A) Base RI'!A210</f>
        <v>5731</v>
      </c>
      <c r="B219" s="33" t="str">
        <f>'A) Base RI'!B210</f>
        <v>Le Vaud</v>
      </c>
      <c r="C219" s="32">
        <f>'D) Ecrêtage'!M208</f>
        <v>52834.667955555553</v>
      </c>
      <c r="D219" s="472">
        <f>'A) Base RI'!AN210</f>
        <v>1319</v>
      </c>
      <c r="E219" s="10">
        <f t="shared" si="9"/>
        <v>1002874.1448253783</v>
      </c>
      <c r="F219" s="472">
        <f>'F) Population'!K211</f>
        <v>211437.0724346076</v>
      </c>
      <c r="G219" s="10">
        <f>'G) Solidarité'!I208</f>
        <v>147476.50924292862</v>
      </c>
      <c r="H219" s="472">
        <f t="shared" si="10"/>
        <v>358913.58167753625</v>
      </c>
      <c r="I219" s="58">
        <f t="shared" si="11"/>
        <v>643960.56314784207</v>
      </c>
    </row>
    <row r="220" spans="1:9" x14ac:dyDescent="0.25">
      <c r="A220" s="50">
        <f>'A) Base RI'!A211</f>
        <v>5732</v>
      </c>
      <c r="B220" s="33" t="str">
        <f>'A) Base RI'!B211</f>
        <v>Vich</v>
      </c>
      <c r="C220" s="32">
        <f>'D) Ecrêtage'!M209</f>
        <v>63314.926919915684</v>
      </c>
      <c r="D220" s="472">
        <f>'A) Base RI'!AN211</f>
        <v>1039</v>
      </c>
      <c r="E220" s="10">
        <f t="shared" si="9"/>
        <v>1201803.7710184015</v>
      </c>
      <c r="F220" s="472">
        <f>'F) Population'!K212</f>
        <v>113535.6639839034</v>
      </c>
      <c r="G220" s="10">
        <f>'G) Solidarité'!I209</f>
        <v>0</v>
      </c>
      <c r="H220" s="472">
        <f t="shared" si="10"/>
        <v>113535.6639839034</v>
      </c>
      <c r="I220" s="58">
        <f t="shared" si="11"/>
        <v>1088268.1070344981</v>
      </c>
    </row>
    <row r="221" spans="1:9" x14ac:dyDescent="0.25">
      <c r="A221" s="50">
        <f>'A) Base RI'!A212</f>
        <v>5741</v>
      </c>
      <c r="B221" s="33" t="str">
        <f>'A) Base RI'!B212</f>
        <v>L'Abergement</v>
      </c>
      <c r="C221" s="32">
        <f>'D) Ecrêtage'!M210</f>
        <v>7464.3302469135806</v>
      </c>
      <c r="D221" s="472">
        <f>'A) Base RI'!AN212</f>
        <v>248</v>
      </c>
      <c r="E221" s="10">
        <f t="shared" si="9"/>
        <v>141683.18081159689</v>
      </c>
      <c r="F221" s="472">
        <f>'F) Population'!K213</f>
        <v>24775.050301810865</v>
      </c>
      <c r="G221" s="10">
        <f>'G) Solidarité'!I210</f>
        <v>96674.015110350374</v>
      </c>
      <c r="H221" s="472">
        <f t="shared" si="10"/>
        <v>121449.06541216123</v>
      </c>
      <c r="I221" s="58">
        <f t="shared" si="11"/>
        <v>20234.115399435657</v>
      </c>
    </row>
    <row r="222" spans="1:9" x14ac:dyDescent="0.25">
      <c r="A222" s="50">
        <f>'A) Base RI'!A213</f>
        <v>5742</v>
      </c>
      <c r="B222" s="33" t="str">
        <f>'A) Base RI'!B213</f>
        <v>Agiez</v>
      </c>
      <c r="C222" s="32">
        <f>'D) Ecrêtage'!M211</f>
        <v>9132.5030263157914</v>
      </c>
      <c r="D222" s="472">
        <f>'A) Base RI'!AN213</f>
        <v>327</v>
      </c>
      <c r="E222" s="10">
        <f t="shared" si="9"/>
        <v>173347.37809530584</v>
      </c>
      <c r="F222" s="472">
        <f>'F) Population'!K214</f>
        <v>32667.102615694163</v>
      </c>
      <c r="G222" s="10">
        <f>'G) Solidarité'!I211</f>
        <v>128489.82676634526</v>
      </c>
      <c r="H222" s="472">
        <f t="shared" si="10"/>
        <v>161156.92938203941</v>
      </c>
      <c r="I222" s="58">
        <f t="shared" si="11"/>
        <v>12190.448713266436</v>
      </c>
    </row>
    <row r="223" spans="1:9" x14ac:dyDescent="0.25">
      <c r="A223" s="50">
        <f>'A) Base RI'!A214</f>
        <v>5743</v>
      </c>
      <c r="B223" s="33" t="str">
        <f>'A) Base RI'!B214</f>
        <v>Arnex-sur-Orbe</v>
      </c>
      <c r="C223" s="32">
        <f>'D) Ecrêtage'!M212</f>
        <v>18362.90517123288</v>
      </c>
      <c r="D223" s="472">
        <f>'A) Base RI'!AN214</f>
        <v>631</v>
      </c>
      <c r="E223" s="10">
        <f t="shared" si="9"/>
        <v>348553.01514530077</v>
      </c>
      <c r="F223" s="472">
        <f>'F) Population'!K215</f>
        <v>63036.519114688126</v>
      </c>
      <c r="G223" s="10">
        <f>'G) Solidarité'!I212</f>
        <v>213092.78639266358</v>
      </c>
      <c r="H223" s="472">
        <f t="shared" si="10"/>
        <v>276129.3055073517</v>
      </c>
      <c r="I223" s="58">
        <f t="shared" si="11"/>
        <v>72423.709637949069</v>
      </c>
    </row>
    <row r="224" spans="1:9" x14ac:dyDescent="0.25">
      <c r="A224" s="50">
        <f>'A) Base RI'!A215</f>
        <v>5744</v>
      </c>
      <c r="B224" s="33" t="str">
        <f>'A) Base RI'!B215</f>
        <v>Ballaigues</v>
      </c>
      <c r="C224" s="32">
        <f>'D) Ecrêtage'!M213</f>
        <v>46015.380909090905</v>
      </c>
      <c r="D224" s="472">
        <f>'A) Base RI'!AN215</f>
        <v>1075</v>
      </c>
      <c r="E224" s="10">
        <f t="shared" si="9"/>
        <v>873434.76478053967</v>
      </c>
      <c r="F224" s="472">
        <f>'F) Population'!K216</f>
        <v>126122.98792756538</v>
      </c>
      <c r="G224" s="10">
        <f>'G) Solidarité'!I213</f>
        <v>41983.636481286449</v>
      </c>
      <c r="H224" s="472">
        <f t="shared" si="10"/>
        <v>168106.62440885184</v>
      </c>
      <c r="I224" s="58">
        <f t="shared" si="11"/>
        <v>705328.14037168783</v>
      </c>
    </row>
    <row r="225" spans="1:9" x14ac:dyDescent="0.25">
      <c r="A225" s="50">
        <f>'A) Base RI'!A216</f>
        <v>5745</v>
      </c>
      <c r="B225" s="33" t="str">
        <f>'A) Base RI'!B216</f>
        <v>Baulmes</v>
      </c>
      <c r="C225" s="32">
        <f>'D) Ecrêtage'!M214</f>
        <v>27038.675769230769</v>
      </c>
      <c r="D225" s="472">
        <f>'A) Base RI'!AN216</f>
        <v>1027</v>
      </c>
      <c r="E225" s="10">
        <f t="shared" si="9"/>
        <v>513230.98807185184</v>
      </c>
      <c r="F225" s="472">
        <f>'F) Population'!K217</f>
        <v>109339.88933601609</v>
      </c>
      <c r="G225" s="10">
        <f>'G) Solidarité'!I214</f>
        <v>464761.4963140969</v>
      </c>
      <c r="H225" s="472">
        <f t="shared" si="10"/>
        <v>574101.38565011299</v>
      </c>
      <c r="I225" s="58">
        <f t="shared" si="11"/>
        <v>-60870.397578261152</v>
      </c>
    </row>
    <row r="226" spans="1:9" x14ac:dyDescent="0.25">
      <c r="A226" s="50">
        <f>'A) Base RI'!A217</f>
        <v>5746</v>
      </c>
      <c r="B226" s="33" t="str">
        <f>'A) Base RI'!B217</f>
        <v>Bavois</v>
      </c>
      <c r="C226" s="32">
        <f>'D) Ecrêtage'!M215</f>
        <v>26753.53392694064</v>
      </c>
      <c r="D226" s="472">
        <f>'A) Base RI'!AN217</f>
        <v>942</v>
      </c>
      <c r="E226" s="10">
        <f t="shared" si="9"/>
        <v>507818.60653703846</v>
      </c>
      <c r="F226" s="472">
        <f>'F) Population'!K218</f>
        <v>94105.231388329979</v>
      </c>
      <c r="G226" s="10">
        <f>'G) Solidarité'!I215</f>
        <v>332080.25781812484</v>
      </c>
      <c r="H226" s="472">
        <f t="shared" si="10"/>
        <v>426185.48920645483</v>
      </c>
      <c r="I226" s="58">
        <f t="shared" si="11"/>
        <v>81633.117330583627</v>
      </c>
    </row>
    <row r="227" spans="1:9" x14ac:dyDescent="0.25">
      <c r="A227" s="50">
        <f>'A) Base RI'!A218</f>
        <v>5747</v>
      </c>
      <c r="B227" s="33" t="str">
        <f>'A) Base RI'!B218</f>
        <v>Bofflens</v>
      </c>
      <c r="C227" s="32">
        <f>'D) Ecrêtage'!M216</f>
        <v>4985.4308695652171</v>
      </c>
      <c r="D227" s="472">
        <f>'A) Base RI'!AN218</f>
        <v>196</v>
      </c>
      <c r="E227" s="10">
        <f t="shared" si="9"/>
        <v>94630.28563190838</v>
      </c>
      <c r="F227" s="472">
        <f>'F) Population'!K219</f>
        <v>19580.281690140844</v>
      </c>
      <c r="G227" s="10">
        <f>'G) Solidarité'!I216</f>
        <v>72714.904747523295</v>
      </c>
      <c r="H227" s="472">
        <f t="shared" si="10"/>
        <v>92295.186437664146</v>
      </c>
      <c r="I227" s="58">
        <f t="shared" si="11"/>
        <v>2335.0991942442342</v>
      </c>
    </row>
    <row r="228" spans="1:9" x14ac:dyDescent="0.25">
      <c r="A228" s="50">
        <f>'A) Base RI'!A219</f>
        <v>5748</v>
      </c>
      <c r="B228" s="33" t="str">
        <f>'A) Base RI'!B219</f>
        <v>Bretonnières</v>
      </c>
      <c r="C228" s="32">
        <f>'D) Ecrêtage'!M217</f>
        <v>5553.3427314814826</v>
      </c>
      <c r="D228" s="472">
        <f>'A) Base RI'!AN219</f>
        <v>265</v>
      </c>
      <c r="E228" s="10">
        <f t="shared" si="9"/>
        <v>105410.02826859086</v>
      </c>
      <c r="F228" s="472">
        <f>'F) Population'!K220</f>
        <v>26473.340040241448</v>
      </c>
      <c r="G228" s="10">
        <f>'G) Solidarité'!I217</f>
        <v>131481.63820899688</v>
      </c>
      <c r="H228" s="472">
        <f t="shared" si="10"/>
        <v>157954.97824923834</v>
      </c>
      <c r="I228" s="58">
        <f t="shared" si="11"/>
        <v>-52544.949980647478</v>
      </c>
    </row>
    <row r="229" spans="1:9" x14ac:dyDescent="0.25">
      <c r="A229" s="50">
        <f>'A) Base RI'!A220</f>
        <v>5749</v>
      </c>
      <c r="B229" s="33" t="str">
        <f>'A) Base RI'!B220</f>
        <v>Chavornay</v>
      </c>
      <c r="C229" s="32">
        <f>'D) Ecrêtage'!M218</f>
        <v>140775.19611111109</v>
      </c>
      <c r="D229" s="472">
        <f>'A) Base RI'!AN220</f>
        <v>4996</v>
      </c>
      <c r="E229" s="10">
        <f t="shared" si="9"/>
        <v>2672105.4541558907</v>
      </c>
      <c r="F229" s="472">
        <f>'F) Population'!K221</f>
        <v>1796191.1468812875</v>
      </c>
      <c r="G229" s="10">
        <f>'G) Solidarité'!I218</f>
        <v>1736251.7883649359</v>
      </c>
      <c r="H229" s="472">
        <f t="shared" si="10"/>
        <v>3532442.9352462236</v>
      </c>
      <c r="I229" s="58">
        <f t="shared" si="11"/>
        <v>-860337.48109033285</v>
      </c>
    </row>
    <row r="230" spans="1:9" x14ac:dyDescent="0.25">
      <c r="A230" s="50">
        <f>'A) Base RI'!A221</f>
        <v>5750</v>
      </c>
      <c r="B230" s="33" t="str">
        <f>'A) Base RI'!B221</f>
        <v>Les Clées</v>
      </c>
      <c r="C230" s="32">
        <f>'D) Ecrêtage'!M219</f>
        <v>5155.3168750000004</v>
      </c>
      <c r="D230" s="472">
        <f>'A) Base RI'!AN221</f>
        <v>185</v>
      </c>
      <c r="E230" s="10">
        <f t="shared" si="9"/>
        <v>97854.953998548386</v>
      </c>
      <c r="F230" s="472">
        <f>'F) Population'!K222</f>
        <v>18481.38832997988</v>
      </c>
      <c r="G230" s="10">
        <f>'G) Solidarité'!I219</f>
        <v>80835.684619148247</v>
      </c>
      <c r="H230" s="472">
        <f t="shared" si="10"/>
        <v>99317.072949128124</v>
      </c>
      <c r="I230" s="58">
        <f t="shared" si="11"/>
        <v>-1462.1189505797374</v>
      </c>
    </row>
    <row r="231" spans="1:9" x14ac:dyDescent="0.25">
      <c r="A231" s="50">
        <f>'A) Base RI'!A222</f>
        <v>5752</v>
      </c>
      <c r="B231" s="33" t="str">
        <f>'A) Base RI'!B222</f>
        <v>Croy</v>
      </c>
      <c r="C231" s="32">
        <f>'D) Ecrêtage'!M220</f>
        <v>10753.005424710425</v>
      </c>
      <c r="D231" s="472">
        <f>'A) Base RI'!AN222</f>
        <v>404</v>
      </c>
      <c r="E231" s="10">
        <f t="shared" si="9"/>
        <v>204106.72645242195</v>
      </c>
      <c r="F231" s="472">
        <f>'F) Population'!K223</f>
        <v>40359.356136820927</v>
      </c>
      <c r="G231" s="10">
        <f>'G) Solidarité'!I220</f>
        <v>162022.42975813517</v>
      </c>
      <c r="H231" s="472">
        <f t="shared" si="10"/>
        <v>202381.78589495609</v>
      </c>
      <c r="I231" s="58">
        <f t="shared" si="11"/>
        <v>1724.9405574658595</v>
      </c>
    </row>
    <row r="232" spans="1:9" x14ac:dyDescent="0.25">
      <c r="A232" s="50">
        <f>'A) Base RI'!A223</f>
        <v>5754</v>
      </c>
      <c r="B232" s="33" t="str">
        <f>'A) Base RI'!B223</f>
        <v>Juriens</v>
      </c>
      <c r="C232" s="32">
        <f>'D) Ecrêtage'!M221</f>
        <v>8035.95670886076</v>
      </c>
      <c r="D232" s="472">
        <f>'A) Base RI'!AN223</f>
        <v>308</v>
      </c>
      <c r="E232" s="10">
        <f t="shared" si="9"/>
        <v>152533.43162924313</v>
      </c>
      <c r="F232" s="472">
        <f>'F) Population'!K224</f>
        <v>30769.014084507042</v>
      </c>
      <c r="G232" s="10">
        <f>'G) Solidarité'!I221</f>
        <v>144789.12980675901</v>
      </c>
      <c r="H232" s="472">
        <f t="shared" si="10"/>
        <v>175558.14389126605</v>
      </c>
      <c r="I232" s="58">
        <f t="shared" si="11"/>
        <v>-23024.71226202292</v>
      </c>
    </row>
    <row r="233" spans="1:9" x14ac:dyDescent="0.25">
      <c r="A233" s="50">
        <f>'A) Base RI'!A224</f>
        <v>5755</v>
      </c>
      <c r="B233" s="33" t="str">
        <f>'A) Base RI'!B224</f>
        <v>Lignerolle</v>
      </c>
      <c r="C233" s="32">
        <f>'D) Ecrêtage'!M222</f>
        <v>9584.7876607142862</v>
      </c>
      <c r="D233" s="472">
        <f>'A) Base RI'!AN224</f>
        <v>422</v>
      </c>
      <c r="E233" s="10">
        <f t="shared" si="9"/>
        <v>181932.35806189908</v>
      </c>
      <c r="F233" s="472">
        <f>'F) Population'!K225</f>
        <v>42157.54527162978</v>
      </c>
      <c r="G233" s="10">
        <f>'G) Solidarité'!I222</f>
        <v>239654.80501165232</v>
      </c>
      <c r="H233" s="472">
        <f t="shared" si="10"/>
        <v>281812.35028328211</v>
      </c>
      <c r="I233" s="58">
        <f t="shared" si="11"/>
        <v>-99879.992221383029</v>
      </c>
    </row>
    <row r="234" spans="1:9" x14ac:dyDescent="0.25">
      <c r="A234" s="50">
        <f>'A) Base RI'!A225</f>
        <v>5756</v>
      </c>
      <c r="B234" s="33" t="str">
        <f>'A) Base RI'!B225</f>
        <v>Montcherand</v>
      </c>
      <c r="C234" s="32">
        <f>'D) Ecrêtage'!M223</f>
        <v>15844.670555555553</v>
      </c>
      <c r="D234" s="472">
        <f>'A) Base RI'!AN225</f>
        <v>489</v>
      </c>
      <c r="E234" s="10">
        <f t="shared" si="9"/>
        <v>300753.4834289003</v>
      </c>
      <c r="F234" s="472">
        <f>'F) Population'!K226</f>
        <v>48850.804828973844</v>
      </c>
      <c r="G234" s="10">
        <f>'G) Solidarité'!I223</f>
        <v>127424.00714452898</v>
      </c>
      <c r="H234" s="472">
        <f t="shared" si="10"/>
        <v>176274.81197350283</v>
      </c>
      <c r="I234" s="58">
        <f t="shared" si="11"/>
        <v>124478.67145539747</v>
      </c>
    </row>
    <row r="235" spans="1:9" x14ac:dyDescent="0.25">
      <c r="A235" s="50">
        <f>'A) Base RI'!A226</f>
        <v>5757</v>
      </c>
      <c r="B235" s="33" t="str">
        <f>'A) Base RI'!B226</f>
        <v>Orbe</v>
      </c>
      <c r="C235" s="32">
        <f>'D) Ecrêtage'!M224</f>
        <v>227545.70272727273</v>
      </c>
      <c r="D235" s="472">
        <f>'A) Base RI'!AN226</f>
        <v>6942</v>
      </c>
      <c r="E235" s="10">
        <f t="shared" si="9"/>
        <v>4319128.1569757313</v>
      </c>
      <c r="F235" s="472">
        <f>'F) Population'!K227</f>
        <v>2962216.9014084507</v>
      </c>
      <c r="G235" s="10">
        <f>'G) Solidarité'!I224</f>
        <v>2007489.1148608343</v>
      </c>
      <c r="H235" s="472">
        <f t="shared" si="10"/>
        <v>4969706.0162692852</v>
      </c>
      <c r="I235" s="58">
        <f t="shared" si="11"/>
        <v>-650577.85929355398</v>
      </c>
    </row>
    <row r="236" spans="1:9" x14ac:dyDescent="0.25">
      <c r="A236" s="50">
        <f>'A) Base RI'!A227</f>
        <v>5758</v>
      </c>
      <c r="B236" s="33" t="str">
        <f>'A) Base RI'!B227</f>
        <v>La Praz</v>
      </c>
      <c r="C236" s="32">
        <f>'D) Ecrêtage'!M225</f>
        <v>4452.397389558233</v>
      </c>
      <c r="D236" s="472">
        <f>'A) Base RI'!AN227</f>
        <v>165</v>
      </c>
      <c r="E236" s="10">
        <f t="shared" si="9"/>
        <v>84512.582311146063</v>
      </c>
      <c r="F236" s="472">
        <f>'F) Population'!K228</f>
        <v>16483.400402414485</v>
      </c>
      <c r="G236" s="10">
        <f>'G) Solidarité'!I225</f>
        <v>81587.20518828668</v>
      </c>
      <c r="H236" s="472">
        <f t="shared" si="10"/>
        <v>98070.605590701161</v>
      </c>
      <c r="I236" s="58">
        <f t="shared" si="11"/>
        <v>-13558.023279555098</v>
      </c>
    </row>
    <row r="237" spans="1:9" x14ac:dyDescent="0.25">
      <c r="A237" s="50">
        <f>'A) Base RI'!A228</f>
        <v>5759</v>
      </c>
      <c r="B237" s="33" t="str">
        <f>'A) Base RI'!B228</f>
        <v>Premier</v>
      </c>
      <c r="C237" s="32">
        <f>'D) Ecrêtage'!M226</f>
        <v>4744.6671604938274</v>
      </c>
      <c r="D237" s="472">
        <f>'A) Base RI'!AN228</f>
        <v>213</v>
      </c>
      <c r="E237" s="10">
        <f t="shared" si="9"/>
        <v>90060.26166501097</v>
      </c>
      <c r="F237" s="472">
        <f>'F) Population'!K229</f>
        <v>21278.571428571428</v>
      </c>
      <c r="G237" s="10">
        <f>'G) Solidarité'!I226</f>
        <v>126432.62654590179</v>
      </c>
      <c r="H237" s="472">
        <f t="shared" si="10"/>
        <v>147711.19797447321</v>
      </c>
      <c r="I237" s="58">
        <f t="shared" si="11"/>
        <v>-57650.936309462239</v>
      </c>
    </row>
    <row r="238" spans="1:9" x14ac:dyDescent="0.25">
      <c r="A238" s="50">
        <f>'A) Base RI'!A229</f>
        <v>5760</v>
      </c>
      <c r="B238" s="33" t="str">
        <f>'A) Base RI'!B229</f>
        <v>Rances</v>
      </c>
      <c r="C238" s="32">
        <f>'D) Ecrêtage'!M227</f>
        <v>11427.8147008547</v>
      </c>
      <c r="D238" s="472">
        <f>'A) Base RI'!AN229</f>
        <v>482</v>
      </c>
      <c r="E238" s="10">
        <f t="shared" si="9"/>
        <v>216915.52798218082</v>
      </c>
      <c r="F238" s="472">
        <f>'F) Population'!K230</f>
        <v>48151.509054325958</v>
      </c>
      <c r="G238" s="10">
        <f>'G) Solidarité'!I227</f>
        <v>248613.18871658822</v>
      </c>
      <c r="H238" s="472">
        <f t="shared" si="10"/>
        <v>296764.69777091418</v>
      </c>
      <c r="I238" s="58">
        <f t="shared" si="11"/>
        <v>-79849.169788733358</v>
      </c>
    </row>
    <row r="239" spans="1:9" x14ac:dyDescent="0.25">
      <c r="A239" s="50">
        <f>'A) Base RI'!A230</f>
        <v>5761</v>
      </c>
      <c r="B239" s="33" t="str">
        <f>'A) Base RI'!B230</f>
        <v>Romainmôtier-Envy</v>
      </c>
      <c r="C239" s="32">
        <f>'D) Ecrêtage'!M228</f>
        <v>14843.375263748598</v>
      </c>
      <c r="D239" s="472">
        <f>'A) Base RI'!AN230</f>
        <v>540</v>
      </c>
      <c r="E239" s="10">
        <f t="shared" si="9"/>
        <v>281747.53149723896</v>
      </c>
      <c r="F239" s="472">
        <f>'F) Population'!K231</f>
        <v>53945.674044265594</v>
      </c>
      <c r="G239" s="10">
        <f>'G) Solidarité'!I228</f>
        <v>247217.332722441</v>
      </c>
      <c r="H239" s="472">
        <f t="shared" si="10"/>
        <v>301163.00676670659</v>
      </c>
      <c r="I239" s="58">
        <f t="shared" si="11"/>
        <v>-19415.475269467628</v>
      </c>
    </row>
    <row r="240" spans="1:9" x14ac:dyDescent="0.25">
      <c r="A240" s="50">
        <f>'A) Base RI'!A231</f>
        <v>5762</v>
      </c>
      <c r="B240" s="33" t="str">
        <f>'A) Base RI'!B231</f>
        <v>Sergey</v>
      </c>
      <c r="C240" s="32">
        <f>'D) Ecrêtage'!M229</f>
        <v>3817.1048717948711</v>
      </c>
      <c r="D240" s="472">
        <f>'A) Base RI'!AN231</f>
        <v>146</v>
      </c>
      <c r="E240" s="10">
        <f t="shared" si="9"/>
        <v>72453.862816555193</v>
      </c>
      <c r="F240" s="472">
        <f>'F) Population'!K232</f>
        <v>14585.311871227364</v>
      </c>
      <c r="G240" s="10">
        <f>'G) Solidarité'!I229</f>
        <v>66717.564736282904</v>
      </c>
      <c r="H240" s="472">
        <f t="shared" si="10"/>
        <v>81302.876607510261</v>
      </c>
      <c r="I240" s="58">
        <f t="shared" si="11"/>
        <v>-8849.0137909550685</v>
      </c>
    </row>
    <row r="241" spans="1:9" x14ac:dyDescent="0.25">
      <c r="A241" s="50">
        <f>'A) Base RI'!A232</f>
        <v>5763</v>
      </c>
      <c r="B241" s="33" t="str">
        <f>'A) Base RI'!B232</f>
        <v>Valeyres-sous-Rances</v>
      </c>
      <c r="C241" s="32">
        <f>'D) Ecrêtage'!M230</f>
        <v>21043.479230769233</v>
      </c>
      <c r="D241" s="472">
        <f>'A) Base RI'!AN232</f>
        <v>622</v>
      </c>
      <c r="E241" s="10">
        <f t="shared" si="9"/>
        <v>399433.97118461929</v>
      </c>
      <c r="F241" s="472">
        <f>'F) Population'!K233</f>
        <v>62137.424547283699</v>
      </c>
      <c r="G241" s="10">
        <f>'G) Solidarité'!I230</f>
        <v>117180.1898429748</v>
      </c>
      <c r="H241" s="472">
        <f t="shared" si="10"/>
        <v>179317.6143902585</v>
      </c>
      <c r="I241" s="58">
        <f t="shared" si="11"/>
        <v>220116.35679436079</v>
      </c>
    </row>
    <row r="242" spans="1:9" x14ac:dyDescent="0.25">
      <c r="A242" s="50">
        <f>'A) Base RI'!A233</f>
        <v>5764</v>
      </c>
      <c r="B242" s="33" t="str">
        <f>'A) Base RI'!B233</f>
        <v>Vallorbe</v>
      </c>
      <c r="C242" s="32">
        <f>'D) Ecrêtage'!M231</f>
        <v>86289.103835616435</v>
      </c>
      <c r="D242" s="472">
        <f>'A) Base RI'!AN233</f>
        <v>3852</v>
      </c>
      <c r="E242" s="10">
        <f t="shared" si="9"/>
        <v>1637885.0206778434</v>
      </c>
      <c r="F242" s="472">
        <f>'F) Population'!K234</f>
        <v>1224766.5995975854</v>
      </c>
      <c r="G242" s="10">
        <f>'G) Solidarité'!I231</f>
        <v>1846883.7933737203</v>
      </c>
      <c r="H242" s="472">
        <f t="shared" si="10"/>
        <v>3071650.3929713056</v>
      </c>
      <c r="I242" s="58">
        <f t="shared" si="11"/>
        <v>-1433765.3722934623</v>
      </c>
    </row>
    <row r="243" spans="1:9" x14ac:dyDescent="0.25">
      <c r="A243" s="50">
        <f>'A) Base RI'!A234</f>
        <v>5765</v>
      </c>
      <c r="B243" s="33" t="str">
        <f>'A) Base RI'!B234</f>
        <v>Vaulion</v>
      </c>
      <c r="C243" s="32">
        <f>'D) Ecrêtage'!M232</f>
        <v>9839.660864197529</v>
      </c>
      <c r="D243" s="472">
        <f>'A) Base RI'!AN234</f>
        <v>469</v>
      </c>
      <c r="E243" s="10">
        <f t="shared" si="9"/>
        <v>186770.19949959253</v>
      </c>
      <c r="F243" s="472">
        <f>'F) Population'!K235</f>
        <v>46852.816901408449</v>
      </c>
      <c r="G243" s="10">
        <f>'G) Solidarité'!I232</f>
        <v>294213.88014289498</v>
      </c>
      <c r="H243" s="472">
        <f t="shared" si="10"/>
        <v>341066.69704430341</v>
      </c>
      <c r="I243" s="58">
        <f t="shared" si="11"/>
        <v>-154296.49754471087</v>
      </c>
    </row>
    <row r="244" spans="1:9" x14ac:dyDescent="0.25">
      <c r="A244" s="50">
        <f>'A) Base RI'!A235</f>
        <v>5766</v>
      </c>
      <c r="B244" s="33" t="str">
        <f>'A) Base RI'!B235</f>
        <v>Vuiteboeuf</v>
      </c>
      <c r="C244" s="32">
        <f>'D) Ecrêtage'!M233</f>
        <v>13336.017235621519</v>
      </c>
      <c r="D244" s="472">
        <f>'A) Base RI'!AN235</f>
        <v>584</v>
      </c>
      <c r="E244" s="10">
        <f t="shared" si="9"/>
        <v>253135.81778920078</v>
      </c>
      <c r="F244" s="472">
        <f>'F) Population'!K236</f>
        <v>58341.247484909458</v>
      </c>
      <c r="G244" s="10">
        <f>'G) Solidarité'!I233</f>
        <v>305558.06814167916</v>
      </c>
      <c r="H244" s="472">
        <f t="shared" si="10"/>
        <v>363899.31562658865</v>
      </c>
      <c r="I244" s="58">
        <f t="shared" si="11"/>
        <v>-110763.49783738787</v>
      </c>
    </row>
    <row r="245" spans="1:9" x14ac:dyDescent="0.25">
      <c r="A245" s="50">
        <f>'A) Base RI'!A236</f>
        <v>5785</v>
      </c>
      <c r="B245" s="33" t="str">
        <f>'A) Base RI'!B236</f>
        <v>Corcelles-le-Jorat</v>
      </c>
      <c r="C245" s="32">
        <f>'D) Ecrêtage'!M234</f>
        <v>15649.981168831173</v>
      </c>
      <c r="D245" s="472">
        <f>'A) Base RI'!AN236</f>
        <v>445</v>
      </c>
      <c r="E245" s="10">
        <f t="shared" si="9"/>
        <v>297058.0130157611</v>
      </c>
      <c r="F245" s="472">
        <f>'F) Population'!K237</f>
        <v>44455.231388329979</v>
      </c>
      <c r="G245" s="10">
        <f>'G) Solidarité'!I234</f>
        <v>103646.3620952577</v>
      </c>
      <c r="H245" s="472">
        <f t="shared" si="10"/>
        <v>148101.59348358767</v>
      </c>
      <c r="I245" s="58">
        <f t="shared" si="11"/>
        <v>148956.41953217343</v>
      </c>
    </row>
    <row r="246" spans="1:9" x14ac:dyDescent="0.25">
      <c r="A246" s="50">
        <f>'A) Base RI'!A237</f>
        <v>5788</v>
      </c>
      <c r="B246" s="33" t="str">
        <f>'A) Base RI'!B237</f>
        <v>Essertes</v>
      </c>
      <c r="C246" s="32">
        <f>'D) Ecrêtage'!M235</f>
        <v>11949.454583333332</v>
      </c>
      <c r="D246" s="472">
        <f>'A) Base RI'!AN237</f>
        <v>374</v>
      </c>
      <c r="E246" s="10">
        <f t="shared" si="9"/>
        <v>226816.96526361947</v>
      </c>
      <c r="F246" s="472">
        <f>'F) Population'!K238</f>
        <v>37362.374245472834</v>
      </c>
      <c r="G246" s="10">
        <f>'G) Solidarité'!I235</f>
        <v>100934.70567569847</v>
      </c>
      <c r="H246" s="472">
        <f t="shared" si="10"/>
        <v>138297.0799211713</v>
      </c>
      <c r="I246" s="58">
        <f t="shared" si="11"/>
        <v>88519.885342448164</v>
      </c>
    </row>
    <row r="247" spans="1:9" x14ac:dyDescent="0.25">
      <c r="A247" s="50">
        <f>'A) Base RI'!A238</f>
        <v>5790</v>
      </c>
      <c r="B247" s="33" t="str">
        <f>'A) Base RI'!B238</f>
        <v>Maracon</v>
      </c>
      <c r="C247" s="32">
        <f>'D) Ecrêtage'!M236</f>
        <v>13289.151710526314</v>
      </c>
      <c r="D247" s="472">
        <f>'A) Base RI'!AN238</f>
        <v>492</v>
      </c>
      <c r="E247" s="10">
        <f t="shared" si="9"/>
        <v>252246.24612687516</v>
      </c>
      <c r="F247" s="472">
        <f>'F) Population'!K239</f>
        <v>49150.503018108648</v>
      </c>
      <c r="G247" s="10">
        <f>'G) Solidarité'!I236</f>
        <v>203677.62200447181</v>
      </c>
      <c r="H247" s="472">
        <f t="shared" si="10"/>
        <v>252828.12502258044</v>
      </c>
      <c r="I247" s="58">
        <f t="shared" si="11"/>
        <v>-581.87889570527477</v>
      </c>
    </row>
    <row r="248" spans="1:9" x14ac:dyDescent="0.25">
      <c r="A248" s="50">
        <f>'A) Base RI'!A239</f>
        <v>5792</v>
      </c>
      <c r="B248" s="33" t="str">
        <f>'A) Base RI'!B239</f>
        <v>Montpreveyres</v>
      </c>
      <c r="C248" s="32">
        <f>'D) Ecrêtage'!M237</f>
        <v>18753.372987012986</v>
      </c>
      <c r="D248" s="472">
        <f>'A) Base RI'!AN239</f>
        <v>643</v>
      </c>
      <c r="E248" s="10">
        <f t="shared" si="9"/>
        <v>355964.62748214201</v>
      </c>
      <c r="F248" s="472">
        <f>'F) Population'!K240</f>
        <v>64235.311871227364</v>
      </c>
      <c r="G248" s="10">
        <f>'G) Solidarité'!I237</f>
        <v>240622.92916237056</v>
      </c>
      <c r="H248" s="472">
        <f t="shared" si="10"/>
        <v>304858.24103359791</v>
      </c>
      <c r="I248" s="58">
        <f t="shared" si="11"/>
        <v>51106.386448544101</v>
      </c>
    </row>
    <row r="249" spans="1:9" x14ac:dyDescent="0.25">
      <c r="A249" s="50">
        <f>'A) Base RI'!A240</f>
        <v>5798</v>
      </c>
      <c r="B249" s="33" t="str">
        <f>'A) Base RI'!B240</f>
        <v>Ropraz</v>
      </c>
      <c r="C249" s="32">
        <f>'D) Ecrêtage'!M238</f>
        <v>13764.738967741932</v>
      </c>
      <c r="D249" s="472">
        <f>'A) Base RI'!AN240</f>
        <v>494</v>
      </c>
      <c r="E249" s="10">
        <f t="shared" si="9"/>
        <v>261273.54169483774</v>
      </c>
      <c r="F249" s="472">
        <f>'F) Population'!K241</f>
        <v>49350.301810865189</v>
      </c>
      <c r="G249" s="10">
        <f>'G) Solidarité'!I238</f>
        <v>202605.30075296399</v>
      </c>
      <c r="H249" s="472">
        <f t="shared" si="10"/>
        <v>251955.60256382916</v>
      </c>
      <c r="I249" s="58">
        <f t="shared" si="11"/>
        <v>9317.9391310085775</v>
      </c>
    </row>
    <row r="250" spans="1:9" x14ac:dyDescent="0.25">
      <c r="A250" s="50">
        <f>'A) Base RI'!A241</f>
        <v>5799</v>
      </c>
      <c r="B250" s="33" t="str">
        <f>'A) Base RI'!B241</f>
        <v>Servion</v>
      </c>
      <c r="C250" s="32">
        <f>'D) Ecrêtage'!M239</f>
        <v>69335.991449275345</v>
      </c>
      <c r="D250" s="472">
        <f>'A) Base RI'!AN241</f>
        <v>1942</v>
      </c>
      <c r="E250" s="10">
        <f t="shared" si="9"/>
        <v>1316091.7976962535</v>
      </c>
      <c r="F250" s="472">
        <f>'F) Population'!K242</f>
        <v>429267.70623742446</v>
      </c>
      <c r="G250" s="10">
        <f>'G) Solidarité'!I239</f>
        <v>343577.17013709043</v>
      </c>
      <c r="H250" s="472">
        <f t="shared" si="10"/>
        <v>772844.87637451489</v>
      </c>
      <c r="I250" s="58">
        <f t="shared" si="11"/>
        <v>543246.92132173863</v>
      </c>
    </row>
    <row r="251" spans="1:9" x14ac:dyDescent="0.25">
      <c r="A251" s="50">
        <f>'A) Base RI'!A242</f>
        <v>5803</v>
      </c>
      <c r="B251" s="33" t="str">
        <f>'A) Base RI'!B242</f>
        <v>Vulliens</v>
      </c>
      <c r="C251" s="32">
        <f>'D) Ecrêtage'!M240</f>
        <v>16619.681923076922</v>
      </c>
      <c r="D251" s="472">
        <f>'A) Base RI'!AN242</f>
        <v>595</v>
      </c>
      <c r="E251" s="10">
        <f t="shared" si="9"/>
        <v>315464.25748139841</v>
      </c>
      <c r="F251" s="472">
        <f>'F) Population'!K243</f>
        <v>59440.140845070418</v>
      </c>
      <c r="G251" s="10">
        <f>'G) Solidarité'!I240</f>
        <v>246204.61168562871</v>
      </c>
      <c r="H251" s="472">
        <f t="shared" si="10"/>
        <v>305644.75253069913</v>
      </c>
      <c r="I251" s="58">
        <f t="shared" si="11"/>
        <v>9819.50495069928</v>
      </c>
    </row>
    <row r="252" spans="1:9" x14ac:dyDescent="0.25">
      <c r="A252" s="50">
        <f>'A) Base RI'!A243</f>
        <v>5804</v>
      </c>
      <c r="B252" s="33" t="str">
        <f>'A) Base RI'!B243</f>
        <v>Jorat-Menthue</v>
      </c>
      <c r="C252" s="32">
        <f>'D) Ecrêtage'!M241</f>
        <v>47559.531944444454</v>
      </c>
      <c r="D252" s="472">
        <f>'A) Base RI'!AN243</f>
        <v>1586</v>
      </c>
      <c r="E252" s="10">
        <f t="shared" si="9"/>
        <v>902744.86000748572</v>
      </c>
      <c r="F252" s="472">
        <f>'F) Population'!K244</f>
        <v>304793.05835010059</v>
      </c>
      <c r="G252" s="10">
        <f>'G) Solidarité'!I241</f>
        <v>492114.21297076385</v>
      </c>
      <c r="H252" s="472">
        <f t="shared" si="10"/>
        <v>796907.27132086444</v>
      </c>
      <c r="I252" s="58">
        <f t="shared" si="11"/>
        <v>105837.58868662128</v>
      </c>
    </row>
    <row r="253" spans="1:9" x14ac:dyDescent="0.25">
      <c r="A253" s="50">
        <f>'A) Base RI'!A244</f>
        <v>5805</v>
      </c>
      <c r="B253" s="33" t="str">
        <f>'A) Base RI'!B244</f>
        <v>Oron</v>
      </c>
      <c r="C253" s="32">
        <f>'D) Ecrêtage'!M242</f>
        <v>157344.05109354414</v>
      </c>
      <c r="D253" s="472">
        <f>'A) Base RI'!AN244</f>
        <v>5501</v>
      </c>
      <c r="E253" s="10">
        <f t="shared" si="9"/>
        <v>2986604.9468984399</v>
      </c>
      <c r="F253" s="472">
        <f>'F) Population'!K245</f>
        <v>2098486.7203219314</v>
      </c>
      <c r="G253" s="10">
        <f>'G) Solidarité'!I242</f>
        <v>1711545.0731501637</v>
      </c>
      <c r="H253" s="472">
        <f t="shared" si="10"/>
        <v>3810031.7934720954</v>
      </c>
      <c r="I253" s="58">
        <f t="shared" si="11"/>
        <v>-823426.84657365549</v>
      </c>
    </row>
    <row r="254" spans="1:9" x14ac:dyDescent="0.25">
      <c r="A254" s="50">
        <f>'A) Base RI'!A245</f>
        <v>5806</v>
      </c>
      <c r="B254" s="33" t="str">
        <f>'A) Base RI'!B245</f>
        <v>Jorat-Mézières</v>
      </c>
      <c r="C254" s="32">
        <f>'D) Ecrêtage'!M243</f>
        <v>90571.355131578952</v>
      </c>
      <c r="D254" s="472">
        <f>'A) Base RI'!AN245</f>
        <v>2869</v>
      </c>
      <c r="E254" s="10">
        <f t="shared" si="9"/>
        <v>1719167.9977938982</v>
      </c>
      <c r="F254" s="472">
        <f>'F) Population'!K246</f>
        <v>753391.29778672033</v>
      </c>
      <c r="G254" s="10">
        <f>'G) Solidarité'!I243</f>
        <v>887799.53640986898</v>
      </c>
      <c r="H254" s="472">
        <f t="shared" si="10"/>
        <v>1641190.8341965894</v>
      </c>
      <c r="I254" s="58">
        <f t="shared" si="11"/>
        <v>77977.163597308798</v>
      </c>
    </row>
    <row r="255" spans="1:9" x14ac:dyDescent="0.25">
      <c r="A255" s="50">
        <f>'A) Base RI'!A246</f>
        <v>5812</v>
      </c>
      <c r="B255" s="33" t="str">
        <f>'A) Base RI'!B246</f>
        <v>Champtauroz</v>
      </c>
      <c r="C255" s="32">
        <f>'D) Ecrêtage'!M244</f>
        <v>2425.1270779220786</v>
      </c>
      <c r="D255" s="472">
        <f>'A) Base RI'!AN246</f>
        <v>122</v>
      </c>
      <c r="E255" s="10">
        <f t="shared" si="9"/>
        <v>46032.223509190022</v>
      </c>
      <c r="F255" s="472">
        <f>'F) Population'!K247</f>
        <v>12187.726358148893</v>
      </c>
      <c r="G255" s="10">
        <f>'G) Solidarité'!I244</f>
        <v>72325.710497623004</v>
      </c>
      <c r="H255" s="472">
        <f t="shared" si="10"/>
        <v>84513.436855771899</v>
      </c>
      <c r="I255" s="58">
        <f t="shared" si="11"/>
        <v>-38481.213346581877</v>
      </c>
    </row>
    <row r="256" spans="1:9" x14ac:dyDescent="0.25">
      <c r="A256" s="50">
        <f>'A) Base RI'!A247</f>
        <v>5813</v>
      </c>
      <c r="B256" s="33" t="str">
        <f>'A) Base RI'!B247</f>
        <v>Chevroux</v>
      </c>
      <c r="C256" s="32">
        <f>'D) Ecrêtage'!M245</f>
        <v>13114.094904761907</v>
      </c>
      <c r="D256" s="472">
        <f>'A) Base RI'!AN247</f>
        <v>480</v>
      </c>
      <c r="E256" s="10">
        <f t="shared" si="9"/>
        <v>248923.42890912484</v>
      </c>
      <c r="F256" s="472">
        <f>'F) Population'!K248</f>
        <v>47951.710261569417</v>
      </c>
      <c r="G256" s="10">
        <f>'G) Solidarité'!I245</f>
        <v>165673.18753832599</v>
      </c>
      <c r="H256" s="472">
        <f t="shared" si="10"/>
        <v>213624.89779989541</v>
      </c>
      <c r="I256" s="58">
        <f t="shared" si="11"/>
        <v>35298.531109229429</v>
      </c>
    </row>
    <row r="257" spans="1:9" x14ac:dyDescent="0.25">
      <c r="A257" s="50">
        <f>'A) Base RI'!A248</f>
        <v>5816</v>
      </c>
      <c r="B257" s="33" t="str">
        <f>'A) Base RI'!B248</f>
        <v>Corcelles-près-Payerne</v>
      </c>
      <c r="C257" s="32">
        <f>'D) Ecrêtage'!M246</f>
        <v>56247.882400793642</v>
      </c>
      <c r="D257" s="472">
        <f>'A) Base RI'!AN248</f>
        <v>2479</v>
      </c>
      <c r="E257" s="10">
        <f t="shared" si="9"/>
        <v>1067661.6158236482</v>
      </c>
      <c r="F257" s="472">
        <f>'F) Population'!K249</f>
        <v>617028.6217303822</v>
      </c>
      <c r="G257" s="10">
        <f>'G) Solidarité'!I246</f>
        <v>1141516.809862497</v>
      </c>
      <c r="H257" s="472">
        <f t="shared" si="10"/>
        <v>1758545.4315928794</v>
      </c>
      <c r="I257" s="58">
        <f t="shared" si="11"/>
        <v>-690883.81576923118</v>
      </c>
    </row>
    <row r="258" spans="1:9" x14ac:dyDescent="0.25">
      <c r="A258" s="50">
        <f>'A) Base RI'!A249</f>
        <v>5817</v>
      </c>
      <c r="B258" s="33" t="str">
        <f>'A) Base RI'!B249</f>
        <v>Grandcour</v>
      </c>
      <c r="C258" s="32">
        <f>'D) Ecrêtage'!M247</f>
        <v>23573.392337662339</v>
      </c>
      <c r="D258" s="472">
        <f>'A) Base RI'!AN249</f>
        <v>929</v>
      </c>
      <c r="E258" s="10">
        <f t="shared" si="9"/>
        <v>447455.17661156005</v>
      </c>
      <c r="F258" s="472">
        <f>'F) Population'!K250</f>
        <v>92806.539235412478</v>
      </c>
      <c r="G258" s="10">
        <f>'G) Solidarité'!I247</f>
        <v>430537.27832712483</v>
      </c>
      <c r="H258" s="472">
        <f t="shared" si="10"/>
        <v>523343.81756253733</v>
      </c>
      <c r="I258" s="58">
        <f t="shared" si="11"/>
        <v>-75888.640950977278</v>
      </c>
    </row>
    <row r="259" spans="1:9" x14ac:dyDescent="0.25">
      <c r="A259" s="50">
        <f>'A) Base RI'!A250</f>
        <v>5819</v>
      </c>
      <c r="B259" s="33" t="str">
        <f>'A) Base RI'!B250</f>
        <v>Henniez</v>
      </c>
      <c r="C259" s="32">
        <f>'D) Ecrêtage'!M248</f>
        <v>13558.497971014494</v>
      </c>
      <c r="D259" s="472">
        <f>'A) Base RI'!AN250</f>
        <v>341</v>
      </c>
      <c r="E259" s="10">
        <f t="shared" si="9"/>
        <v>257358.80594983502</v>
      </c>
      <c r="F259" s="472">
        <f>'F) Population'!K251</f>
        <v>34065.694164989938</v>
      </c>
      <c r="G259" s="10">
        <f>'G) Solidarité'!I248</f>
        <v>34176.095356170961</v>
      </c>
      <c r="H259" s="472">
        <f t="shared" si="10"/>
        <v>68241.789521160899</v>
      </c>
      <c r="I259" s="58">
        <f t="shared" si="11"/>
        <v>189117.01642867411</v>
      </c>
    </row>
    <row r="260" spans="1:9" x14ac:dyDescent="0.25">
      <c r="A260" s="50">
        <f>'A) Base RI'!A251</f>
        <v>5821</v>
      </c>
      <c r="B260" s="33" t="str">
        <f>'A) Base RI'!B251</f>
        <v>Missy</v>
      </c>
      <c r="C260" s="32">
        <f>'D) Ecrêtage'!M249</f>
        <v>8603.5648611111101</v>
      </c>
      <c r="D260" s="472">
        <f>'A) Base RI'!AN251</f>
        <v>368</v>
      </c>
      <c r="E260" s="10">
        <f t="shared" si="9"/>
        <v>163307.40944174357</v>
      </c>
      <c r="F260" s="472">
        <f>'F) Population'!K252</f>
        <v>36762.977867203219</v>
      </c>
      <c r="G260" s="10">
        <f>'G) Solidarité'!I249</f>
        <v>164232.4555627291</v>
      </c>
      <c r="H260" s="472">
        <f t="shared" si="10"/>
        <v>200995.43342993231</v>
      </c>
      <c r="I260" s="58">
        <f t="shared" si="11"/>
        <v>-37688.023988188739</v>
      </c>
    </row>
    <row r="261" spans="1:9" x14ac:dyDescent="0.25">
      <c r="A261" s="50">
        <f>'A) Base RI'!A252</f>
        <v>5822</v>
      </c>
      <c r="B261" s="33" t="str">
        <f>'A) Base RI'!B252</f>
        <v>Payerne</v>
      </c>
      <c r="C261" s="32">
        <f>'D) Ecrêtage'!M250</f>
        <v>249319.03186666669</v>
      </c>
      <c r="D261" s="472">
        <f>'A) Base RI'!AN252</f>
        <v>9971</v>
      </c>
      <c r="E261" s="10">
        <f t="shared" si="9"/>
        <v>4732415.6760539161</v>
      </c>
      <c r="F261" s="472">
        <f>'F) Population'!K253</f>
        <v>5020294.3158953711</v>
      </c>
      <c r="G261" s="10">
        <f>'G) Solidarité'!I250</f>
        <v>4466566.5223928764</v>
      </c>
      <c r="H261" s="472">
        <f t="shared" si="10"/>
        <v>9486860.8382882476</v>
      </c>
      <c r="I261" s="58">
        <f t="shared" si="11"/>
        <v>-4754445.1622343315</v>
      </c>
    </row>
    <row r="262" spans="1:9" x14ac:dyDescent="0.25">
      <c r="A262" s="50">
        <f>'A) Base RI'!A253</f>
        <v>5827</v>
      </c>
      <c r="B262" s="33" t="str">
        <f>'A) Base RI'!B253</f>
        <v>Trey</v>
      </c>
      <c r="C262" s="32">
        <f>'D) Ecrêtage'!M251</f>
        <v>7228.8600000000006</v>
      </c>
      <c r="D262" s="472">
        <f>'A) Base RI'!AN253</f>
        <v>267</v>
      </c>
      <c r="E262" s="10">
        <f t="shared" si="9"/>
        <v>137213.63398480651</v>
      </c>
      <c r="F262" s="472">
        <f>'F) Population'!K254</f>
        <v>26673.138832997985</v>
      </c>
      <c r="G262" s="10">
        <f>'G) Solidarité'!I251</f>
        <v>122039.95381030705</v>
      </c>
      <c r="H262" s="472">
        <f t="shared" si="10"/>
        <v>148713.09264330505</v>
      </c>
      <c r="I262" s="58">
        <f t="shared" si="11"/>
        <v>-11499.458658498537</v>
      </c>
    </row>
    <row r="263" spans="1:9" x14ac:dyDescent="0.25">
      <c r="A263" s="50">
        <f>'A) Base RI'!A254</f>
        <v>5828</v>
      </c>
      <c r="B263" s="33" t="str">
        <f>'A) Base RI'!B254</f>
        <v>Treytorrens (Payerne)</v>
      </c>
      <c r="C263" s="32">
        <f>'D) Ecrêtage'!M252</f>
        <v>2672.2867063492063</v>
      </c>
      <c r="D263" s="472">
        <f>'A) Base RI'!AN254</f>
        <v>119</v>
      </c>
      <c r="E263" s="10">
        <f t="shared" si="9"/>
        <v>50723.650759243377</v>
      </c>
      <c r="F263" s="472">
        <f>'F) Population'!K255</f>
        <v>11888.028169014084</v>
      </c>
      <c r="G263" s="10">
        <f>'G) Solidarité'!I252</f>
        <v>75362.691400427124</v>
      </c>
      <c r="H263" s="472">
        <f t="shared" si="10"/>
        <v>87250.719569441208</v>
      </c>
      <c r="I263" s="58">
        <f t="shared" si="11"/>
        <v>-36527.06881019783</v>
      </c>
    </row>
    <row r="264" spans="1:9" x14ac:dyDescent="0.25">
      <c r="A264" s="50">
        <f>'A) Base RI'!A255</f>
        <v>5830</v>
      </c>
      <c r="B264" s="33" t="str">
        <f>'A) Base RI'!B255</f>
        <v>Villarzel</v>
      </c>
      <c r="C264" s="32">
        <f>'D) Ecrêtage'!M253</f>
        <v>12137.70417721519</v>
      </c>
      <c r="D264" s="472">
        <f>'A) Base RI'!AN255</f>
        <v>446</v>
      </c>
      <c r="E264" s="10">
        <f t="shared" si="9"/>
        <v>230390.19961491326</v>
      </c>
      <c r="F264" s="472">
        <f>'F) Population'!K256</f>
        <v>44555.13078470825</v>
      </c>
      <c r="G264" s="10">
        <f>'G) Solidarité'!I253</f>
        <v>197243.08701432616</v>
      </c>
      <c r="H264" s="472">
        <f t="shared" si="10"/>
        <v>241798.21779903441</v>
      </c>
      <c r="I264" s="58">
        <f t="shared" si="11"/>
        <v>-11408.018184121145</v>
      </c>
    </row>
    <row r="265" spans="1:9" x14ac:dyDescent="0.25">
      <c r="A265" s="50">
        <f>'A) Base RI'!A256</f>
        <v>5831</v>
      </c>
      <c r="B265" s="33" t="str">
        <f>'A) Base RI'!B256</f>
        <v>Valbroye</v>
      </c>
      <c r="C265" s="32">
        <f>'D) Ecrêtage'!M254</f>
        <v>85960.311415525095</v>
      </c>
      <c r="D265" s="472">
        <f>'A) Base RI'!AN256</f>
        <v>3174</v>
      </c>
      <c r="E265" s="10">
        <f t="shared" si="9"/>
        <v>1631644.0915704335</v>
      </c>
      <c r="F265" s="472">
        <f>'F) Population'!K257</f>
        <v>886107.64587525139</v>
      </c>
      <c r="G265" s="10">
        <f>'G) Solidarité'!I254</f>
        <v>1207435.4913777546</v>
      </c>
      <c r="H265" s="472">
        <f t="shared" si="10"/>
        <v>2093543.137253006</v>
      </c>
      <c r="I265" s="58">
        <f t="shared" si="11"/>
        <v>-461899.04568257253</v>
      </c>
    </row>
    <row r="266" spans="1:9" x14ac:dyDescent="0.25">
      <c r="A266" s="50">
        <f>'A) Base RI'!A257</f>
        <v>5841</v>
      </c>
      <c r="B266" s="33" t="str">
        <f>'A) Base RI'!B257</f>
        <v>Château-d'Oex</v>
      </c>
      <c r="C266" s="32">
        <f>'D) Ecrêtage'!M255</f>
        <v>118196.91686746987</v>
      </c>
      <c r="D266" s="472">
        <f>'A) Base RI'!AN257</f>
        <v>3460</v>
      </c>
      <c r="E266" s="10">
        <f t="shared" si="9"/>
        <v>2243538.8829200747</v>
      </c>
      <c r="F266" s="472">
        <f>'F) Population'!K258</f>
        <v>1028963.782696177</v>
      </c>
      <c r="G266" s="10">
        <f>'G) Solidarité'!I255</f>
        <v>1031709.8413675834</v>
      </c>
      <c r="H266" s="472">
        <f t="shared" si="10"/>
        <v>2060673.6240637605</v>
      </c>
      <c r="I266" s="58">
        <f t="shared" si="11"/>
        <v>182865.25885631423</v>
      </c>
    </row>
    <row r="267" spans="1:9" x14ac:dyDescent="0.25">
      <c r="A267" s="50">
        <f>'A) Base RI'!A258</f>
        <v>5842</v>
      </c>
      <c r="B267" s="33" t="str">
        <f>'A) Base RI'!B258</f>
        <v>Rossinière</v>
      </c>
      <c r="C267" s="32">
        <f>'D) Ecrêtage'!M256</f>
        <v>16178.883744855966</v>
      </c>
      <c r="D267" s="472">
        <f>'A) Base RI'!AN258</f>
        <v>548</v>
      </c>
      <c r="E267" s="10">
        <f t="shared" si="9"/>
        <v>307097.3061380912</v>
      </c>
      <c r="F267" s="472">
        <f>'F) Population'!K259</f>
        <v>54744.86921529175</v>
      </c>
      <c r="G267" s="10">
        <f>'G) Solidarité'!I256</f>
        <v>221820.37071227457</v>
      </c>
      <c r="H267" s="472">
        <f t="shared" si="10"/>
        <v>276565.23992756632</v>
      </c>
      <c r="I267" s="58">
        <f t="shared" si="11"/>
        <v>30532.066210524878</v>
      </c>
    </row>
    <row r="268" spans="1:9" x14ac:dyDescent="0.25">
      <c r="A268" s="50">
        <f>'A) Base RI'!A259</f>
        <v>5843</v>
      </c>
      <c r="B268" s="33" t="str">
        <f>'A) Base RI'!B259</f>
        <v>Rougemont</v>
      </c>
      <c r="C268" s="32">
        <f>'D) Ecrêtage'!M257</f>
        <v>85447.281802796962</v>
      </c>
      <c r="D268" s="472">
        <f>'A) Base RI'!AN259</f>
        <v>882</v>
      </c>
      <c r="E268" s="10">
        <f t="shared" si="9"/>
        <v>1621906.0889663929</v>
      </c>
      <c r="F268" s="472">
        <f>'F) Population'!K260</f>
        <v>88111.267605633795</v>
      </c>
      <c r="G268" s="10">
        <f>'G) Solidarité'!I257</f>
        <v>0</v>
      </c>
      <c r="H268" s="472">
        <f t="shared" si="10"/>
        <v>88111.267605633795</v>
      </c>
      <c r="I268" s="58">
        <f t="shared" si="11"/>
        <v>1533794.8213607592</v>
      </c>
    </row>
    <row r="269" spans="1:9" x14ac:dyDescent="0.25">
      <c r="A269" s="50">
        <f>'A) Base RI'!A260</f>
        <v>5851</v>
      </c>
      <c r="B269" s="33" t="str">
        <f>'A) Base RI'!B260</f>
        <v>Allaman</v>
      </c>
      <c r="C269" s="32">
        <f>'D) Ecrêtage'!M258</f>
        <v>28536.04056416071</v>
      </c>
      <c r="D269" s="472">
        <f>'A) Base RI'!AN260</f>
        <v>434</v>
      </c>
      <c r="E269" s="10">
        <f t="shared" si="9"/>
        <v>541653.01656780438</v>
      </c>
      <c r="F269" s="472">
        <f>'F) Population'!K261</f>
        <v>43356.338028169012</v>
      </c>
      <c r="G269" s="10">
        <f>'G) Solidarité'!I258</f>
        <v>0</v>
      </c>
      <c r="H269" s="472">
        <f t="shared" si="10"/>
        <v>43356.338028169012</v>
      </c>
      <c r="I269" s="58">
        <f t="shared" si="11"/>
        <v>498296.67853963538</v>
      </c>
    </row>
    <row r="270" spans="1:9" x14ac:dyDescent="0.25">
      <c r="A270" s="50">
        <f>'A) Base RI'!A261</f>
        <v>5852</v>
      </c>
      <c r="B270" s="33" t="str">
        <f>'A) Base RI'!B261</f>
        <v>Bursinel</v>
      </c>
      <c r="C270" s="32">
        <f>'D) Ecrêtage'!M259</f>
        <v>36961.550510972142</v>
      </c>
      <c r="D270" s="472">
        <f>'A) Base RI'!AN261</f>
        <v>471</v>
      </c>
      <c r="E270" s="10">
        <f t="shared" si="9"/>
        <v>701580.70059780777</v>
      </c>
      <c r="F270" s="472">
        <f>'F) Population'!K262</f>
        <v>47052.61569416499</v>
      </c>
      <c r="G270" s="10">
        <f>'G) Solidarité'!I259</f>
        <v>0</v>
      </c>
      <c r="H270" s="472">
        <f t="shared" si="10"/>
        <v>47052.61569416499</v>
      </c>
      <c r="I270" s="58">
        <f t="shared" si="11"/>
        <v>654528.08490364277</v>
      </c>
    </row>
    <row r="271" spans="1:9" x14ac:dyDescent="0.25">
      <c r="A271" s="50">
        <f>'A) Base RI'!A262</f>
        <v>5853</v>
      </c>
      <c r="B271" s="33" t="str">
        <f>'A) Base RI'!B262</f>
        <v>Bursins</v>
      </c>
      <c r="C271" s="32">
        <f>'D) Ecrêtage'!M260</f>
        <v>36845.197464788725</v>
      </c>
      <c r="D271" s="472">
        <f>'A) Base RI'!AN262</f>
        <v>752</v>
      </c>
      <c r="E271" s="10">
        <f t="shared" si="9"/>
        <v>699372.16089832154</v>
      </c>
      <c r="F271" s="472">
        <f>'F) Population'!K263</f>
        <v>75124.346076458751</v>
      </c>
      <c r="G271" s="10">
        <f>'G) Solidarité'!I260</f>
        <v>0</v>
      </c>
      <c r="H271" s="472">
        <f t="shared" si="10"/>
        <v>75124.346076458751</v>
      </c>
      <c r="I271" s="58">
        <f t="shared" si="11"/>
        <v>624247.81482186285</v>
      </c>
    </row>
    <row r="272" spans="1:9" x14ac:dyDescent="0.25">
      <c r="A272" s="50">
        <f>'A) Base RI'!A263</f>
        <v>5854</v>
      </c>
      <c r="B272" s="33" t="str">
        <f>'A) Base RI'!B263</f>
        <v>Burtigny</v>
      </c>
      <c r="C272" s="32">
        <f>'D) Ecrêtage'!M261</f>
        <v>15320.932833333329</v>
      </c>
      <c r="D272" s="472">
        <f>'A) Base RI'!AN263</f>
        <v>391</v>
      </c>
      <c r="E272" s="10">
        <f t="shared" si="9"/>
        <v>290812.22628447687</v>
      </c>
      <c r="F272" s="472">
        <f>'F) Population'!K264</f>
        <v>39060.663983903418</v>
      </c>
      <c r="G272" s="10">
        <f>'G) Solidarité'!I261</f>
        <v>58410.301234648883</v>
      </c>
      <c r="H272" s="472">
        <f t="shared" si="10"/>
        <v>97470.965218552301</v>
      </c>
      <c r="I272" s="58">
        <f t="shared" si="11"/>
        <v>193341.26106592457</v>
      </c>
    </row>
    <row r="273" spans="1:9" x14ac:dyDescent="0.25">
      <c r="A273" s="50">
        <f>'A) Base RI'!A264</f>
        <v>5855</v>
      </c>
      <c r="B273" s="33" t="str">
        <f>'A) Base RI'!B264</f>
        <v>Dully</v>
      </c>
      <c r="C273" s="32">
        <f>'D) Ecrêtage'!M262</f>
        <v>76995.87834963089</v>
      </c>
      <c r="D273" s="472">
        <f>'A) Base RI'!AN264</f>
        <v>635</v>
      </c>
      <c r="E273" s="10">
        <f t="shared" ref="E273:E324" si="12">C273*E$15</f>
        <v>1461486.9108275634</v>
      </c>
      <c r="F273" s="472">
        <f>'F) Population'!K265</f>
        <v>63436.116700201208</v>
      </c>
      <c r="G273" s="10">
        <f>'G) Solidarité'!I262</f>
        <v>0</v>
      </c>
      <c r="H273" s="472">
        <f t="shared" ref="H273:H324" si="13">F273+G273</f>
        <v>63436.116700201208</v>
      </c>
      <c r="I273" s="58">
        <f t="shared" ref="I273:I324" si="14">E273-H273</f>
        <v>1398050.7941273621</v>
      </c>
    </row>
    <row r="274" spans="1:9" x14ac:dyDescent="0.25">
      <c r="A274" s="50">
        <f>'A) Base RI'!A265</f>
        <v>5856</v>
      </c>
      <c r="B274" s="33" t="str">
        <f>'A) Base RI'!B265</f>
        <v>Essertines-sur-Rolle</v>
      </c>
      <c r="C274" s="32">
        <f>'D) Ecrêtage'!M263</f>
        <v>37425.966018099534</v>
      </c>
      <c r="D274" s="472">
        <f>'A) Base RI'!AN265</f>
        <v>726</v>
      </c>
      <c r="E274" s="10">
        <f t="shared" si="12"/>
        <v>710395.94109379838</v>
      </c>
      <c r="F274" s="472">
        <f>'F) Population'!K266</f>
        <v>72526.961770623733</v>
      </c>
      <c r="G274" s="10">
        <f>'G) Solidarité'!I263</f>
        <v>0</v>
      </c>
      <c r="H274" s="472">
        <f t="shared" si="13"/>
        <v>72526.961770623733</v>
      </c>
      <c r="I274" s="58">
        <f t="shared" si="14"/>
        <v>637868.97932317469</v>
      </c>
    </row>
    <row r="275" spans="1:9" x14ac:dyDescent="0.25">
      <c r="A275" s="50">
        <f>'A) Base RI'!A266</f>
        <v>5857</v>
      </c>
      <c r="B275" s="33" t="str">
        <f>'A) Base RI'!B266</f>
        <v>Gilly</v>
      </c>
      <c r="C275" s="32">
        <f>'D) Ecrêtage'!M264</f>
        <v>86953.061939550258</v>
      </c>
      <c r="D275" s="472">
        <f>'A) Base RI'!AN266</f>
        <v>1324</v>
      </c>
      <c r="E275" s="10">
        <f t="shared" si="12"/>
        <v>1650487.8521415074</v>
      </c>
      <c r="F275" s="472">
        <f>'F) Population'!K267</f>
        <v>213185.31187122734</v>
      </c>
      <c r="G275" s="10">
        <f>'G) Solidarité'!I264</f>
        <v>0</v>
      </c>
      <c r="H275" s="472">
        <f t="shared" si="13"/>
        <v>213185.31187122734</v>
      </c>
      <c r="I275" s="58">
        <f t="shared" si="14"/>
        <v>1437302.5402702801</v>
      </c>
    </row>
    <row r="276" spans="1:9" x14ac:dyDescent="0.25">
      <c r="A276" s="50">
        <f>'A) Base RI'!A267</f>
        <v>5858</v>
      </c>
      <c r="B276" s="33" t="str">
        <f>'A) Base RI'!B267</f>
        <v>Luins</v>
      </c>
      <c r="C276" s="32">
        <f>'D) Ecrêtage'!M265</f>
        <v>41997.103540905235</v>
      </c>
      <c r="D276" s="472">
        <f>'A) Base RI'!AN267</f>
        <v>613</v>
      </c>
      <c r="E276" s="10">
        <f t="shared" si="12"/>
        <v>797162.37327653205</v>
      </c>
      <c r="F276" s="472">
        <f>'F) Population'!K268</f>
        <v>61238.329979879272</v>
      </c>
      <c r="G276" s="10">
        <f>'G) Solidarité'!I265</f>
        <v>0</v>
      </c>
      <c r="H276" s="472">
        <f t="shared" si="13"/>
        <v>61238.329979879272</v>
      </c>
      <c r="I276" s="58">
        <f t="shared" si="14"/>
        <v>735924.04329665273</v>
      </c>
    </row>
    <row r="277" spans="1:9" x14ac:dyDescent="0.25">
      <c r="A277" s="50">
        <f>'A) Base RI'!A268</f>
        <v>5859</v>
      </c>
      <c r="B277" s="33" t="str">
        <f>'A) Base RI'!B268</f>
        <v>Mont-sur-Rolle</v>
      </c>
      <c r="C277" s="32">
        <f>'D) Ecrêtage'!M266</f>
        <v>142920.65553846155</v>
      </c>
      <c r="D277" s="472">
        <f>'A) Base RI'!AN268</f>
        <v>2651</v>
      </c>
      <c r="E277" s="10">
        <f t="shared" si="12"/>
        <v>2712829.2037642272</v>
      </c>
      <c r="F277" s="472">
        <f>'F) Population'!K269</f>
        <v>677168.05835010053</v>
      </c>
      <c r="G277" s="10">
        <f>'G) Solidarité'!I266</f>
        <v>0</v>
      </c>
      <c r="H277" s="472">
        <f t="shared" si="13"/>
        <v>677168.05835010053</v>
      </c>
      <c r="I277" s="58">
        <f t="shared" si="14"/>
        <v>2035661.1454141266</v>
      </c>
    </row>
    <row r="278" spans="1:9" x14ac:dyDescent="0.25">
      <c r="A278" s="50">
        <f>'A) Base RI'!A269</f>
        <v>5860</v>
      </c>
      <c r="B278" s="33" t="str">
        <f>'A) Base RI'!B269</f>
        <v>Perroy</v>
      </c>
      <c r="C278" s="32">
        <f>'D) Ecrêtage'!M267</f>
        <v>93915.344201922679</v>
      </c>
      <c r="D278" s="472">
        <f>'A) Base RI'!AN269</f>
        <v>1542</v>
      </c>
      <c r="E278" s="10">
        <f t="shared" si="12"/>
        <v>1782641.4766477337</v>
      </c>
      <c r="F278" s="472">
        <f>'F) Population'!K270</f>
        <v>289408.55130784702</v>
      </c>
      <c r="G278" s="10">
        <f>'G) Solidarité'!I267</f>
        <v>0</v>
      </c>
      <c r="H278" s="472">
        <f t="shared" si="13"/>
        <v>289408.55130784702</v>
      </c>
      <c r="I278" s="58">
        <f t="shared" si="14"/>
        <v>1493232.9253398867</v>
      </c>
    </row>
    <row r="279" spans="1:9" x14ac:dyDescent="0.25">
      <c r="A279" s="50">
        <f>'A) Base RI'!A270</f>
        <v>5861</v>
      </c>
      <c r="B279" s="33" t="str">
        <f>'A) Base RI'!B270</f>
        <v>Rolle</v>
      </c>
      <c r="C279" s="32">
        <f>'D) Ecrêtage'!M268</f>
        <v>583882.08549392514</v>
      </c>
      <c r="D279" s="472">
        <f>'A) Base RI'!AN270</f>
        <v>6246</v>
      </c>
      <c r="E279" s="10">
        <f t="shared" si="12"/>
        <v>11082879.287916619</v>
      </c>
      <c r="F279" s="472">
        <f>'F) Population'!K271</f>
        <v>2545037.0221327962</v>
      </c>
      <c r="G279" s="10">
        <f>'G) Solidarité'!I268</f>
        <v>0</v>
      </c>
      <c r="H279" s="472">
        <f t="shared" si="13"/>
        <v>2545037.0221327962</v>
      </c>
      <c r="I279" s="58">
        <f t="shared" si="14"/>
        <v>8537842.265783824</v>
      </c>
    </row>
    <row r="280" spans="1:9" x14ac:dyDescent="0.25">
      <c r="A280" s="50">
        <f>'A) Base RI'!A271</f>
        <v>5862</v>
      </c>
      <c r="B280" s="33" t="str">
        <f>'A) Base RI'!B271</f>
        <v>Tartegnin</v>
      </c>
      <c r="C280" s="32">
        <f>'D) Ecrêtage'!M269</f>
        <v>12310.23827160494</v>
      </c>
      <c r="D280" s="472">
        <f>'A) Base RI'!AN271</f>
        <v>246</v>
      </c>
      <c r="E280" s="10">
        <f t="shared" si="12"/>
        <v>233665.13232594865</v>
      </c>
      <c r="F280" s="472">
        <f>'F) Population'!K272</f>
        <v>24575.251509054324</v>
      </c>
      <c r="G280" s="10">
        <f>'G) Solidarité'!I269</f>
        <v>0</v>
      </c>
      <c r="H280" s="472">
        <f t="shared" si="13"/>
        <v>24575.251509054324</v>
      </c>
      <c r="I280" s="58">
        <f t="shared" si="14"/>
        <v>209089.88081689432</v>
      </c>
    </row>
    <row r="281" spans="1:9" x14ac:dyDescent="0.25">
      <c r="A281" s="50">
        <f>'A) Base RI'!A272</f>
        <v>5863</v>
      </c>
      <c r="B281" s="33" t="str">
        <f>'A) Base RI'!B272</f>
        <v>Vinzel</v>
      </c>
      <c r="C281" s="32">
        <f>'D) Ecrêtage'!M270</f>
        <v>22026.585112000605</v>
      </c>
      <c r="D281" s="472">
        <f>'A) Base RI'!AN272</f>
        <v>358</v>
      </c>
      <c r="E281" s="10">
        <f t="shared" si="12"/>
        <v>418094.66326547187</v>
      </c>
      <c r="F281" s="472">
        <f>'F) Population'!K273</f>
        <v>35763.983903420522</v>
      </c>
      <c r="G281" s="10">
        <f>'G) Solidarité'!I270</f>
        <v>0</v>
      </c>
      <c r="H281" s="472">
        <f t="shared" si="13"/>
        <v>35763.983903420522</v>
      </c>
      <c r="I281" s="58">
        <f t="shared" si="14"/>
        <v>382330.67936205136</v>
      </c>
    </row>
    <row r="282" spans="1:9" x14ac:dyDescent="0.25">
      <c r="A282" s="50">
        <f>'A) Base RI'!A273</f>
        <v>5871</v>
      </c>
      <c r="B282" s="33" t="str">
        <f>'A) Base RI'!B273</f>
        <v>L'Abbaye</v>
      </c>
      <c r="C282" s="32">
        <f>'D) Ecrêtage'!M271</f>
        <v>44627.892122623205</v>
      </c>
      <c r="D282" s="472">
        <f>'A) Base RI'!AN273</f>
        <v>1481</v>
      </c>
      <c r="E282" s="10">
        <f t="shared" si="12"/>
        <v>847098.33296357235</v>
      </c>
      <c r="F282" s="472">
        <f>'F) Population'!K274</f>
        <v>268080.03018108651</v>
      </c>
      <c r="G282" s="10">
        <f>'G) Solidarité'!I271</f>
        <v>524665.57206407946</v>
      </c>
      <c r="H282" s="472">
        <f t="shared" si="13"/>
        <v>792745.60224516597</v>
      </c>
      <c r="I282" s="58">
        <f t="shared" si="14"/>
        <v>54352.730718406383</v>
      </c>
    </row>
    <row r="283" spans="1:9" x14ac:dyDescent="0.25">
      <c r="A283" s="50">
        <f>'A) Base RI'!A274</f>
        <v>5872</v>
      </c>
      <c r="B283" s="33" t="str">
        <f>'A) Base RI'!B274</f>
        <v>Le Chenit</v>
      </c>
      <c r="C283" s="32">
        <f>'D) Ecrêtage'!M272</f>
        <v>195855.08877191509</v>
      </c>
      <c r="D283" s="472">
        <f>'A) Base RI'!AN274</f>
        <v>4605</v>
      </c>
      <c r="E283" s="10">
        <f t="shared" si="12"/>
        <v>3717597.0297960318</v>
      </c>
      <c r="F283" s="472">
        <f>'F) Population'!K275</f>
        <v>1600887.8269617704</v>
      </c>
      <c r="G283" s="10">
        <f>'G) Solidarité'!I272</f>
        <v>214834.35038129706</v>
      </c>
      <c r="H283" s="472">
        <f t="shared" si="13"/>
        <v>1815722.1773430675</v>
      </c>
      <c r="I283" s="58">
        <f t="shared" si="14"/>
        <v>1901874.8524529643</v>
      </c>
    </row>
    <row r="284" spans="1:9" x14ac:dyDescent="0.25">
      <c r="A284" s="50">
        <f>'A) Base RI'!A275</f>
        <v>5873</v>
      </c>
      <c r="B284" s="33" t="str">
        <f>'A) Base RI'!B275</f>
        <v>Le Lieu</v>
      </c>
      <c r="C284" s="32">
        <f>'D) Ecrêtage'!M273</f>
        <v>31663.23595238095</v>
      </c>
      <c r="D284" s="472">
        <f>'A) Base RI'!AN275</f>
        <v>875</v>
      </c>
      <c r="E284" s="10">
        <f t="shared" si="12"/>
        <v>601011.45529787068</v>
      </c>
      <c r="F284" s="472">
        <f>'F) Population'!K276</f>
        <v>87411.971830985916</v>
      </c>
      <c r="G284" s="10">
        <f>'G) Solidarité'!I273</f>
        <v>151099.57085519581</v>
      </c>
      <c r="H284" s="472">
        <f t="shared" si="13"/>
        <v>238511.54268618173</v>
      </c>
      <c r="I284" s="58">
        <f t="shared" si="14"/>
        <v>362499.91261168895</v>
      </c>
    </row>
    <row r="285" spans="1:9" x14ac:dyDescent="0.25">
      <c r="A285" s="50">
        <f>'A) Base RI'!A276</f>
        <v>5881</v>
      </c>
      <c r="B285" s="33" t="str">
        <f>'A) Base RI'!B276</f>
        <v>Blonay</v>
      </c>
      <c r="C285" s="32">
        <f>'D) Ecrêtage'!M274</f>
        <v>333471.52885714278</v>
      </c>
      <c r="D285" s="472">
        <f>'A) Base RI'!AN276</f>
        <v>6175</v>
      </c>
      <c r="E285" s="10">
        <f t="shared" si="12"/>
        <v>6329744.9812221881</v>
      </c>
      <c r="F285" s="472">
        <f>'F) Population'!K277</f>
        <v>2502479.8792756535</v>
      </c>
      <c r="G285" s="10">
        <f>'G) Solidarité'!I274</f>
        <v>0</v>
      </c>
      <c r="H285" s="472">
        <f t="shared" si="13"/>
        <v>2502479.8792756535</v>
      </c>
      <c r="I285" s="58">
        <f t="shared" si="14"/>
        <v>3827265.1019465346</v>
      </c>
    </row>
    <row r="286" spans="1:9" x14ac:dyDescent="0.25">
      <c r="A286" s="50">
        <f>'A) Base RI'!A277</f>
        <v>5882</v>
      </c>
      <c r="B286" s="33" t="str">
        <f>'A) Base RI'!B277</f>
        <v>Chardonne</v>
      </c>
      <c r="C286" s="32">
        <f>'D) Ecrêtage'!M275</f>
        <v>161419.68117647059</v>
      </c>
      <c r="D286" s="472">
        <f>'A) Base RI'!AN277</f>
        <v>2941</v>
      </c>
      <c r="E286" s="10">
        <f t="shared" si="12"/>
        <v>3063965.9712447599</v>
      </c>
      <c r="F286" s="472">
        <f>'F) Population'!K278</f>
        <v>778565.9456740442</v>
      </c>
      <c r="G286" s="10">
        <f>'G) Solidarité'!I275</f>
        <v>0</v>
      </c>
      <c r="H286" s="472">
        <f t="shared" si="13"/>
        <v>778565.9456740442</v>
      </c>
      <c r="I286" s="58">
        <f t="shared" si="14"/>
        <v>2285400.0255707158</v>
      </c>
    </row>
    <row r="287" spans="1:9" x14ac:dyDescent="0.25">
      <c r="A287" s="50">
        <f>'A) Base RI'!A278</f>
        <v>5883</v>
      </c>
      <c r="B287" s="33" t="str">
        <f>'A) Base RI'!B278</f>
        <v>Corseaux</v>
      </c>
      <c r="C287" s="32">
        <f>'D) Ecrêtage'!M276</f>
        <v>151018.5452053966</v>
      </c>
      <c r="D287" s="472">
        <f>'A) Base RI'!AN278</f>
        <v>2282</v>
      </c>
      <c r="E287" s="10">
        <f t="shared" si="12"/>
        <v>2866538.2075086865</v>
      </c>
      <c r="F287" s="472">
        <f>'F) Population'!K279</f>
        <v>548147.98792756535</v>
      </c>
      <c r="G287" s="10">
        <f>'G) Solidarité'!I276</f>
        <v>0</v>
      </c>
      <c r="H287" s="472">
        <f t="shared" si="13"/>
        <v>548147.98792756535</v>
      </c>
      <c r="I287" s="58">
        <f t="shared" si="14"/>
        <v>2318390.2195811211</v>
      </c>
    </row>
    <row r="288" spans="1:9" x14ac:dyDescent="0.25">
      <c r="A288" s="50">
        <f>'A) Base RI'!A279</f>
        <v>5884</v>
      </c>
      <c r="B288" s="33" t="str">
        <f>'A) Base RI'!B279</f>
        <v>Corsier-sur-Vevey</v>
      </c>
      <c r="C288" s="32">
        <f>'D) Ecrêtage'!M277</f>
        <v>119111.03626262626</v>
      </c>
      <c r="D288" s="472">
        <f>'A) Base RI'!AN279</f>
        <v>3386</v>
      </c>
      <c r="E288" s="10">
        <f t="shared" si="12"/>
        <v>2260890.1172924936</v>
      </c>
      <c r="F288" s="472">
        <f>'F) Population'!K280</f>
        <v>992001.00603621721</v>
      </c>
      <c r="G288" s="10">
        <f>'G) Solidarité'!I277</f>
        <v>578884.36328077002</v>
      </c>
      <c r="H288" s="472">
        <f t="shared" si="13"/>
        <v>1570885.3693169872</v>
      </c>
      <c r="I288" s="58">
        <f t="shared" si="14"/>
        <v>690004.74797550635</v>
      </c>
    </row>
    <row r="289" spans="1:9" x14ac:dyDescent="0.25">
      <c r="A289" s="50">
        <f>'A) Base RI'!A280</f>
        <v>5885</v>
      </c>
      <c r="B289" s="33" t="str">
        <f>'A) Base RI'!B280</f>
        <v>Jongny</v>
      </c>
      <c r="C289" s="32">
        <f>'D) Ecrêtage'!M278</f>
        <v>83805.46166666667</v>
      </c>
      <c r="D289" s="472">
        <f>'A) Base RI'!AN280</f>
        <v>1536</v>
      </c>
      <c r="E289" s="10">
        <f t="shared" si="12"/>
        <v>1590742.1008371627</v>
      </c>
      <c r="F289" s="472">
        <f>'F) Population'!K281</f>
        <v>287310.66398390342</v>
      </c>
      <c r="G289" s="10">
        <f>'G) Solidarité'!I278</f>
        <v>0</v>
      </c>
      <c r="H289" s="472">
        <f t="shared" si="13"/>
        <v>287310.66398390342</v>
      </c>
      <c r="I289" s="58">
        <f t="shared" si="14"/>
        <v>1303431.4368532593</v>
      </c>
    </row>
    <row r="290" spans="1:9" x14ac:dyDescent="0.25">
      <c r="A290" s="50">
        <f>'A) Base RI'!A281</f>
        <v>5886</v>
      </c>
      <c r="B290" s="33" t="str">
        <f>'A) Base RI'!B281</f>
        <v>Montreux</v>
      </c>
      <c r="C290" s="32">
        <f>'D) Ecrêtage'!M279</f>
        <v>1120949.2064615386</v>
      </c>
      <c r="D290" s="472">
        <f>'A) Base RI'!AN281</f>
        <v>26006</v>
      </c>
      <c r="E290" s="10">
        <f t="shared" si="12"/>
        <v>21277146.622146901</v>
      </c>
      <c r="F290" s="472">
        <f>'F) Population'!K282</f>
        <v>21284865.090543255</v>
      </c>
      <c r="G290" s="10">
        <f>'G) Solidarité'!I279</f>
        <v>854905.75675739918</v>
      </c>
      <c r="H290" s="472">
        <f t="shared" si="13"/>
        <v>22139770.847300656</v>
      </c>
      <c r="I290" s="58">
        <f t="shared" si="14"/>
        <v>-862624.2251537554</v>
      </c>
    </row>
    <row r="291" spans="1:9" x14ac:dyDescent="0.25">
      <c r="A291" s="50">
        <f>'A) Base RI'!A282</f>
        <v>5888</v>
      </c>
      <c r="B291" s="33" t="str">
        <f>'A) Base RI'!B282</f>
        <v>Saint-Légier-La Chiésaz</v>
      </c>
      <c r="C291" s="32">
        <f>'D) Ecrêtage'!M280</f>
        <v>313162.47635948134</v>
      </c>
      <c r="D291" s="472">
        <f>'A) Base RI'!AN282</f>
        <v>5185</v>
      </c>
      <c r="E291" s="10">
        <f t="shared" si="12"/>
        <v>5944251.4323095884</v>
      </c>
      <c r="F291" s="472">
        <f>'F) Population'!K283</f>
        <v>1909077.4647887321</v>
      </c>
      <c r="G291" s="10">
        <f>'G) Solidarité'!I280</f>
        <v>0</v>
      </c>
      <c r="H291" s="472">
        <f t="shared" si="13"/>
        <v>1909077.4647887321</v>
      </c>
      <c r="I291" s="58">
        <f t="shared" si="14"/>
        <v>4035173.9675208563</v>
      </c>
    </row>
    <row r="292" spans="1:9" x14ac:dyDescent="0.25">
      <c r="A292" s="50">
        <f>'A) Base RI'!A283</f>
        <v>5889</v>
      </c>
      <c r="B292" s="33" t="str">
        <f>'A) Base RI'!B283</f>
        <v>La Tour-de-Peilz</v>
      </c>
      <c r="C292" s="32">
        <f>'D) Ecrêtage'!M281</f>
        <v>645590.04875000007</v>
      </c>
      <c r="D292" s="472">
        <f>'A) Base RI'!AN283</f>
        <v>11871</v>
      </c>
      <c r="E292" s="10">
        <f t="shared" si="12"/>
        <v>12254180.69424721</v>
      </c>
      <c r="F292" s="472">
        <f>'F) Population'!K284</f>
        <v>6633669.5674044257</v>
      </c>
      <c r="G292" s="10">
        <f>'G) Solidarité'!I281</f>
        <v>0</v>
      </c>
      <c r="H292" s="472">
        <f t="shared" si="13"/>
        <v>6633669.5674044257</v>
      </c>
      <c r="I292" s="58">
        <f t="shared" si="14"/>
        <v>5620511.1268427847</v>
      </c>
    </row>
    <row r="293" spans="1:9" x14ac:dyDescent="0.25">
      <c r="A293" s="50">
        <f>'A) Base RI'!A284</f>
        <v>5890</v>
      </c>
      <c r="B293" s="33" t="str">
        <f>'A) Base RI'!B284</f>
        <v>Vevey</v>
      </c>
      <c r="C293" s="32">
        <f>'D) Ecrêtage'!M282</f>
        <v>923815.49078947364</v>
      </c>
      <c r="D293" s="472">
        <f>'A) Base RI'!AN284</f>
        <v>19904</v>
      </c>
      <c r="E293" s="10">
        <f t="shared" si="12"/>
        <v>17535279.507789776</v>
      </c>
      <c r="F293" s="472">
        <f>'F) Population'!K285</f>
        <v>14884210.865191143</v>
      </c>
      <c r="G293" s="10">
        <f>'G) Solidarité'!I282</f>
        <v>0</v>
      </c>
      <c r="H293" s="472">
        <f t="shared" si="13"/>
        <v>14884210.865191143</v>
      </c>
      <c r="I293" s="58">
        <f t="shared" si="14"/>
        <v>2651068.6425986327</v>
      </c>
    </row>
    <row r="294" spans="1:9" x14ac:dyDescent="0.25">
      <c r="A294" s="50">
        <f>'A) Base RI'!A285</f>
        <v>5891</v>
      </c>
      <c r="B294" s="33" t="str">
        <f>'A) Base RI'!B285</f>
        <v>Veytaux</v>
      </c>
      <c r="C294" s="32">
        <f>'D) Ecrêtage'!M283</f>
        <v>37468.229154929577</v>
      </c>
      <c r="D294" s="472">
        <f>'A) Base RI'!AN285</f>
        <v>884</v>
      </c>
      <c r="E294" s="10">
        <f t="shared" si="12"/>
        <v>711198.15314217762</v>
      </c>
      <c r="F294" s="472">
        <f>'F) Population'!K286</f>
        <v>88311.066398390336</v>
      </c>
      <c r="G294" s="10">
        <f>'G) Solidarité'!I283</f>
        <v>47386.226443678766</v>
      </c>
      <c r="H294" s="472">
        <f t="shared" si="13"/>
        <v>135697.29284206912</v>
      </c>
      <c r="I294" s="58">
        <f t="shared" si="14"/>
        <v>575500.86030010856</v>
      </c>
    </row>
    <row r="295" spans="1:9" x14ac:dyDescent="0.25">
      <c r="A295" s="50">
        <f>'A) Base RI'!A286</f>
        <v>5902</v>
      </c>
      <c r="B295" s="33" t="str">
        <f>'A) Base RI'!B286</f>
        <v>Belmont-sur-Yverdon</v>
      </c>
      <c r="C295" s="32">
        <f>'D) Ecrêtage'!M284</f>
        <v>10322.452500000001</v>
      </c>
      <c r="D295" s="472">
        <f>'A) Base RI'!AN286</f>
        <v>384</v>
      </c>
      <c r="E295" s="10">
        <f t="shared" si="12"/>
        <v>195934.24401088842</v>
      </c>
      <c r="F295" s="472">
        <f>'F) Population'!K287</f>
        <v>38361.368209255532</v>
      </c>
      <c r="G295" s="10">
        <f>'G) Solidarité'!I284</f>
        <v>160104.57889139897</v>
      </c>
      <c r="H295" s="472">
        <f t="shared" si="13"/>
        <v>198465.94710065451</v>
      </c>
      <c r="I295" s="58">
        <f t="shared" si="14"/>
        <v>-2531.7030897660879</v>
      </c>
    </row>
    <row r="296" spans="1:9" x14ac:dyDescent="0.25">
      <c r="A296" s="50">
        <f>'A) Base RI'!A287</f>
        <v>5903</v>
      </c>
      <c r="B296" s="33" t="str">
        <f>'A) Base RI'!B287</f>
        <v>Bioley-Magnoux</v>
      </c>
      <c r="C296" s="32">
        <f>'D) Ecrêtage'!M285</f>
        <v>5492.9202895752896</v>
      </c>
      <c r="D296" s="472">
        <f>'A) Base RI'!AN287</f>
        <v>225</v>
      </c>
      <c r="E296" s="10">
        <f t="shared" si="12"/>
        <v>104263.12781289181</v>
      </c>
      <c r="F296" s="472">
        <f>'F) Population'!K288</f>
        <v>22477.364185110662</v>
      </c>
      <c r="G296" s="10">
        <f>'G) Solidarité'!I285</f>
        <v>101013.30231980661</v>
      </c>
      <c r="H296" s="472">
        <f t="shared" si="13"/>
        <v>123490.66650491727</v>
      </c>
      <c r="I296" s="58">
        <f t="shared" si="14"/>
        <v>-19227.538692025468</v>
      </c>
    </row>
    <row r="297" spans="1:9" x14ac:dyDescent="0.25">
      <c r="A297" s="50">
        <f>'A) Base RI'!A288</f>
        <v>5904</v>
      </c>
      <c r="B297" s="33" t="str">
        <f>'A) Base RI'!B288</f>
        <v>Chamblon</v>
      </c>
      <c r="C297" s="32">
        <f>'D) Ecrêtage'!M286</f>
        <v>20041.272272727278</v>
      </c>
      <c r="D297" s="472">
        <f>'A) Base RI'!AN288</f>
        <v>542</v>
      </c>
      <c r="E297" s="10">
        <f t="shared" si="12"/>
        <v>380410.71458291513</v>
      </c>
      <c r="F297" s="472">
        <f>'F) Population'!K289</f>
        <v>54145.472837022127</v>
      </c>
      <c r="G297" s="10">
        <f>'G) Solidarité'!I286</f>
        <v>75799.83125479694</v>
      </c>
      <c r="H297" s="472">
        <f t="shared" si="13"/>
        <v>129945.30409181907</v>
      </c>
      <c r="I297" s="58">
        <f t="shared" si="14"/>
        <v>250465.41049109606</v>
      </c>
    </row>
    <row r="298" spans="1:9" x14ac:dyDescent="0.25">
      <c r="A298" s="50">
        <f>'A) Base RI'!A289</f>
        <v>5905</v>
      </c>
      <c r="B298" s="33" t="str">
        <f>'A) Base RI'!B289</f>
        <v>Champvent</v>
      </c>
      <c r="C298" s="32">
        <f>'D) Ecrêtage'!M287</f>
        <v>24102.36943661972</v>
      </c>
      <c r="D298" s="472">
        <f>'A) Base RI'!AN289</f>
        <v>685</v>
      </c>
      <c r="E298" s="10">
        <f t="shared" si="12"/>
        <v>457495.88428091357</v>
      </c>
      <c r="F298" s="472">
        <f>'F) Population'!K290</f>
        <v>68431.086519114688</v>
      </c>
      <c r="G298" s="10">
        <f>'G) Solidarité'!I287</f>
        <v>135410.88183563342</v>
      </c>
      <c r="H298" s="472">
        <f t="shared" si="13"/>
        <v>203841.9683547481</v>
      </c>
      <c r="I298" s="58">
        <f t="shared" si="14"/>
        <v>253653.91592616547</v>
      </c>
    </row>
    <row r="299" spans="1:9" x14ac:dyDescent="0.25">
      <c r="A299" s="50">
        <f>'A) Base RI'!A290</f>
        <v>5907</v>
      </c>
      <c r="B299" s="33" t="str">
        <f>'A) Base RI'!B290</f>
        <v>Chavannes-le-Chêne</v>
      </c>
      <c r="C299" s="32">
        <f>'D) Ecrêtage'!M288</f>
        <v>8071.0708974358949</v>
      </c>
      <c r="D299" s="472">
        <f>'A) Base RI'!AN290</f>
        <v>308</v>
      </c>
      <c r="E299" s="10">
        <f t="shared" si="12"/>
        <v>153199.94687768092</v>
      </c>
      <c r="F299" s="472">
        <f>'F) Population'!K291</f>
        <v>30769.014084507042</v>
      </c>
      <c r="G299" s="10">
        <f>'G) Solidarité'!I288</f>
        <v>140298.62151581925</v>
      </c>
      <c r="H299" s="472">
        <f t="shared" si="13"/>
        <v>171067.63560032629</v>
      </c>
      <c r="I299" s="58">
        <f t="shared" si="14"/>
        <v>-17867.688722645369</v>
      </c>
    </row>
    <row r="300" spans="1:9" x14ac:dyDescent="0.25">
      <c r="A300" s="50">
        <f>'A) Base RI'!A291</f>
        <v>5908</v>
      </c>
      <c r="B300" s="33" t="str">
        <f>'A) Base RI'!B291</f>
        <v>Chêne-Pâquier</v>
      </c>
      <c r="C300" s="32">
        <f>'D) Ecrêtage'!M289</f>
        <v>3125.58</v>
      </c>
      <c r="D300" s="472">
        <f>'A) Base RI'!AN291</f>
        <v>141</v>
      </c>
      <c r="E300" s="10">
        <f t="shared" si="12"/>
        <v>59327.776455794061</v>
      </c>
      <c r="F300" s="472">
        <f>'F) Population'!K292</f>
        <v>14085.814889336016</v>
      </c>
      <c r="G300" s="10">
        <f>'G) Solidarité'!I289</f>
        <v>79990.792759105607</v>
      </c>
      <c r="H300" s="472">
        <f t="shared" si="13"/>
        <v>94076.607648441626</v>
      </c>
      <c r="I300" s="58">
        <f t="shared" si="14"/>
        <v>-34748.831192647565</v>
      </c>
    </row>
    <row r="301" spans="1:9" x14ac:dyDescent="0.25">
      <c r="A301" s="50">
        <f>'A) Base RI'!A292</f>
        <v>5909</v>
      </c>
      <c r="B301" s="33" t="str">
        <f>'A) Base RI'!B292</f>
        <v>Cheseaux-Noréaz</v>
      </c>
      <c r="C301" s="32">
        <f>'D) Ecrêtage'!M290</f>
        <v>32763.333428571434</v>
      </c>
      <c r="D301" s="472">
        <f>'A) Base RI'!AN292</f>
        <v>721</v>
      </c>
      <c r="E301" s="10">
        <f t="shared" si="12"/>
        <v>621892.80760592618</v>
      </c>
      <c r="F301" s="472">
        <f>'F) Population'!K293</f>
        <v>72027.464788732395</v>
      </c>
      <c r="G301" s="10">
        <f>'G) Solidarité'!I290</f>
        <v>0</v>
      </c>
      <c r="H301" s="472">
        <f t="shared" si="13"/>
        <v>72027.464788732395</v>
      </c>
      <c r="I301" s="58">
        <f t="shared" si="14"/>
        <v>549865.34281719383</v>
      </c>
    </row>
    <row r="302" spans="1:9" x14ac:dyDescent="0.25">
      <c r="A302" s="50">
        <f>'A) Base RI'!A293</f>
        <v>5910</v>
      </c>
      <c r="B302" s="33" t="str">
        <f>'A) Base RI'!B293</f>
        <v>Cronay</v>
      </c>
      <c r="C302" s="32">
        <f>'D) Ecrêtage'!M291</f>
        <v>9653.2049367088639</v>
      </c>
      <c r="D302" s="472">
        <f>'A) Base RI'!AN293</f>
        <v>385</v>
      </c>
      <c r="E302" s="10">
        <f t="shared" si="12"/>
        <v>183231.01138573678</v>
      </c>
      <c r="F302" s="472">
        <f>'F) Population'!K294</f>
        <v>38461.267605633802</v>
      </c>
      <c r="G302" s="10">
        <f>'G) Solidarité'!I291</f>
        <v>190692.83690808067</v>
      </c>
      <c r="H302" s="472">
        <f t="shared" si="13"/>
        <v>229154.10451371447</v>
      </c>
      <c r="I302" s="58">
        <f t="shared" si="14"/>
        <v>-45923.093127977685</v>
      </c>
    </row>
    <row r="303" spans="1:9" x14ac:dyDescent="0.25">
      <c r="A303" s="50">
        <f>'A) Base RI'!A294</f>
        <v>5911</v>
      </c>
      <c r="B303" s="33" t="str">
        <f>'A) Base RI'!B294</f>
        <v>Cuarny</v>
      </c>
      <c r="C303" s="32">
        <f>'D) Ecrêtage'!M292</f>
        <v>6896.824556962024</v>
      </c>
      <c r="D303" s="472">
        <f>'A) Base RI'!AN294</f>
        <v>243</v>
      </c>
      <c r="E303" s="10">
        <f t="shared" si="12"/>
        <v>130911.14787344233</v>
      </c>
      <c r="F303" s="472">
        <f>'F) Population'!K295</f>
        <v>24275.553319919516</v>
      </c>
      <c r="G303" s="10">
        <f>'G) Solidarité'!I292</f>
        <v>100437.57811345645</v>
      </c>
      <c r="H303" s="472">
        <f t="shared" si="13"/>
        <v>124713.13143337597</v>
      </c>
      <c r="I303" s="58">
        <f t="shared" si="14"/>
        <v>6198.0164400663634</v>
      </c>
    </row>
    <row r="304" spans="1:9" x14ac:dyDescent="0.25">
      <c r="A304" s="50">
        <f>'A) Base RI'!A295</f>
        <v>5912</v>
      </c>
      <c r="B304" s="33" t="str">
        <f>'A) Base RI'!B295</f>
        <v>Démoret</v>
      </c>
      <c r="C304" s="32">
        <f>'D) Ecrêtage'!M293</f>
        <v>3136.4120987654323</v>
      </c>
      <c r="D304" s="472">
        <f>'A) Base RI'!AN295</f>
        <v>141</v>
      </c>
      <c r="E304" s="10">
        <f t="shared" si="12"/>
        <v>59533.384481857276</v>
      </c>
      <c r="F304" s="472">
        <f>'F) Population'!K296</f>
        <v>14085.814889336016</v>
      </c>
      <c r="G304" s="10">
        <f>'G) Solidarité'!I293</f>
        <v>83810.071744011249</v>
      </c>
      <c r="H304" s="472">
        <f t="shared" si="13"/>
        <v>97895.886633347269</v>
      </c>
      <c r="I304" s="58">
        <f t="shared" si="14"/>
        <v>-38362.502151489993</v>
      </c>
    </row>
    <row r="305" spans="1:9" x14ac:dyDescent="0.25">
      <c r="A305" s="50">
        <f>'A) Base RI'!A296</f>
        <v>5913</v>
      </c>
      <c r="B305" s="33" t="str">
        <f>'A) Base RI'!B296</f>
        <v>Donneloye</v>
      </c>
      <c r="C305" s="32">
        <f>'D) Ecrêtage'!M294</f>
        <v>20372.909452054791</v>
      </c>
      <c r="D305" s="472">
        <f>'A) Base RI'!AN296</f>
        <v>809</v>
      </c>
      <c r="E305" s="10">
        <f t="shared" si="12"/>
        <v>386705.64110521588</v>
      </c>
      <c r="F305" s="472">
        <f>'F) Population'!K297</f>
        <v>80818.611670020124</v>
      </c>
      <c r="G305" s="10">
        <f>'G) Solidarité'!I294</f>
        <v>340272.36785228259</v>
      </c>
      <c r="H305" s="472">
        <f t="shared" si="13"/>
        <v>421090.97952230275</v>
      </c>
      <c r="I305" s="58">
        <f t="shared" si="14"/>
        <v>-34385.338417086867</v>
      </c>
    </row>
    <row r="306" spans="1:9" x14ac:dyDescent="0.25">
      <c r="A306" s="50">
        <f>'A) Base RI'!A297</f>
        <v>5914</v>
      </c>
      <c r="B306" s="33" t="str">
        <f>'A) Base RI'!B297</f>
        <v>Ependes</v>
      </c>
      <c r="C306" s="32">
        <f>'D) Ecrêtage'!M295</f>
        <v>9355.5792000000001</v>
      </c>
      <c r="D306" s="472">
        <f>'A) Base RI'!AN297</f>
        <v>360</v>
      </c>
      <c r="E306" s="10">
        <f t="shared" si="12"/>
        <v>177581.66848779321</v>
      </c>
      <c r="F306" s="472">
        <f>'F) Population'!K298</f>
        <v>35963.782696177062</v>
      </c>
      <c r="G306" s="10">
        <f>'G) Solidarité'!I295</f>
        <v>153358.74940234466</v>
      </c>
      <c r="H306" s="472">
        <f t="shared" si="13"/>
        <v>189322.53209852171</v>
      </c>
      <c r="I306" s="58">
        <f t="shared" si="14"/>
        <v>-11740.863610728498</v>
      </c>
    </row>
    <row r="307" spans="1:9" x14ac:dyDescent="0.25">
      <c r="A307" s="50">
        <f>'A) Base RI'!A298</f>
        <v>5919</v>
      </c>
      <c r="B307" s="33" t="str">
        <f>'A) Base RI'!B298</f>
        <v>Mathod</v>
      </c>
      <c r="C307" s="32">
        <f>'D) Ecrêtage'!M296</f>
        <v>17162.928379629626</v>
      </c>
      <c r="D307" s="472">
        <f>'A) Base RI'!AN298</f>
        <v>611</v>
      </c>
      <c r="E307" s="10">
        <f t="shared" si="12"/>
        <v>325775.81704306731</v>
      </c>
      <c r="F307" s="472">
        <f>'F) Population'!K299</f>
        <v>61038.531187122731</v>
      </c>
      <c r="G307" s="10">
        <f>'G) Solidarité'!I296</f>
        <v>213442.45433319264</v>
      </c>
      <c r="H307" s="472">
        <f t="shared" si="13"/>
        <v>274480.98552031536</v>
      </c>
      <c r="I307" s="58">
        <f t="shared" si="14"/>
        <v>51294.831522751949</v>
      </c>
    </row>
    <row r="308" spans="1:9" x14ac:dyDescent="0.25">
      <c r="A308" s="50">
        <f>'A) Base RI'!A299</f>
        <v>5921</v>
      </c>
      <c r="B308" s="33" t="str">
        <f>'A) Base RI'!B299</f>
        <v>Molondin</v>
      </c>
      <c r="C308" s="32">
        <f>'D) Ecrêtage'!M297</f>
        <v>5558.427777777777</v>
      </c>
      <c r="D308" s="472">
        <f>'A) Base RI'!AN299</f>
        <v>235</v>
      </c>
      <c r="E308" s="10">
        <f t="shared" si="12"/>
        <v>105506.54939104938</v>
      </c>
      <c r="F308" s="472">
        <f>'F) Population'!K300</f>
        <v>23476.35814889336</v>
      </c>
      <c r="G308" s="10">
        <f>'G) Solidarité'!I297</f>
        <v>131059.59456150155</v>
      </c>
      <c r="H308" s="472">
        <f t="shared" si="13"/>
        <v>154535.95271039492</v>
      </c>
      <c r="I308" s="58">
        <f t="shared" si="14"/>
        <v>-49029.40331934554</v>
      </c>
    </row>
    <row r="309" spans="1:9" x14ac:dyDescent="0.25">
      <c r="A309" s="50">
        <f>'A) Base RI'!A300</f>
        <v>5922</v>
      </c>
      <c r="B309" s="33" t="str">
        <f>'A) Base RI'!B300</f>
        <v>Montagny-près-Yverdon</v>
      </c>
      <c r="C309" s="32">
        <f>'D) Ecrêtage'!M298</f>
        <v>39297.928807692319</v>
      </c>
      <c r="D309" s="472">
        <f>'A) Base RI'!AN300</f>
        <v>738</v>
      </c>
      <c r="E309" s="10">
        <f t="shared" si="12"/>
        <v>745928.35105115839</v>
      </c>
      <c r="F309" s="472">
        <f>'F) Population'!K301</f>
        <v>73725.754527162979</v>
      </c>
      <c r="G309" s="10">
        <f>'G) Solidarité'!I298</f>
        <v>0</v>
      </c>
      <c r="H309" s="472">
        <f t="shared" si="13"/>
        <v>73725.754527162979</v>
      </c>
      <c r="I309" s="58">
        <f t="shared" si="14"/>
        <v>672202.59652399539</v>
      </c>
    </row>
    <row r="310" spans="1:9" x14ac:dyDescent="0.25">
      <c r="A310" s="50">
        <f>'A) Base RI'!A301</f>
        <v>5923</v>
      </c>
      <c r="B310" s="33" t="str">
        <f>'A) Base RI'!B301</f>
        <v>Oppens</v>
      </c>
      <c r="C310" s="32">
        <f>'D) Ecrêtage'!M299</f>
        <v>5148.3425925925922</v>
      </c>
      <c r="D310" s="472">
        <f>'A) Base RI'!AN301</f>
        <v>196</v>
      </c>
      <c r="E310" s="10">
        <f t="shared" si="12"/>
        <v>97722.572594902886</v>
      </c>
      <c r="F310" s="472">
        <f>'F) Population'!K302</f>
        <v>19580.281690140844</v>
      </c>
      <c r="G310" s="10">
        <f>'G) Solidarité'!I299</f>
        <v>95962.820087101543</v>
      </c>
      <c r="H310" s="472">
        <f t="shared" si="13"/>
        <v>115543.10177724238</v>
      </c>
      <c r="I310" s="58">
        <f t="shared" si="14"/>
        <v>-17820.529182339495</v>
      </c>
    </row>
    <row r="311" spans="1:9" x14ac:dyDescent="0.25">
      <c r="A311" s="50">
        <f>'A) Base RI'!A302</f>
        <v>5924</v>
      </c>
      <c r="B311" s="33" t="str">
        <f>'A) Base RI'!B302</f>
        <v>Orges</v>
      </c>
      <c r="C311" s="32">
        <f>'D) Ecrêtage'!M300</f>
        <v>10554.565405405407</v>
      </c>
      <c r="D311" s="472">
        <f>'A) Base RI'!AN302</f>
        <v>332</v>
      </c>
      <c r="E311" s="10">
        <f t="shared" si="12"/>
        <v>200340.06391132186</v>
      </c>
      <c r="F311" s="472">
        <f>'F) Population'!K303</f>
        <v>33166.599597585511</v>
      </c>
      <c r="G311" s="10">
        <f>'G) Solidarité'!I300</f>
        <v>95798.328014597268</v>
      </c>
      <c r="H311" s="472">
        <f t="shared" si="13"/>
        <v>128964.92761218277</v>
      </c>
      <c r="I311" s="58">
        <f t="shared" si="14"/>
        <v>71375.136299139092</v>
      </c>
    </row>
    <row r="312" spans="1:9" x14ac:dyDescent="0.25">
      <c r="A312" s="50">
        <f>'A) Base RI'!A303</f>
        <v>5925</v>
      </c>
      <c r="B312" s="33" t="str">
        <f>'A) Base RI'!B303</f>
        <v>Orzens</v>
      </c>
      <c r="C312" s="32">
        <f>'D) Ecrêtage'!M301</f>
        <v>5593.0722784810123</v>
      </c>
      <c r="D312" s="472">
        <f>'A) Base RI'!AN303</f>
        <v>196</v>
      </c>
      <c r="E312" s="10">
        <f t="shared" si="12"/>
        <v>106164.14932230827</v>
      </c>
      <c r="F312" s="472">
        <f>'F) Population'!K304</f>
        <v>19580.281690140844</v>
      </c>
      <c r="G312" s="10">
        <f>'G) Solidarité'!I301</f>
        <v>80263.058759790903</v>
      </c>
      <c r="H312" s="472">
        <f t="shared" si="13"/>
        <v>99843.34044993174</v>
      </c>
      <c r="I312" s="58">
        <f t="shared" si="14"/>
        <v>6320.808872376525</v>
      </c>
    </row>
    <row r="313" spans="1:9" x14ac:dyDescent="0.25">
      <c r="A313" s="50">
        <f>'A) Base RI'!A304</f>
        <v>5926</v>
      </c>
      <c r="B313" s="33" t="str">
        <f>'A) Base RI'!B304</f>
        <v>Pomy</v>
      </c>
      <c r="C313" s="32">
        <f>'D) Ecrêtage'!M302</f>
        <v>26612.015633802817</v>
      </c>
      <c r="D313" s="472">
        <f>'A) Base RI'!AN304</f>
        <v>780</v>
      </c>
      <c r="E313" s="10">
        <f t="shared" si="12"/>
        <v>505132.39608659846</v>
      </c>
      <c r="F313" s="472">
        <f>'F) Population'!K305</f>
        <v>77921.529175050295</v>
      </c>
      <c r="G313" s="10">
        <f>'G) Solidarité'!I302</f>
        <v>170862.09423410482</v>
      </c>
      <c r="H313" s="472">
        <f t="shared" si="13"/>
        <v>248783.62340915512</v>
      </c>
      <c r="I313" s="58">
        <f t="shared" si="14"/>
        <v>256348.77267744334</v>
      </c>
    </row>
    <row r="314" spans="1:9" x14ac:dyDescent="0.25">
      <c r="A314" s="50">
        <f>'A) Base RI'!A305</f>
        <v>5928</v>
      </c>
      <c r="B314" s="33" t="str">
        <f>'A) Base RI'!B305</f>
        <v>Rovray</v>
      </c>
      <c r="C314" s="32">
        <f>'D) Ecrêtage'!M303</f>
        <v>4333.9980821917816</v>
      </c>
      <c r="D314" s="472">
        <f>'A) Base RI'!AN305</f>
        <v>180</v>
      </c>
      <c r="E314" s="10">
        <f t="shared" si="12"/>
        <v>82265.201780186137</v>
      </c>
      <c r="F314" s="472">
        <f>'F) Population'!K306</f>
        <v>17981.891348088531</v>
      </c>
      <c r="G314" s="10">
        <f>'G) Solidarité'!I303</f>
        <v>79917.895359924776</v>
      </c>
      <c r="H314" s="472">
        <f t="shared" si="13"/>
        <v>97899.7867080133</v>
      </c>
      <c r="I314" s="58">
        <f t="shared" si="14"/>
        <v>-15634.584927827163</v>
      </c>
    </row>
    <row r="315" spans="1:9" x14ac:dyDescent="0.25">
      <c r="A315" s="50">
        <f>'A) Base RI'!A306</f>
        <v>5929</v>
      </c>
      <c r="B315" s="33" t="str">
        <f>'A) Base RI'!B306</f>
        <v>Suchy</v>
      </c>
      <c r="C315" s="32">
        <f>'D) Ecrêtage'!M304</f>
        <v>17148.792607142859</v>
      </c>
      <c r="D315" s="472">
        <f>'A) Base RI'!AN306</f>
        <v>599</v>
      </c>
      <c r="E315" s="10">
        <f t="shared" si="12"/>
        <v>325507.50077852607</v>
      </c>
      <c r="F315" s="472">
        <f>'F) Population'!K307</f>
        <v>59839.7384305835</v>
      </c>
      <c r="G315" s="10">
        <f>'G) Solidarité'!I304</f>
        <v>191504.45515389502</v>
      </c>
      <c r="H315" s="472">
        <f t="shared" si="13"/>
        <v>251344.19358447852</v>
      </c>
      <c r="I315" s="58">
        <f t="shared" si="14"/>
        <v>74163.307194047549</v>
      </c>
    </row>
    <row r="316" spans="1:9" x14ac:dyDescent="0.25">
      <c r="A316" s="50">
        <f>'A) Base RI'!A307</f>
        <v>5930</v>
      </c>
      <c r="B316" s="33" t="str">
        <f>'A) Base RI'!B307</f>
        <v>Suscévaz</v>
      </c>
      <c r="C316" s="32">
        <f>'D) Ecrêtage'!M305</f>
        <v>5907.1765277777777</v>
      </c>
      <c r="D316" s="472">
        <f>'A) Base RI'!AN307</f>
        <v>213</v>
      </c>
      <c r="E316" s="10">
        <f t="shared" si="12"/>
        <v>112126.27689098143</v>
      </c>
      <c r="F316" s="472">
        <f>'F) Population'!K308</f>
        <v>21278.571428571428</v>
      </c>
      <c r="G316" s="10">
        <f>'G) Solidarité'!I305</f>
        <v>75971.522276107586</v>
      </c>
      <c r="H316" s="472">
        <f t="shared" si="13"/>
        <v>97250.09370467902</v>
      </c>
      <c r="I316" s="58">
        <f t="shared" si="14"/>
        <v>14876.183186302413</v>
      </c>
    </row>
    <row r="317" spans="1:9" x14ac:dyDescent="0.25">
      <c r="A317" s="50">
        <f>'A) Base RI'!A308</f>
        <v>5931</v>
      </c>
      <c r="B317" s="33" t="str">
        <f>'A) Base RI'!B308</f>
        <v>Treycovagnes</v>
      </c>
      <c r="C317" s="32">
        <f>'D) Ecrêtage'!M306</f>
        <v>12973.060799999999</v>
      </c>
      <c r="D317" s="472">
        <f>'A) Base RI'!AN308</f>
        <v>480</v>
      </c>
      <c r="E317" s="10">
        <f t="shared" si="12"/>
        <v>246246.40901523072</v>
      </c>
      <c r="F317" s="472">
        <f>'F) Population'!K309</f>
        <v>47951.710261569417</v>
      </c>
      <c r="G317" s="10">
        <f>'G) Solidarité'!I306</f>
        <v>193335.63830035552</v>
      </c>
      <c r="H317" s="472">
        <f t="shared" si="13"/>
        <v>241287.34856192494</v>
      </c>
      <c r="I317" s="58">
        <f t="shared" si="14"/>
        <v>4959.0604533057776</v>
      </c>
    </row>
    <row r="318" spans="1:9" x14ac:dyDescent="0.25">
      <c r="A318" s="50">
        <f>'A) Base RI'!A309</f>
        <v>5932</v>
      </c>
      <c r="B318" s="33" t="str">
        <f>'A) Base RI'!B309</f>
        <v>Ursins</v>
      </c>
      <c r="C318" s="32">
        <f>'D) Ecrêtage'!M307</f>
        <v>6683.323116883118</v>
      </c>
      <c r="D318" s="472">
        <f>'A) Base RI'!AN309</f>
        <v>230</v>
      </c>
      <c r="E318" s="10">
        <f t="shared" si="12"/>
        <v>126858.59899931611</v>
      </c>
      <c r="F318" s="472">
        <f>'F) Population'!K310</f>
        <v>22976.861167002011</v>
      </c>
      <c r="G318" s="10">
        <f>'G) Solidarité'!I307</f>
        <v>86652.442363964103</v>
      </c>
      <c r="H318" s="472">
        <f t="shared" si="13"/>
        <v>109629.30353096611</v>
      </c>
      <c r="I318" s="58">
        <f t="shared" si="14"/>
        <v>17229.295468349999</v>
      </c>
    </row>
    <row r="319" spans="1:9" x14ac:dyDescent="0.25">
      <c r="A319" s="50">
        <f>'A) Base RI'!A310</f>
        <v>5933</v>
      </c>
      <c r="B319" s="33" t="str">
        <f>'A) Base RI'!B310</f>
        <v>Valeyres-sous-Montagny</v>
      </c>
      <c r="C319" s="32">
        <f>'D) Ecrêtage'!M308</f>
        <v>22363.871527777774</v>
      </c>
      <c r="D319" s="472">
        <f>'A) Base RI'!AN310</f>
        <v>708</v>
      </c>
      <c r="E319" s="10">
        <f t="shared" si="12"/>
        <v>424496.82000975736</v>
      </c>
      <c r="F319" s="472">
        <f>'F) Population'!K311</f>
        <v>70728.772635814894</v>
      </c>
      <c r="G319" s="10">
        <f>'G) Solidarité'!I308</f>
        <v>196364.06372693204</v>
      </c>
      <c r="H319" s="472">
        <f t="shared" si="13"/>
        <v>267092.83636274695</v>
      </c>
      <c r="I319" s="58">
        <f t="shared" si="14"/>
        <v>157403.98364701041</v>
      </c>
    </row>
    <row r="320" spans="1:9" x14ac:dyDescent="0.25">
      <c r="A320" s="50">
        <f>'A) Base RI'!A311</f>
        <v>5934</v>
      </c>
      <c r="B320" s="33" t="str">
        <f>'A) Base RI'!B311</f>
        <v>Valeyres-sous-Ursins</v>
      </c>
      <c r="C320" s="32">
        <f>'D) Ecrêtage'!M309</f>
        <v>7624.9658227848104</v>
      </c>
      <c r="D320" s="472">
        <f>'A) Base RI'!AN311</f>
        <v>232</v>
      </c>
      <c r="E320" s="10">
        <f t="shared" si="12"/>
        <v>144732.26339343324</v>
      </c>
      <c r="F320" s="472">
        <f>'F) Population'!K312</f>
        <v>23176.659959758552</v>
      </c>
      <c r="G320" s="10">
        <f>'G) Solidarité'!I309</f>
        <v>70113.749385743431</v>
      </c>
      <c r="H320" s="472">
        <f t="shared" si="13"/>
        <v>93290.409345501976</v>
      </c>
      <c r="I320" s="58">
        <f t="shared" si="14"/>
        <v>51441.854047931265</v>
      </c>
    </row>
    <row r="321" spans="1:9" x14ac:dyDescent="0.25">
      <c r="A321" s="50">
        <f>'A) Base RI'!A312</f>
        <v>5935</v>
      </c>
      <c r="B321" s="33" t="str">
        <f>'A) Base RI'!B312</f>
        <v>Villars-Epeney</v>
      </c>
      <c r="C321" s="32">
        <f>'D) Ecrêtage'!M310</f>
        <v>5594.2837181991172</v>
      </c>
      <c r="D321" s="472">
        <f>'A) Base RI'!AN312</f>
        <v>100</v>
      </c>
      <c r="E321" s="10">
        <f t="shared" si="12"/>
        <v>106187.14410240841</v>
      </c>
      <c r="F321" s="472">
        <f>'F) Population'!K313</f>
        <v>9989.9396378269612</v>
      </c>
      <c r="G321" s="10">
        <f>'G) Solidarité'!I310</f>
        <v>0</v>
      </c>
      <c r="H321" s="472">
        <f t="shared" si="13"/>
        <v>9989.9396378269612</v>
      </c>
      <c r="I321" s="58">
        <f t="shared" si="14"/>
        <v>96197.204464581446</v>
      </c>
    </row>
    <row r="322" spans="1:9" x14ac:dyDescent="0.25">
      <c r="A322" s="50">
        <f>'A) Base RI'!A313</f>
        <v>5937</v>
      </c>
      <c r="B322" s="33" t="str">
        <f>'A) Base RI'!B313</f>
        <v>Vugelles-La Mothe</v>
      </c>
      <c r="C322" s="32">
        <f>'D) Ecrêtage'!M311</f>
        <v>2433.2134081632657</v>
      </c>
      <c r="D322" s="472">
        <f>'A) Base RI'!AN313</f>
        <v>132</v>
      </c>
      <c r="E322" s="10">
        <f t="shared" si="12"/>
        <v>46185.713099249107</v>
      </c>
      <c r="F322" s="472">
        <f>'F) Population'!K314</f>
        <v>13186.720321931589</v>
      </c>
      <c r="G322" s="10">
        <f>'G) Solidarité'!I311</f>
        <v>68382.481567021518</v>
      </c>
      <c r="H322" s="472">
        <f t="shared" si="13"/>
        <v>81569.201888953103</v>
      </c>
      <c r="I322" s="58">
        <f t="shared" si="14"/>
        <v>-35383.488789703995</v>
      </c>
    </row>
    <row r="323" spans="1:9" x14ac:dyDescent="0.25">
      <c r="A323" s="50">
        <f>'A) Base RI'!A314</f>
        <v>5938</v>
      </c>
      <c r="B323" s="33" t="str">
        <f>'A) Base RI'!B314</f>
        <v>Yverdon-les-Bains</v>
      </c>
      <c r="C323" s="32">
        <f>'D) Ecrêtage'!M312</f>
        <v>774658.89816993475</v>
      </c>
      <c r="D323" s="472">
        <f>'A) Base RI'!AN314</f>
        <v>30211</v>
      </c>
      <c r="E323" s="10">
        <f t="shared" si="12"/>
        <v>14704083.702902382</v>
      </c>
      <c r="F323" s="472">
        <f>'F) Population'!K315</f>
        <v>25695673.189134806</v>
      </c>
      <c r="G323" s="10">
        <f>'G) Solidarité'!I312</f>
        <v>13632660.289550625</v>
      </c>
      <c r="H323" s="472">
        <f t="shared" si="13"/>
        <v>39328333.478685431</v>
      </c>
      <c r="I323" s="58">
        <f t="shared" si="14"/>
        <v>-24624249.775783047</v>
      </c>
    </row>
    <row r="324" spans="1:9" x14ac:dyDescent="0.25">
      <c r="A324" s="50">
        <f>'A) Base RI'!A315</f>
        <v>5939</v>
      </c>
      <c r="B324" s="33" t="str">
        <f>'A) Base RI'!B315</f>
        <v>Yvonand</v>
      </c>
      <c r="C324" s="32">
        <f>'D) Ecrêtage'!M313</f>
        <v>93821.233287671232</v>
      </c>
      <c r="D324" s="472">
        <f>'A) Base RI'!AN315</f>
        <v>3426</v>
      </c>
      <c r="E324" s="10">
        <f t="shared" si="12"/>
        <v>1780855.1229844904</v>
      </c>
      <c r="F324" s="472">
        <f>'F) Population'!K316</f>
        <v>1011980.8853118711</v>
      </c>
      <c r="G324" s="10">
        <f>'G) Solidarité'!I313</f>
        <v>1281379.3722557882</v>
      </c>
      <c r="H324" s="472">
        <f t="shared" si="13"/>
        <v>2293360.257567659</v>
      </c>
      <c r="I324" s="58">
        <f t="shared" si="14"/>
        <v>-512505.13458316866</v>
      </c>
    </row>
    <row r="325" spans="1:9" x14ac:dyDescent="0.25">
      <c r="A325" s="31"/>
      <c r="B325" s="125">
        <f>COUNTA(B16:B324)</f>
        <v>309</v>
      </c>
      <c r="C325" s="126">
        <f>SUM(C16:C324)</f>
        <v>36057927.800654255</v>
      </c>
      <c r="D325" s="11">
        <f>SUM(D16:D324)</f>
        <v>800162</v>
      </c>
      <c r="E325" s="11">
        <f>SUM(E16:E324)</f>
        <v>684428707.63710344</v>
      </c>
      <c r="F325" s="11">
        <f>SUM(F16:F324)</f>
        <v>418576572.7364186</v>
      </c>
      <c r="G325" s="11">
        <f>SUM(G16:G324)</f>
        <v>116923697.35449605</v>
      </c>
      <c r="H325" s="11">
        <f>F325+G325</f>
        <v>535500270.09091467</v>
      </c>
      <c r="I325" s="38">
        <f>E325-H325</f>
        <v>148928437.54618877</v>
      </c>
    </row>
    <row r="326" spans="1:9" x14ac:dyDescent="0.25">
      <c r="C326" s="76"/>
      <c r="D326" s="76"/>
      <c r="E326" s="37"/>
      <c r="H326" s="37"/>
    </row>
    <row r="327" spans="1:9" x14ac:dyDescent="0.25">
      <c r="C327" s="5"/>
      <c r="D327" s="5"/>
      <c r="E327" s="6"/>
      <c r="F327" s="6"/>
      <c r="G327" s="6"/>
      <c r="H327" s="6"/>
      <c r="I327" s="6"/>
    </row>
    <row r="328" spans="1:9" x14ac:dyDescent="0.25">
      <c r="G328" s="12"/>
    </row>
    <row r="330" spans="1:9" x14ac:dyDescent="0.25">
      <c r="F330" s="12"/>
    </row>
    <row r="331" spans="1:9" x14ac:dyDescent="0.25">
      <c r="F331" s="12"/>
    </row>
    <row r="333" spans="1:9" x14ac:dyDescent="0.25">
      <c r="F333" s="113"/>
      <c r="G333" s="113"/>
      <c r="H333" s="113"/>
      <c r="I333" s="113"/>
    </row>
    <row r="334" spans="1:9" x14ac:dyDescent="0.25">
      <c r="E334" s="113"/>
      <c r="F334" s="113"/>
      <c r="G334" s="113"/>
      <c r="H334" s="113"/>
      <c r="I334" s="113"/>
    </row>
    <row r="335" spans="1:9" x14ac:dyDescent="0.25">
      <c r="E335" s="122"/>
      <c r="F335" s="122"/>
      <c r="G335" s="122"/>
      <c r="H335" s="122"/>
      <c r="I335" s="122"/>
    </row>
    <row r="342" spans="3:3" x14ac:dyDescent="0.25">
      <c r="C342" s="49"/>
    </row>
    <row r="343" spans="3:3" x14ac:dyDescent="0.25">
      <c r="C343" s="49"/>
    </row>
    <row r="344" spans="3:3" x14ac:dyDescent="0.25">
      <c r="C344" s="49"/>
    </row>
  </sheetData>
  <mergeCells count="4">
    <mergeCell ref="D14:D15"/>
    <mergeCell ref="C14:C15"/>
    <mergeCell ref="B14:B15"/>
    <mergeCell ref="A14:A15"/>
  </mergeCells>
  <phoneticPr fontId="10" type="noConversion"/>
  <pageMargins left="0.25" right="0.25" top="0.75" bottom="0.75" header="0.3" footer="0.3"/>
  <pageSetup paperSize="9" orientation="landscape" horizontalDpi="4294967292" verticalDpi="4294967292"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2">
    <tabColor rgb="FF00B050"/>
  </sheetPr>
  <dimension ref="A1:P314"/>
  <sheetViews>
    <sheetView workbookViewId="0">
      <pane ySplit="4" topLeftCell="A5" activePane="bottomLeft" state="frozen"/>
      <selection pane="bottomLeft" activeCell="E8" sqref="E8"/>
    </sheetView>
  </sheetViews>
  <sheetFormatPr baseColWidth="10" defaultColWidth="10.75" defaultRowHeight="15" x14ac:dyDescent="0.25"/>
  <cols>
    <col min="1" max="1" width="7.25" style="13" customWidth="1"/>
    <col min="2" max="2" width="18" style="13" customWidth="1"/>
    <col min="3" max="3" width="14.25" style="6" bestFit="1" customWidth="1"/>
    <col min="4" max="5" width="13.125" style="6" bestFit="1" customWidth="1"/>
    <col min="6" max="6" width="12.25" style="6" bestFit="1" customWidth="1"/>
    <col min="7" max="7" width="13.125" style="6" bestFit="1" customWidth="1"/>
    <col min="8" max="8" width="16.875" style="6" bestFit="1" customWidth="1"/>
    <col min="9" max="9" width="13.25" style="6" bestFit="1" customWidth="1"/>
    <col min="10" max="10" width="12.125" style="6" customWidth="1"/>
    <col min="11" max="11" width="10" style="6" customWidth="1"/>
    <col min="12" max="12" width="11.375" style="6" customWidth="1"/>
    <col min="13" max="13" width="11.5" style="6" customWidth="1"/>
    <col min="14" max="14" width="12.5" style="6" customWidth="1"/>
    <col min="15" max="15" width="12.875" style="6" customWidth="1"/>
    <col min="16" max="16" width="10" style="15" customWidth="1"/>
    <col min="17" max="16384" width="10.75" style="13"/>
  </cols>
  <sheetData>
    <row r="1" spans="1:16" s="44" customFormat="1" ht="20.25" customHeight="1" x14ac:dyDescent="0.2">
      <c r="A1" s="52" t="s">
        <v>144</v>
      </c>
      <c r="B1" s="43"/>
      <c r="C1" s="45"/>
      <c r="D1" s="45"/>
      <c r="E1" s="45"/>
      <c r="F1" s="45"/>
      <c r="G1" s="45"/>
      <c r="H1" s="45"/>
      <c r="I1" s="45"/>
      <c r="J1" s="45"/>
      <c r="K1" s="296"/>
      <c r="L1" s="45"/>
      <c r="M1" s="296"/>
      <c r="N1" s="45"/>
      <c r="O1" s="45"/>
      <c r="P1" s="139"/>
    </row>
    <row r="3" spans="1:16" ht="60" customHeight="1" x14ac:dyDescent="0.25">
      <c r="A3" s="535" t="s">
        <v>50</v>
      </c>
      <c r="B3" s="535" t="s">
        <v>101</v>
      </c>
      <c r="C3" s="538" t="s">
        <v>432</v>
      </c>
      <c r="D3" s="538" t="s">
        <v>335</v>
      </c>
      <c r="E3" s="538" t="s">
        <v>336</v>
      </c>
      <c r="F3" s="538" t="s">
        <v>337</v>
      </c>
      <c r="G3" s="538" t="s">
        <v>308</v>
      </c>
      <c r="H3" s="538" t="s">
        <v>48</v>
      </c>
      <c r="I3" s="290" t="s">
        <v>309</v>
      </c>
      <c r="J3" s="290" t="s">
        <v>218</v>
      </c>
      <c r="K3" s="569" t="s">
        <v>219</v>
      </c>
      <c r="L3" s="538" t="s">
        <v>49</v>
      </c>
      <c r="M3" s="290" t="s">
        <v>220</v>
      </c>
      <c r="N3" s="290" t="s">
        <v>218</v>
      </c>
      <c r="O3" s="297" t="s">
        <v>373</v>
      </c>
      <c r="P3" s="336" t="s">
        <v>547</v>
      </c>
    </row>
    <row r="4" spans="1:16" x14ac:dyDescent="0.25">
      <c r="A4" s="537"/>
      <c r="B4" s="536"/>
      <c r="C4" s="539"/>
      <c r="D4" s="540"/>
      <c r="E4" s="539"/>
      <c r="F4" s="540"/>
      <c r="G4" s="539"/>
      <c r="H4" s="540"/>
      <c r="I4" s="294">
        <f>Paramètres!B41</f>
        <v>8</v>
      </c>
      <c r="J4" s="335">
        <f>+Paramètres!C41</f>
        <v>0.66949064767504174</v>
      </c>
      <c r="K4" s="570"/>
      <c r="L4" s="539"/>
      <c r="M4" s="291">
        <f>Paramètres!B42</f>
        <v>1</v>
      </c>
      <c r="N4" s="475">
        <f>+Paramètres!C42</f>
        <v>0.66949064767504174</v>
      </c>
      <c r="O4" s="298" t="s">
        <v>467</v>
      </c>
      <c r="P4" s="338" t="s">
        <v>468</v>
      </c>
    </row>
    <row r="5" spans="1:16" x14ac:dyDescent="0.25">
      <c r="A5" s="47">
        <f>+'A) Base RI'!A7</f>
        <v>5401</v>
      </c>
      <c r="B5" s="301" t="str">
        <f>+'A) Base RI'!B7</f>
        <v>Aigle</v>
      </c>
      <c r="C5" s="314">
        <f>+'D) Ecrêtage'!M5</f>
        <v>276325.40780246921</v>
      </c>
      <c r="D5" s="292">
        <v>4094806</v>
      </c>
      <c r="E5" s="314">
        <v>1357170</v>
      </c>
      <c r="F5" s="292">
        <v>35818</v>
      </c>
      <c r="G5" s="314">
        <f>SUM(D5:F5)</f>
        <v>5487794</v>
      </c>
      <c r="H5" s="292">
        <f>+C5*$I$4</f>
        <v>2210603.2624197537</v>
      </c>
      <c r="I5" s="55">
        <f>IF(G5&gt;H5,G5-H5,0)</f>
        <v>3277190.7375802463</v>
      </c>
      <c r="J5" s="312">
        <f>-I5*J$4</f>
        <v>-2194048.5494572469</v>
      </c>
      <c r="K5" s="74">
        <v>301222</v>
      </c>
      <c r="L5" s="55">
        <f>C5*M$4</f>
        <v>276325.40780246921</v>
      </c>
      <c r="M5" s="74">
        <f>IF(K5&gt;L5,K5-L5,0)</f>
        <v>24896.592197530787</v>
      </c>
      <c r="N5" s="133">
        <f>-M5*N$4</f>
        <v>-16668.035635226275</v>
      </c>
      <c r="O5" s="134">
        <f>N5+J5</f>
        <v>-2210716.5850924733</v>
      </c>
      <c r="P5" s="34">
        <f>O5/'D) Ecrêtage'!C5</f>
        <v>-8.0004101058734367</v>
      </c>
    </row>
    <row r="6" spans="1:16" x14ac:dyDescent="0.25">
      <c r="A6" s="50">
        <f>+'A) Base RI'!A8</f>
        <v>5402</v>
      </c>
      <c r="B6" s="301" t="str">
        <f>+'A) Base RI'!B8</f>
        <v>Bex</v>
      </c>
      <c r="C6" s="315">
        <f>+'D) Ecrêtage'!M6</f>
        <v>172586.81591549295</v>
      </c>
      <c r="D6" s="292">
        <v>2719677</v>
      </c>
      <c r="E6" s="315">
        <v>702945</v>
      </c>
      <c r="F6" s="292">
        <v>240284</v>
      </c>
      <c r="G6" s="315">
        <f t="shared" ref="G6:G69" si="0">SUM(D6:F6)</f>
        <v>3662906</v>
      </c>
      <c r="H6" s="292">
        <f t="shared" ref="H6:H69" si="1">+C6*$I$4</f>
        <v>1380694.5273239436</v>
      </c>
      <c r="I6" s="10">
        <f t="shared" ref="I6:I69" si="2">IF(G6&gt;H6,G6-H6,0)</f>
        <v>2282211.4726760564</v>
      </c>
      <c r="J6" s="312">
        <f t="shared" ref="J6:J68" si="3">-I6*J$4</f>
        <v>-1527919.2369733038</v>
      </c>
      <c r="K6" s="14">
        <v>421671</v>
      </c>
      <c r="L6" s="10">
        <f t="shared" ref="L6:L68" si="4">C6*M$4</f>
        <v>172586.81591549295</v>
      </c>
      <c r="M6" s="14">
        <f t="shared" ref="M6:M59" si="5">IF(K6&gt;L6,K6-L6,0)</f>
        <v>249084.18408450705</v>
      </c>
      <c r="N6" s="2">
        <f t="shared" ref="N6:N68" si="6">-M6*N$4</f>
        <v>-166759.53172834596</v>
      </c>
      <c r="O6" s="135">
        <f t="shared" ref="O6:O59" si="7">N6+J6</f>
        <v>-1694678.7687016497</v>
      </c>
      <c r="P6" s="34">
        <f>O6/'D) Ecrêtage'!C6</f>
        <v>-9.8192828908289744</v>
      </c>
    </row>
    <row r="7" spans="1:16" x14ac:dyDescent="0.25">
      <c r="A7" s="50">
        <f>+'A) Base RI'!A9</f>
        <v>5403</v>
      </c>
      <c r="B7" s="301" t="str">
        <f>+'A) Base RI'!B9</f>
        <v>Chessel</v>
      </c>
      <c r="C7" s="315">
        <f>+'D) Ecrêtage'!M7</f>
        <v>10175.556621621625</v>
      </c>
      <c r="D7" s="292">
        <v>67211</v>
      </c>
      <c r="E7" s="315">
        <v>17320</v>
      </c>
      <c r="F7" s="292">
        <v>16898</v>
      </c>
      <c r="G7" s="315">
        <f t="shared" si="0"/>
        <v>101429</v>
      </c>
      <c r="H7" s="292">
        <f t="shared" si="1"/>
        <v>81404.452972972998</v>
      </c>
      <c r="I7" s="10">
        <f t="shared" si="2"/>
        <v>20024.547027027002</v>
      </c>
      <c r="J7" s="312">
        <f t="shared" si="3"/>
        <v>-13406.246958523639</v>
      </c>
      <c r="K7" s="14">
        <v>50322</v>
      </c>
      <c r="L7" s="10">
        <f t="shared" si="4"/>
        <v>10175.556621621625</v>
      </c>
      <c r="M7" s="14">
        <f t="shared" si="5"/>
        <v>40146.443378378375</v>
      </c>
      <c r="N7" s="2">
        <f t="shared" si="6"/>
        <v>-26877.668379239931</v>
      </c>
      <c r="O7" s="135">
        <f t="shared" si="7"/>
        <v>-40283.915337763567</v>
      </c>
      <c r="P7" s="34">
        <f>O7/'D) Ecrêtage'!C7</f>
        <v>-3.9588905880751448</v>
      </c>
    </row>
    <row r="8" spans="1:16" x14ac:dyDescent="0.25">
      <c r="A8" s="50">
        <f>+'A) Base RI'!A10</f>
        <v>5404</v>
      </c>
      <c r="B8" s="301" t="str">
        <f>+'A) Base RI'!B10</f>
        <v>Corbeyrier</v>
      </c>
      <c r="C8" s="315">
        <f>+'D) Ecrêtage'!M8</f>
        <v>12084.741666666667</v>
      </c>
      <c r="D8" s="292">
        <v>219224</v>
      </c>
      <c r="E8" s="315">
        <v>18781</v>
      </c>
      <c r="F8" s="292">
        <v>33165</v>
      </c>
      <c r="G8" s="315">
        <f t="shared" si="0"/>
        <v>271170</v>
      </c>
      <c r="H8" s="292">
        <f t="shared" si="1"/>
        <v>96677.933333333334</v>
      </c>
      <c r="I8" s="10">
        <f t="shared" si="2"/>
        <v>174492.06666666665</v>
      </c>
      <c r="J8" s="312">
        <f t="shared" si="3"/>
        <v>-116820.80672682321</v>
      </c>
      <c r="K8" s="14">
        <v>37485</v>
      </c>
      <c r="L8" s="10">
        <f t="shared" si="4"/>
        <v>12084.741666666667</v>
      </c>
      <c r="M8" s="14">
        <f t="shared" si="5"/>
        <v>25400.258333333331</v>
      </c>
      <c r="N8" s="2">
        <f t="shared" si="6"/>
        <v>-17005.235402696708</v>
      </c>
      <c r="O8" s="135">
        <f t="shared" si="7"/>
        <v>-133826.04212951992</v>
      </c>
      <c r="P8" s="34">
        <f>O8/'D) Ecrêtage'!C8</f>
        <v>-11.073967968934925</v>
      </c>
    </row>
    <row r="9" spans="1:16" x14ac:dyDescent="0.25">
      <c r="A9" s="50">
        <f>+'A) Base RI'!A11</f>
        <v>5405</v>
      </c>
      <c r="B9" s="301" t="str">
        <f>+'A) Base RI'!B11</f>
        <v>Gryon</v>
      </c>
      <c r="C9" s="315">
        <f>+'D) Ecrêtage'!M9</f>
        <v>67578.882888888897</v>
      </c>
      <c r="D9" s="292">
        <v>1339624</v>
      </c>
      <c r="E9" s="315">
        <v>163141</v>
      </c>
      <c r="F9" s="292">
        <v>46604</v>
      </c>
      <c r="G9" s="315">
        <f t="shared" si="0"/>
        <v>1549369</v>
      </c>
      <c r="H9" s="292">
        <f t="shared" si="1"/>
        <v>540631.06311111117</v>
      </c>
      <c r="I9" s="10">
        <f t="shared" si="2"/>
        <v>1008737.9368888888</v>
      </c>
      <c r="J9" s="312">
        <f t="shared" si="3"/>
        <v>-675340.61470212752</v>
      </c>
      <c r="K9" s="14">
        <v>3083</v>
      </c>
      <c r="L9" s="10">
        <f t="shared" si="4"/>
        <v>67578.882888888897</v>
      </c>
      <c r="M9" s="14">
        <f t="shared" si="5"/>
        <v>0</v>
      </c>
      <c r="N9" s="2">
        <f t="shared" si="6"/>
        <v>0</v>
      </c>
      <c r="O9" s="135">
        <f t="shared" si="7"/>
        <v>-675340.61470212752</v>
      </c>
      <c r="P9" s="34">
        <f>O9/'D) Ecrêtage'!C9</f>
        <v>-9.993367540752363</v>
      </c>
    </row>
    <row r="10" spans="1:16" x14ac:dyDescent="0.25">
      <c r="A10" s="50">
        <f>+'A) Base RI'!A12</f>
        <v>5406</v>
      </c>
      <c r="B10" s="301" t="str">
        <f>+'A) Base RI'!B12</f>
        <v>Lavey-Morcles</v>
      </c>
      <c r="C10" s="315">
        <f>+'D) Ecrêtage'!M10</f>
        <v>21586.094615384616</v>
      </c>
      <c r="D10" s="292">
        <v>220913</v>
      </c>
      <c r="E10" s="315">
        <v>39798</v>
      </c>
      <c r="F10" s="292">
        <v>26575</v>
      </c>
      <c r="G10" s="315">
        <f t="shared" si="0"/>
        <v>287286</v>
      </c>
      <c r="H10" s="292">
        <f t="shared" si="1"/>
        <v>172688.75692307693</v>
      </c>
      <c r="I10" s="10">
        <f t="shared" si="2"/>
        <v>114597.24307692307</v>
      </c>
      <c r="J10" s="312">
        <f t="shared" si="3"/>
        <v>-76721.782489343415</v>
      </c>
      <c r="K10" s="14">
        <v>5405</v>
      </c>
      <c r="L10" s="10">
        <f t="shared" si="4"/>
        <v>21586.094615384616</v>
      </c>
      <c r="M10" s="14">
        <f t="shared" si="5"/>
        <v>0</v>
      </c>
      <c r="N10" s="2">
        <f t="shared" si="6"/>
        <v>0</v>
      </c>
      <c r="O10" s="135">
        <f t="shared" si="7"/>
        <v>-76721.782489343415</v>
      </c>
      <c r="P10" s="34">
        <f>O10/'D) Ecrêtage'!C10</f>
        <v>-3.5542224685081787</v>
      </c>
    </row>
    <row r="11" spans="1:16" x14ac:dyDescent="0.25">
      <c r="A11" s="50">
        <f>+'A) Base RI'!A13</f>
        <v>5407</v>
      </c>
      <c r="B11" s="301" t="str">
        <f>+'A) Base RI'!B13</f>
        <v>Leysin</v>
      </c>
      <c r="C11" s="315">
        <f>+'D) Ecrêtage'!M11</f>
        <v>89616.305299145315</v>
      </c>
      <c r="D11" s="292">
        <v>2249982</v>
      </c>
      <c r="E11" s="315">
        <v>794070</v>
      </c>
      <c r="F11" s="292">
        <v>195389</v>
      </c>
      <c r="G11" s="315">
        <f t="shared" si="0"/>
        <v>3239441</v>
      </c>
      <c r="H11" s="292">
        <f t="shared" si="1"/>
        <v>716930.44239316252</v>
      </c>
      <c r="I11" s="10">
        <f t="shared" si="2"/>
        <v>2522510.5576068377</v>
      </c>
      <c r="J11" s="312">
        <f t="shared" si="3"/>
        <v>-1688797.2269793325</v>
      </c>
      <c r="K11" s="14">
        <v>136928</v>
      </c>
      <c r="L11" s="10">
        <f t="shared" si="4"/>
        <v>89616.305299145315</v>
      </c>
      <c r="M11" s="14">
        <f t="shared" si="5"/>
        <v>47311.694700854685</v>
      </c>
      <c r="N11" s="2">
        <f t="shared" si="6"/>
        <v>-31674.737127879042</v>
      </c>
      <c r="O11" s="135">
        <f t="shared" si="7"/>
        <v>-1720471.9641072114</v>
      </c>
      <c r="P11" s="34">
        <f>O11/'D) Ecrêtage'!C11</f>
        <v>-19.198202362440174</v>
      </c>
    </row>
    <row r="12" spans="1:16" x14ac:dyDescent="0.25">
      <c r="A12" s="50">
        <f>+'A) Base RI'!A14</f>
        <v>5408</v>
      </c>
      <c r="B12" s="301" t="str">
        <f>+'A) Base RI'!B14</f>
        <v>Noville</v>
      </c>
      <c r="C12" s="315">
        <f>+'D) Ecrêtage'!M12</f>
        <v>38763.706581740975</v>
      </c>
      <c r="D12" s="292">
        <v>425397</v>
      </c>
      <c r="E12" s="315">
        <v>68013</v>
      </c>
      <c r="F12" s="292">
        <v>48305</v>
      </c>
      <c r="G12" s="315">
        <f t="shared" si="0"/>
        <v>541715</v>
      </c>
      <c r="H12" s="292">
        <f t="shared" si="1"/>
        <v>310109.6526539278</v>
      </c>
      <c r="I12" s="10">
        <f t="shared" si="2"/>
        <v>231605.3473460722</v>
      </c>
      <c r="J12" s="312">
        <f t="shared" si="3"/>
        <v>-155057.61399972488</v>
      </c>
      <c r="K12" s="14">
        <v>42181</v>
      </c>
      <c r="L12" s="10">
        <f t="shared" si="4"/>
        <v>38763.706581740975</v>
      </c>
      <c r="M12" s="14">
        <f t="shared" si="5"/>
        <v>3417.2934182590252</v>
      </c>
      <c r="N12" s="2">
        <f t="shared" si="6"/>
        <v>-2287.8459838858921</v>
      </c>
      <c r="O12" s="135">
        <f t="shared" si="7"/>
        <v>-157345.45998361078</v>
      </c>
      <c r="P12" s="34">
        <f>O12/'D) Ecrêtage'!C12</f>
        <v>-4.0590922246255428</v>
      </c>
    </row>
    <row r="13" spans="1:16" x14ac:dyDescent="0.25">
      <c r="A13" s="50">
        <f>+'A) Base RI'!A15</f>
        <v>5409</v>
      </c>
      <c r="B13" s="301" t="str">
        <f>+'A) Base RI'!B15</f>
        <v>Ollon</v>
      </c>
      <c r="C13" s="315">
        <f>+'D) Ecrêtage'!M13</f>
        <v>369055.23328054306</v>
      </c>
      <c r="D13" s="292">
        <v>4183204</v>
      </c>
      <c r="E13" s="315">
        <v>1210549</v>
      </c>
      <c r="F13" s="292">
        <v>618814</v>
      </c>
      <c r="G13" s="315">
        <f t="shared" si="0"/>
        <v>6012567</v>
      </c>
      <c r="H13" s="292">
        <f t="shared" si="1"/>
        <v>2952441.8662443445</v>
      </c>
      <c r="I13" s="10">
        <f t="shared" si="2"/>
        <v>3060125.1337556555</v>
      </c>
      <c r="J13" s="312">
        <f t="shared" si="3"/>
        <v>-2048725.1577647475</v>
      </c>
      <c r="K13" s="14">
        <v>438839</v>
      </c>
      <c r="L13" s="10">
        <f t="shared" si="4"/>
        <v>369055.23328054306</v>
      </c>
      <c r="M13" s="14">
        <f t="shared" si="5"/>
        <v>69783.766719456937</v>
      </c>
      <c r="N13" s="2">
        <f t="shared" si="6"/>
        <v>-46719.579178213244</v>
      </c>
      <c r="O13" s="135">
        <f t="shared" si="7"/>
        <v>-2095444.7369429606</v>
      </c>
      <c r="P13" s="34">
        <f>O13/'D) Ecrêtage'!C13</f>
        <v>-5.6778621408955221</v>
      </c>
    </row>
    <row r="14" spans="1:16" x14ac:dyDescent="0.25">
      <c r="A14" s="50">
        <f>+'A) Base RI'!A16</f>
        <v>5410</v>
      </c>
      <c r="B14" s="301" t="str">
        <f>+'A) Base RI'!B16</f>
        <v>Ormont-Dessous</v>
      </c>
      <c r="C14" s="315">
        <f>+'D) Ecrêtage'!M14</f>
        <v>43491.149554140131</v>
      </c>
      <c r="D14" s="292">
        <v>1401905</v>
      </c>
      <c r="E14" s="315">
        <v>96013</v>
      </c>
      <c r="F14" s="292">
        <v>66386</v>
      </c>
      <c r="G14" s="315">
        <f t="shared" si="0"/>
        <v>1564304</v>
      </c>
      <c r="H14" s="292">
        <f t="shared" si="1"/>
        <v>347929.19643312105</v>
      </c>
      <c r="I14" s="10">
        <f t="shared" si="2"/>
        <v>1216374.8035668789</v>
      </c>
      <c r="J14" s="312">
        <f t="shared" si="3"/>
        <v>-814351.55505559139</v>
      </c>
      <c r="K14" s="14">
        <v>63872</v>
      </c>
      <c r="L14" s="10">
        <f t="shared" si="4"/>
        <v>43491.149554140131</v>
      </c>
      <c r="M14" s="14">
        <f t="shared" si="5"/>
        <v>20380.850445859869</v>
      </c>
      <c r="N14" s="2">
        <f t="shared" si="6"/>
        <v>-13644.788765166886</v>
      </c>
      <c r="O14" s="135">
        <f t="shared" si="7"/>
        <v>-827996.34382075828</v>
      </c>
      <c r="P14" s="34">
        <f>O14/'D) Ecrêtage'!C14</f>
        <v>-19.038272207314819</v>
      </c>
    </row>
    <row r="15" spans="1:16" x14ac:dyDescent="0.25">
      <c r="A15" s="50">
        <f>+'A) Base RI'!A17</f>
        <v>5411</v>
      </c>
      <c r="B15" s="301" t="str">
        <f>+'A) Base RI'!B17</f>
        <v>Ormont-Dessus</v>
      </c>
      <c r="C15" s="315">
        <f>+'D) Ecrêtage'!M15</f>
        <v>72912.297236842089</v>
      </c>
      <c r="D15" s="292">
        <v>1392368</v>
      </c>
      <c r="E15" s="315">
        <v>216307</v>
      </c>
      <c r="F15" s="292">
        <v>74024</v>
      </c>
      <c r="G15" s="315">
        <f t="shared" si="0"/>
        <v>1682699</v>
      </c>
      <c r="H15" s="292">
        <f t="shared" si="1"/>
        <v>583298.37789473671</v>
      </c>
      <c r="I15" s="10">
        <f t="shared" si="2"/>
        <v>1099400.6221052632</v>
      </c>
      <c r="J15" s="312">
        <f t="shared" si="3"/>
        <v>-736038.43454759649</v>
      </c>
      <c r="K15" s="14">
        <v>136334</v>
      </c>
      <c r="L15" s="10">
        <f t="shared" si="4"/>
        <v>72912.297236842089</v>
      </c>
      <c r="M15" s="14">
        <f t="shared" si="5"/>
        <v>63421.702763157911</v>
      </c>
      <c r="N15" s="2">
        <f t="shared" si="6"/>
        <v>-42460.236859560573</v>
      </c>
      <c r="O15" s="135">
        <f t="shared" si="7"/>
        <v>-778498.67140715709</v>
      </c>
      <c r="P15" s="34">
        <f>O15/'D) Ecrêtage'!C15</f>
        <v>-10.677193023809803</v>
      </c>
    </row>
    <row r="16" spans="1:16" x14ac:dyDescent="0.25">
      <c r="A16" s="50">
        <f>+'A) Base RI'!A18</f>
        <v>5412</v>
      </c>
      <c r="B16" s="301" t="str">
        <f>+'A) Base RI'!B18</f>
        <v>Rennaz</v>
      </c>
      <c r="C16" s="315">
        <f>+'D) Ecrêtage'!M16</f>
        <v>28091.749629629627</v>
      </c>
      <c r="D16" s="292">
        <v>169612</v>
      </c>
      <c r="E16" s="315">
        <v>54088</v>
      </c>
      <c r="F16" s="292">
        <v>35693</v>
      </c>
      <c r="G16" s="315">
        <f t="shared" si="0"/>
        <v>259393</v>
      </c>
      <c r="H16" s="292">
        <f t="shared" si="1"/>
        <v>224733.99703703701</v>
      </c>
      <c r="I16" s="10">
        <f t="shared" si="2"/>
        <v>34659.002962962986</v>
      </c>
      <c r="J16" s="312">
        <f t="shared" si="3"/>
        <v>-23203.878341445281</v>
      </c>
      <c r="K16" s="14">
        <v>23274</v>
      </c>
      <c r="L16" s="10">
        <f t="shared" si="4"/>
        <v>28091.749629629627</v>
      </c>
      <c r="M16" s="14">
        <f t="shared" si="5"/>
        <v>0</v>
      </c>
      <c r="N16" s="2">
        <f t="shared" si="6"/>
        <v>0</v>
      </c>
      <c r="O16" s="135">
        <f t="shared" si="7"/>
        <v>-23203.878341445281</v>
      </c>
      <c r="P16" s="34">
        <f>O16/'D) Ecrêtage'!C16</f>
        <v>-0.82600331582661946</v>
      </c>
    </row>
    <row r="17" spans="1:16" x14ac:dyDescent="0.25">
      <c r="A17" s="50">
        <f>+'A) Base RI'!A19</f>
        <v>5413</v>
      </c>
      <c r="B17" s="301" t="str">
        <f>+'A) Base RI'!B19</f>
        <v>Roche</v>
      </c>
      <c r="C17" s="315">
        <f>+'D) Ecrêtage'!M17</f>
        <v>39560.237499999996</v>
      </c>
      <c r="D17" s="292">
        <v>170351</v>
      </c>
      <c r="E17" s="315">
        <v>109866</v>
      </c>
      <c r="F17" s="292">
        <v>76126</v>
      </c>
      <c r="G17" s="315">
        <f t="shared" si="0"/>
        <v>356343</v>
      </c>
      <c r="H17" s="292">
        <f t="shared" si="1"/>
        <v>316481.89999999997</v>
      </c>
      <c r="I17" s="10">
        <f t="shared" si="2"/>
        <v>39861.100000000035</v>
      </c>
      <c r="J17" s="312">
        <f t="shared" si="3"/>
        <v>-26686.63365603963</v>
      </c>
      <c r="K17" s="14">
        <v>30451</v>
      </c>
      <c r="L17" s="10">
        <f t="shared" si="4"/>
        <v>39560.237499999996</v>
      </c>
      <c r="M17" s="14">
        <f t="shared" si="5"/>
        <v>0</v>
      </c>
      <c r="N17" s="2">
        <f t="shared" si="6"/>
        <v>0</v>
      </c>
      <c r="O17" s="135">
        <f t="shared" si="7"/>
        <v>-26686.63365603963</v>
      </c>
      <c r="P17" s="34">
        <f>O17/'D) Ecrêtage'!C17</f>
        <v>-0.6745822407168216</v>
      </c>
    </row>
    <row r="18" spans="1:16" x14ac:dyDescent="0.25">
      <c r="A18" s="50">
        <f>+'A) Base RI'!A20</f>
        <v>5414</v>
      </c>
      <c r="B18" s="301" t="str">
        <f>+'A) Base RI'!B20</f>
        <v>Villeneuve</v>
      </c>
      <c r="C18" s="315">
        <f>+'D) Ecrêtage'!M18</f>
        <v>165641.09797101447</v>
      </c>
      <c r="D18" s="292">
        <v>2114490</v>
      </c>
      <c r="E18" s="315">
        <v>1281734</v>
      </c>
      <c r="F18" s="292">
        <v>235137</v>
      </c>
      <c r="G18" s="315">
        <f t="shared" si="0"/>
        <v>3631361</v>
      </c>
      <c r="H18" s="292">
        <f t="shared" si="1"/>
        <v>1325128.7837681158</v>
      </c>
      <c r="I18" s="10">
        <f t="shared" si="2"/>
        <v>2306232.2162318844</v>
      </c>
      <c r="J18" s="312">
        <f t="shared" si="3"/>
        <v>-1544000.9001341313</v>
      </c>
      <c r="K18" s="14">
        <v>441834</v>
      </c>
      <c r="L18" s="10">
        <f t="shared" si="4"/>
        <v>165641.09797101447</v>
      </c>
      <c r="M18" s="14">
        <f t="shared" si="5"/>
        <v>276192.90202898555</v>
      </c>
      <c r="N18" s="2">
        <f t="shared" si="6"/>
        <v>-184908.5648626349</v>
      </c>
      <c r="O18" s="135">
        <f t="shared" si="7"/>
        <v>-1728909.4649967663</v>
      </c>
      <c r="P18" s="34">
        <f>O18/'D) Ecrêtage'!C18</f>
        <v>-10.43768416277528</v>
      </c>
    </row>
    <row r="19" spans="1:16" x14ac:dyDescent="0.25">
      <c r="A19" s="50">
        <f>+'A) Base RI'!A21</f>
        <v>5415</v>
      </c>
      <c r="B19" s="301" t="str">
        <f>+'A) Base RI'!B21</f>
        <v>Yvorne</v>
      </c>
      <c r="C19" s="315">
        <f>+'D) Ecrêtage'!M19</f>
        <v>34590.752587412586</v>
      </c>
      <c r="D19" s="292">
        <v>162145</v>
      </c>
      <c r="E19" s="315">
        <v>68141</v>
      </c>
      <c r="F19" s="292">
        <v>170657</v>
      </c>
      <c r="G19" s="315">
        <f t="shared" si="0"/>
        <v>400943</v>
      </c>
      <c r="H19" s="292">
        <f t="shared" si="1"/>
        <v>276726.02069930069</v>
      </c>
      <c r="I19" s="10">
        <f t="shared" si="2"/>
        <v>124216.97930069931</v>
      </c>
      <c r="J19" s="312">
        <f t="shared" si="3"/>
        <v>-83162.105924262432</v>
      </c>
      <c r="K19" s="14">
        <v>47148</v>
      </c>
      <c r="L19" s="10">
        <f t="shared" si="4"/>
        <v>34590.752587412586</v>
      </c>
      <c r="M19" s="14">
        <f t="shared" si="5"/>
        <v>12557.247412587414</v>
      </c>
      <c r="N19" s="2">
        <f t="shared" si="6"/>
        <v>-8406.9597032688907</v>
      </c>
      <c r="O19" s="135">
        <f t="shared" si="7"/>
        <v>-91569.065627531323</v>
      </c>
      <c r="P19" s="34">
        <f>O19/'D) Ecrêtage'!C19</f>
        <v>-2.6472122974523797</v>
      </c>
    </row>
    <row r="20" spans="1:16" x14ac:dyDescent="0.25">
      <c r="A20" s="50">
        <f>+'A) Base RI'!A22</f>
        <v>5421</v>
      </c>
      <c r="B20" s="301" t="str">
        <f>+'A) Base RI'!B22</f>
        <v>Apples</v>
      </c>
      <c r="C20" s="315">
        <f>+'D) Ecrêtage'!M20</f>
        <v>67631.915526315803</v>
      </c>
      <c r="D20" s="292">
        <v>398424</v>
      </c>
      <c r="E20" s="315">
        <v>125217</v>
      </c>
      <c r="F20" s="292">
        <v>180466</v>
      </c>
      <c r="G20" s="315">
        <f t="shared" si="0"/>
        <v>704107</v>
      </c>
      <c r="H20" s="292">
        <f t="shared" si="1"/>
        <v>541055.32421052642</v>
      </c>
      <c r="I20" s="10">
        <f t="shared" si="2"/>
        <v>163051.67578947358</v>
      </c>
      <c r="J20" s="312">
        <f t="shared" si="3"/>
        <v>-109161.57202879559</v>
      </c>
      <c r="K20" s="14">
        <v>119227</v>
      </c>
      <c r="L20" s="10">
        <f t="shared" si="4"/>
        <v>67631.915526315803</v>
      </c>
      <c r="M20" s="14">
        <f t="shared" si="5"/>
        <v>51595.084473684197</v>
      </c>
      <c r="N20" s="2">
        <f t="shared" si="6"/>
        <v>-34542.426521135327</v>
      </c>
      <c r="O20" s="135">
        <f t="shared" si="7"/>
        <v>-143703.99854993093</v>
      </c>
      <c r="P20" s="34">
        <f>O20/'D) Ecrêtage'!C20</f>
        <v>-2.1247956298681978</v>
      </c>
    </row>
    <row r="21" spans="1:16" x14ac:dyDescent="0.25">
      <c r="A21" s="50">
        <f>+'A) Base RI'!A23</f>
        <v>5422</v>
      </c>
      <c r="B21" s="301" t="str">
        <f>+'A) Base RI'!B23</f>
        <v>Aubonne</v>
      </c>
      <c r="C21" s="315">
        <f>+'D) Ecrêtage'!M21</f>
        <v>227451.77123229718</v>
      </c>
      <c r="D21" s="292">
        <v>1019306</v>
      </c>
      <c r="E21" s="315">
        <v>132283</v>
      </c>
      <c r="F21" s="292">
        <v>361621</v>
      </c>
      <c r="G21" s="315">
        <f t="shared" si="0"/>
        <v>1513210</v>
      </c>
      <c r="H21" s="292">
        <f t="shared" si="1"/>
        <v>1819614.1698583774</v>
      </c>
      <c r="I21" s="10">
        <f t="shared" si="2"/>
        <v>0</v>
      </c>
      <c r="J21" s="312">
        <f t="shared" si="3"/>
        <v>0</v>
      </c>
      <c r="K21" s="14">
        <v>126812</v>
      </c>
      <c r="L21" s="10">
        <f t="shared" si="4"/>
        <v>227451.77123229718</v>
      </c>
      <c r="M21" s="14">
        <f t="shared" si="5"/>
        <v>0</v>
      </c>
      <c r="N21" s="2">
        <f t="shared" si="6"/>
        <v>0</v>
      </c>
      <c r="O21" s="135">
        <f t="shared" si="7"/>
        <v>0</v>
      </c>
      <c r="P21" s="34">
        <f>O21/'D) Ecrêtage'!C21</f>
        <v>0</v>
      </c>
    </row>
    <row r="22" spans="1:16" x14ac:dyDescent="0.25">
      <c r="A22" s="50">
        <f>+'A) Base RI'!A24</f>
        <v>5423</v>
      </c>
      <c r="B22" s="301" t="str">
        <f>+'A) Base RI'!B24</f>
        <v>Ballens</v>
      </c>
      <c r="C22" s="315">
        <f>+'D) Ecrêtage'!M22</f>
        <v>13821.516027397261</v>
      </c>
      <c r="D22" s="292">
        <v>110757</v>
      </c>
      <c r="E22" s="315">
        <v>45922</v>
      </c>
      <c r="F22" s="292">
        <v>67385</v>
      </c>
      <c r="G22" s="315">
        <f t="shared" si="0"/>
        <v>224064</v>
      </c>
      <c r="H22" s="292">
        <f t="shared" si="1"/>
        <v>110572.12821917809</v>
      </c>
      <c r="I22" s="10">
        <f t="shared" si="2"/>
        <v>113491.87178082191</v>
      </c>
      <c r="J22" s="312">
        <f t="shared" si="3"/>
        <v>-75981.746744395248</v>
      </c>
      <c r="K22" s="14">
        <v>30958</v>
      </c>
      <c r="L22" s="10">
        <f t="shared" si="4"/>
        <v>13821.516027397261</v>
      </c>
      <c r="M22" s="14">
        <f t="shared" si="5"/>
        <v>17136.483972602739</v>
      </c>
      <c r="N22" s="2">
        <f t="shared" si="6"/>
        <v>-11472.71575369078</v>
      </c>
      <c r="O22" s="135">
        <f t="shared" si="7"/>
        <v>-87454.462498086024</v>
      </c>
      <c r="P22" s="34">
        <f>O22/'D) Ecrêtage'!C22</f>
        <v>-6.327414613905753</v>
      </c>
    </row>
    <row r="23" spans="1:16" x14ac:dyDescent="0.25">
      <c r="A23" s="50">
        <f>+'A) Base RI'!A25</f>
        <v>5424</v>
      </c>
      <c r="B23" s="301" t="str">
        <f>+'A) Base RI'!B25</f>
        <v>Berolle</v>
      </c>
      <c r="C23" s="315">
        <f>+'D) Ecrêtage'!M23</f>
        <v>9297.6342857142881</v>
      </c>
      <c r="D23" s="292">
        <v>54402</v>
      </c>
      <c r="E23" s="315">
        <v>10686</v>
      </c>
      <c r="F23" s="292">
        <v>35508</v>
      </c>
      <c r="G23" s="315">
        <f t="shared" si="0"/>
        <v>100596</v>
      </c>
      <c r="H23" s="292">
        <f t="shared" si="1"/>
        <v>74381.074285714305</v>
      </c>
      <c r="I23" s="10">
        <f t="shared" si="2"/>
        <v>26214.925714285695</v>
      </c>
      <c r="J23" s="312">
        <f t="shared" si="3"/>
        <v>-17550.647595210237</v>
      </c>
      <c r="K23" s="14">
        <v>34485</v>
      </c>
      <c r="L23" s="10">
        <f t="shared" si="4"/>
        <v>9297.6342857142881</v>
      </c>
      <c r="M23" s="14">
        <f t="shared" si="5"/>
        <v>25187.365714285712</v>
      </c>
      <c r="N23" s="2">
        <f t="shared" si="6"/>
        <v>-16862.705785285281</v>
      </c>
      <c r="O23" s="135">
        <f t="shared" si="7"/>
        <v>-34413.353380495522</v>
      </c>
      <c r="P23" s="34">
        <f>O23/'D) Ecrêtage'!C23</f>
        <v>-3.7013021079320421</v>
      </c>
    </row>
    <row r="24" spans="1:16" x14ac:dyDescent="0.25">
      <c r="A24" s="50">
        <f>+'A) Base RI'!A26</f>
        <v>5425</v>
      </c>
      <c r="B24" s="301" t="str">
        <f>+'A) Base RI'!B26</f>
        <v>Bière</v>
      </c>
      <c r="C24" s="315">
        <f>+'D) Ecrêtage'!M24</f>
        <v>39425.527551724139</v>
      </c>
      <c r="D24" s="292">
        <v>544829</v>
      </c>
      <c r="E24" s="315">
        <v>134299</v>
      </c>
      <c r="F24" s="292">
        <v>197824</v>
      </c>
      <c r="G24" s="315">
        <f t="shared" si="0"/>
        <v>876952</v>
      </c>
      <c r="H24" s="292">
        <f t="shared" si="1"/>
        <v>315404.22041379311</v>
      </c>
      <c r="I24" s="10">
        <f t="shared" si="2"/>
        <v>561547.77958620689</v>
      </c>
      <c r="J24" s="312">
        <f t="shared" si="3"/>
        <v>-375950.98665565124</v>
      </c>
      <c r="K24" s="14">
        <v>86540</v>
      </c>
      <c r="L24" s="10">
        <f t="shared" si="4"/>
        <v>39425.527551724139</v>
      </c>
      <c r="M24" s="14">
        <f t="shared" si="5"/>
        <v>47114.472448275861</v>
      </c>
      <c r="N24" s="2">
        <f t="shared" si="6"/>
        <v>-31542.698674264117</v>
      </c>
      <c r="O24" s="135">
        <f t="shared" si="7"/>
        <v>-407493.68532991537</v>
      </c>
      <c r="P24" s="34">
        <f>O24/'D) Ecrêtage'!C24</f>
        <v>-10.335782692959679</v>
      </c>
    </row>
    <row r="25" spans="1:16" x14ac:dyDescent="0.25">
      <c r="A25" s="50">
        <f>+'A) Base RI'!A27</f>
        <v>5426</v>
      </c>
      <c r="B25" s="301" t="str">
        <f>+'A) Base RI'!B27</f>
        <v>Bougy-Villars</v>
      </c>
      <c r="C25" s="315">
        <f>+'D) Ecrêtage'!M25</f>
        <v>45417.783497595345</v>
      </c>
      <c r="D25" s="292">
        <v>158137</v>
      </c>
      <c r="E25" s="315">
        <v>18474</v>
      </c>
      <c r="F25" s="292">
        <v>49890</v>
      </c>
      <c r="G25" s="315">
        <f t="shared" si="0"/>
        <v>226501</v>
      </c>
      <c r="H25" s="292">
        <f t="shared" si="1"/>
        <v>363342.26798076276</v>
      </c>
      <c r="I25" s="10">
        <f t="shared" si="2"/>
        <v>0</v>
      </c>
      <c r="J25" s="312">
        <f t="shared" si="3"/>
        <v>0</v>
      </c>
      <c r="K25" s="14">
        <v>9037</v>
      </c>
      <c r="L25" s="10">
        <f t="shared" si="4"/>
        <v>45417.783497595345</v>
      </c>
      <c r="M25" s="14">
        <f t="shared" si="5"/>
        <v>0</v>
      </c>
      <c r="N25" s="2">
        <f t="shared" si="6"/>
        <v>0</v>
      </c>
      <c r="O25" s="135">
        <f t="shared" si="7"/>
        <v>0</v>
      </c>
      <c r="P25" s="34">
        <f>O25/'D) Ecrêtage'!C25</f>
        <v>0</v>
      </c>
    </row>
    <row r="26" spans="1:16" x14ac:dyDescent="0.25">
      <c r="A26" s="50">
        <f>+'A) Base RI'!A28</f>
        <v>5427</v>
      </c>
      <c r="B26" s="301" t="str">
        <f>+'A) Base RI'!B28</f>
        <v>Féchy</v>
      </c>
      <c r="C26" s="315">
        <f>+'D) Ecrêtage'!M26</f>
        <v>67807.151141872484</v>
      </c>
      <c r="D26" s="292">
        <v>167654</v>
      </c>
      <c r="E26" s="315">
        <v>36217</v>
      </c>
      <c r="F26" s="292">
        <v>100921</v>
      </c>
      <c r="G26" s="315">
        <f t="shared" si="0"/>
        <v>304792</v>
      </c>
      <c r="H26" s="292">
        <f t="shared" si="1"/>
        <v>542457.20913497987</v>
      </c>
      <c r="I26" s="10">
        <f t="shared" si="2"/>
        <v>0</v>
      </c>
      <c r="J26" s="312">
        <f t="shared" si="3"/>
        <v>0</v>
      </c>
      <c r="K26" s="14">
        <v>28007</v>
      </c>
      <c r="L26" s="10">
        <f t="shared" si="4"/>
        <v>67807.151141872484</v>
      </c>
      <c r="M26" s="14">
        <f t="shared" si="5"/>
        <v>0</v>
      </c>
      <c r="N26" s="2">
        <f t="shared" si="6"/>
        <v>0</v>
      </c>
      <c r="O26" s="135">
        <f t="shared" si="7"/>
        <v>0</v>
      </c>
      <c r="P26" s="34">
        <f>O26/'D) Ecrêtage'!C26</f>
        <v>0</v>
      </c>
    </row>
    <row r="27" spans="1:16" x14ac:dyDescent="0.25">
      <c r="A27" s="50">
        <f>+'A) Base RI'!A29</f>
        <v>5428</v>
      </c>
      <c r="B27" s="301" t="str">
        <f>+'A) Base RI'!B29</f>
        <v>Gimel</v>
      </c>
      <c r="C27" s="315">
        <f>+'D) Ecrêtage'!M27</f>
        <v>59817.35356643358</v>
      </c>
      <c r="D27" s="292">
        <v>469112</v>
      </c>
      <c r="E27" s="315">
        <v>95880</v>
      </c>
      <c r="F27" s="292">
        <v>249796</v>
      </c>
      <c r="G27" s="315">
        <f t="shared" si="0"/>
        <v>814788</v>
      </c>
      <c r="H27" s="292">
        <f t="shared" si="1"/>
        <v>478538.82853146864</v>
      </c>
      <c r="I27" s="10">
        <f t="shared" si="2"/>
        <v>336249.17146853136</v>
      </c>
      <c r="J27" s="312">
        <f t="shared" si="3"/>
        <v>-225115.67558666322</v>
      </c>
      <c r="K27" s="14">
        <v>56539</v>
      </c>
      <c r="L27" s="10">
        <f t="shared" si="4"/>
        <v>59817.35356643358</v>
      </c>
      <c r="M27" s="14">
        <f t="shared" si="5"/>
        <v>0</v>
      </c>
      <c r="N27" s="2">
        <f t="shared" si="6"/>
        <v>0</v>
      </c>
      <c r="O27" s="135">
        <f t="shared" si="7"/>
        <v>-225115.67558666322</v>
      </c>
      <c r="P27" s="34">
        <f>O27/'D) Ecrêtage'!C27</f>
        <v>-3.7633840710898072</v>
      </c>
    </row>
    <row r="28" spans="1:16" x14ac:dyDescent="0.25">
      <c r="A28" s="50">
        <f>+'A) Base RI'!A30</f>
        <v>5429</v>
      </c>
      <c r="B28" s="301" t="str">
        <f>+'A) Base RI'!B30</f>
        <v>Longirod</v>
      </c>
      <c r="C28" s="315">
        <f>+'D) Ecrêtage'!M28</f>
        <v>13793.381358024693</v>
      </c>
      <c r="D28" s="292">
        <v>222558</v>
      </c>
      <c r="E28" s="315">
        <v>19100</v>
      </c>
      <c r="F28" s="292">
        <v>45734</v>
      </c>
      <c r="G28" s="315">
        <f t="shared" si="0"/>
        <v>287392</v>
      </c>
      <c r="H28" s="292">
        <f t="shared" si="1"/>
        <v>110347.05086419755</v>
      </c>
      <c r="I28" s="10">
        <f t="shared" si="2"/>
        <v>177044.94913580245</v>
      </c>
      <c r="J28" s="312">
        <f t="shared" si="3"/>
        <v>-118529.93766452321</v>
      </c>
      <c r="K28" s="14">
        <v>20732</v>
      </c>
      <c r="L28" s="10">
        <f t="shared" si="4"/>
        <v>13793.381358024693</v>
      </c>
      <c r="M28" s="14">
        <f t="shared" si="5"/>
        <v>6938.6186419753067</v>
      </c>
      <c r="N28" s="2">
        <f t="shared" si="6"/>
        <v>-4645.3402885861669</v>
      </c>
      <c r="O28" s="135">
        <f t="shared" si="7"/>
        <v>-123175.27795310938</v>
      </c>
      <c r="P28" s="34">
        <f>O28/'D) Ecrêtage'!C28</f>
        <v>-8.9300277253226703</v>
      </c>
    </row>
    <row r="29" spans="1:16" x14ac:dyDescent="0.25">
      <c r="A29" s="50">
        <f>+'A) Base RI'!A31</f>
        <v>5430</v>
      </c>
      <c r="B29" s="301" t="str">
        <f>+'A) Base RI'!B31</f>
        <v>Marchissy</v>
      </c>
      <c r="C29" s="315">
        <f>+'D) Ecrêtage'!M29</f>
        <v>13616.452025316456</v>
      </c>
      <c r="D29" s="292">
        <v>154013</v>
      </c>
      <c r="E29" s="315">
        <v>18842</v>
      </c>
      <c r="F29" s="292">
        <v>48639</v>
      </c>
      <c r="G29" s="315">
        <f t="shared" si="0"/>
        <v>221494</v>
      </c>
      <c r="H29" s="292">
        <f t="shared" si="1"/>
        <v>108931.61620253164</v>
      </c>
      <c r="I29" s="10">
        <f t="shared" si="2"/>
        <v>112562.38379746836</v>
      </c>
      <c r="J29" s="312">
        <f t="shared" si="3"/>
        <v>-75359.46323241372</v>
      </c>
      <c r="K29" s="14">
        <v>-7338</v>
      </c>
      <c r="L29" s="10">
        <f t="shared" si="4"/>
        <v>13616.452025316456</v>
      </c>
      <c r="M29" s="14">
        <f t="shared" si="5"/>
        <v>0</v>
      </c>
      <c r="N29" s="2">
        <f t="shared" si="6"/>
        <v>0</v>
      </c>
      <c r="O29" s="135">
        <f t="shared" si="7"/>
        <v>-75359.46323241372</v>
      </c>
      <c r="P29" s="34">
        <f>O29/'D) Ecrêtage'!C29</f>
        <v>-5.534441945104442</v>
      </c>
    </row>
    <row r="30" spans="1:16" x14ac:dyDescent="0.25">
      <c r="A30" s="50">
        <f>+'A) Base RI'!A32</f>
        <v>5431</v>
      </c>
      <c r="B30" s="301" t="str">
        <f>+'A) Base RI'!B32</f>
        <v>Mollens</v>
      </c>
      <c r="C30" s="315">
        <f>+'D) Ecrêtage'!M30</f>
        <v>8628.4962162162174</v>
      </c>
      <c r="D30" s="292">
        <v>25905</v>
      </c>
      <c r="E30" s="315">
        <v>10491</v>
      </c>
      <c r="F30" s="292">
        <v>30405</v>
      </c>
      <c r="G30" s="315">
        <f t="shared" si="0"/>
        <v>66801</v>
      </c>
      <c r="H30" s="292">
        <f t="shared" si="1"/>
        <v>69027.969729729739</v>
      </c>
      <c r="I30" s="10">
        <f t="shared" si="2"/>
        <v>0</v>
      </c>
      <c r="J30" s="312">
        <f t="shared" si="3"/>
        <v>0</v>
      </c>
      <c r="K30" s="14">
        <v>84404</v>
      </c>
      <c r="L30" s="10">
        <f t="shared" si="4"/>
        <v>8628.4962162162174</v>
      </c>
      <c r="M30" s="14">
        <f t="shared" si="5"/>
        <v>75775.503783783788</v>
      </c>
      <c r="N30" s="2">
        <f t="shared" si="6"/>
        <v>-50730.991106107984</v>
      </c>
      <c r="O30" s="135">
        <f t="shared" si="7"/>
        <v>-50730.991106107984</v>
      </c>
      <c r="P30" s="34">
        <f>O30/'D) Ecrêtage'!C30</f>
        <v>-5.8794707484213999</v>
      </c>
    </row>
    <row r="31" spans="1:16" x14ac:dyDescent="0.25">
      <c r="A31" s="50">
        <f>+'A) Base RI'!A33</f>
        <v>5432</v>
      </c>
      <c r="B31" s="301" t="str">
        <f>+'A) Base RI'!B33</f>
        <v>Montherod</v>
      </c>
      <c r="C31" s="315">
        <f>+'D) Ecrêtage'!M31</f>
        <v>18262.77307692308</v>
      </c>
      <c r="D31" s="292">
        <v>94830</v>
      </c>
      <c r="E31" s="315">
        <v>21609</v>
      </c>
      <c r="F31" s="292">
        <v>62543</v>
      </c>
      <c r="G31" s="315">
        <f t="shared" si="0"/>
        <v>178982</v>
      </c>
      <c r="H31" s="292">
        <f t="shared" si="1"/>
        <v>146102.18461538464</v>
      </c>
      <c r="I31" s="10">
        <f t="shared" si="2"/>
        <v>32879.815384615358</v>
      </c>
      <c r="J31" s="312">
        <f t="shared" si="3"/>
        <v>-22012.728897281937</v>
      </c>
      <c r="K31" s="14">
        <v>4200</v>
      </c>
      <c r="L31" s="10">
        <f t="shared" si="4"/>
        <v>18262.77307692308</v>
      </c>
      <c r="M31" s="14">
        <f t="shared" si="5"/>
        <v>0</v>
      </c>
      <c r="N31" s="2">
        <f t="shared" si="6"/>
        <v>0</v>
      </c>
      <c r="O31" s="135">
        <f t="shared" si="7"/>
        <v>-22012.728897281937</v>
      </c>
      <c r="P31" s="34">
        <f>O31/'D) Ecrêtage'!C31</f>
        <v>-1.2053333195656533</v>
      </c>
    </row>
    <row r="32" spans="1:16" x14ac:dyDescent="0.25">
      <c r="A32" s="50">
        <f>+'A) Base RI'!A34</f>
        <v>5434</v>
      </c>
      <c r="B32" s="301" t="str">
        <f>+'A) Base RI'!B34</f>
        <v>Saint-George</v>
      </c>
      <c r="C32" s="315">
        <f>+'D) Ecrêtage'!M32</f>
        <v>36787.196197183097</v>
      </c>
      <c r="D32" s="292">
        <v>170288</v>
      </c>
      <c r="E32" s="315">
        <v>43272</v>
      </c>
      <c r="F32" s="292">
        <v>122062</v>
      </c>
      <c r="G32" s="315">
        <f t="shared" si="0"/>
        <v>335622</v>
      </c>
      <c r="H32" s="292">
        <f t="shared" si="1"/>
        <v>294297.56957746478</v>
      </c>
      <c r="I32" s="10">
        <f t="shared" si="2"/>
        <v>41324.430422535224</v>
      </c>
      <c r="J32" s="312">
        <f t="shared" si="3"/>
        <v>-27666.319688385305</v>
      </c>
      <c r="K32" s="14">
        <v>141083</v>
      </c>
      <c r="L32" s="10">
        <f t="shared" si="4"/>
        <v>36787.196197183097</v>
      </c>
      <c r="M32" s="14">
        <f t="shared" si="5"/>
        <v>104295.8038028169</v>
      </c>
      <c r="N32" s="2">
        <f t="shared" si="6"/>
        <v>-69825.06523773697</v>
      </c>
      <c r="O32" s="135">
        <f t="shared" si="7"/>
        <v>-97491.384926122279</v>
      </c>
      <c r="P32" s="34">
        <f>O32/'D) Ecrêtage'!C32</f>
        <v>-2.6501444797140445</v>
      </c>
    </row>
    <row r="33" spans="1:16" x14ac:dyDescent="0.25">
      <c r="A33" s="50">
        <f>+'A) Base RI'!A35</f>
        <v>5435</v>
      </c>
      <c r="B33" s="301" t="str">
        <f>+'A) Base RI'!B35</f>
        <v>Saint-Livres</v>
      </c>
      <c r="C33" s="315">
        <f>+'D) Ecrêtage'!M33</f>
        <v>24145.271449275358</v>
      </c>
      <c r="D33" s="292">
        <v>107517</v>
      </c>
      <c r="E33" s="315">
        <v>44666</v>
      </c>
      <c r="F33" s="292">
        <v>79667</v>
      </c>
      <c r="G33" s="315">
        <f t="shared" si="0"/>
        <v>231850</v>
      </c>
      <c r="H33" s="292">
        <f t="shared" si="1"/>
        <v>193162.17159420287</v>
      </c>
      <c r="I33" s="10">
        <f t="shared" si="2"/>
        <v>38687.828405797132</v>
      </c>
      <c r="J33" s="312">
        <f t="shared" si="3"/>
        <v>-25901.139296538</v>
      </c>
      <c r="K33" s="14">
        <v>-7790</v>
      </c>
      <c r="L33" s="10">
        <f t="shared" si="4"/>
        <v>24145.271449275358</v>
      </c>
      <c r="M33" s="14">
        <f t="shared" si="5"/>
        <v>0</v>
      </c>
      <c r="N33" s="2">
        <f t="shared" si="6"/>
        <v>0</v>
      </c>
      <c r="O33" s="135">
        <f t="shared" si="7"/>
        <v>-25901.139296538</v>
      </c>
      <c r="P33" s="34">
        <f>O33/'D) Ecrêtage'!C33</f>
        <v>-1.0727209818680807</v>
      </c>
    </row>
    <row r="34" spans="1:16" x14ac:dyDescent="0.25">
      <c r="A34" s="50">
        <f>+'A) Base RI'!A36</f>
        <v>5436</v>
      </c>
      <c r="B34" s="301" t="str">
        <f>+'A) Base RI'!B36</f>
        <v>Saint-Oyens</v>
      </c>
      <c r="C34" s="315">
        <f>+'D) Ecrêtage'!M34</f>
        <v>15077.325709876546</v>
      </c>
      <c r="D34" s="292">
        <v>220209</v>
      </c>
      <c r="E34" s="315">
        <v>9874</v>
      </c>
      <c r="F34" s="292">
        <v>30242</v>
      </c>
      <c r="G34" s="315">
        <f t="shared" si="0"/>
        <v>260325</v>
      </c>
      <c r="H34" s="292">
        <f t="shared" si="1"/>
        <v>120618.60567901237</v>
      </c>
      <c r="I34" s="10">
        <f t="shared" si="2"/>
        <v>139706.39432098763</v>
      </c>
      <c r="J34" s="312">
        <f t="shared" si="3"/>
        <v>-93532.124418302788</v>
      </c>
      <c r="K34" s="14">
        <v>57329</v>
      </c>
      <c r="L34" s="10">
        <f t="shared" si="4"/>
        <v>15077.325709876546</v>
      </c>
      <c r="M34" s="14">
        <f t="shared" si="5"/>
        <v>42251.674290123454</v>
      </c>
      <c r="N34" s="2">
        <f t="shared" si="6"/>
        <v>-28287.10078584966</v>
      </c>
      <c r="O34" s="135">
        <f t="shared" si="7"/>
        <v>-121819.22520415245</v>
      </c>
      <c r="P34" s="34">
        <f>O34/'D) Ecrêtage'!C34</f>
        <v>-8.0796308011276565</v>
      </c>
    </row>
    <row r="35" spans="1:16" x14ac:dyDescent="0.25">
      <c r="A35" s="50">
        <f>+'A) Base RI'!A37</f>
        <v>5437</v>
      </c>
      <c r="B35" s="301" t="str">
        <f>+'A) Base RI'!B37</f>
        <v>Saubraz</v>
      </c>
      <c r="C35" s="315">
        <f>+'D) Ecrêtage'!M35</f>
        <v>11422.239624999998</v>
      </c>
      <c r="D35" s="292">
        <v>67220</v>
      </c>
      <c r="E35" s="315">
        <v>11330</v>
      </c>
      <c r="F35" s="292">
        <v>62983</v>
      </c>
      <c r="G35" s="315">
        <f t="shared" si="0"/>
        <v>141533</v>
      </c>
      <c r="H35" s="292">
        <f t="shared" si="1"/>
        <v>91377.916999999987</v>
      </c>
      <c r="I35" s="10">
        <f t="shared" si="2"/>
        <v>50155.083000000013</v>
      </c>
      <c r="J35" s="312">
        <f t="shared" si="3"/>
        <v>-33578.359001865487</v>
      </c>
      <c r="K35" s="14">
        <v>18453</v>
      </c>
      <c r="L35" s="10">
        <f t="shared" si="4"/>
        <v>11422.239624999998</v>
      </c>
      <c r="M35" s="14">
        <f t="shared" si="5"/>
        <v>7030.7603750000017</v>
      </c>
      <c r="N35" s="2">
        <f t="shared" si="6"/>
        <v>-4707.0283171067704</v>
      </c>
      <c r="O35" s="135">
        <f t="shared" si="7"/>
        <v>-38285.387318972258</v>
      </c>
      <c r="P35" s="34">
        <f>O35/'D) Ecrêtage'!C35</f>
        <v>-3.3518284133329295</v>
      </c>
    </row>
    <row r="36" spans="1:16" x14ac:dyDescent="0.25">
      <c r="A36" s="50">
        <f>+'A) Base RI'!A38</f>
        <v>5451</v>
      </c>
      <c r="B36" s="301" t="str">
        <f>+'A) Base RI'!B38</f>
        <v>Avenches</v>
      </c>
      <c r="C36" s="315">
        <f>+'D) Ecrêtage'!M36</f>
        <v>150757.73362745097</v>
      </c>
      <c r="D36" s="292">
        <v>1771919</v>
      </c>
      <c r="E36" s="315">
        <v>609505</v>
      </c>
      <c r="F36" s="292">
        <v>540978</v>
      </c>
      <c r="G36" s="315">
        <f t="shared" si="0"/>
        <v>2922402</v>
      </c>
      <c r="H36" s="292">
        <f t="shared" si="1"/>
        <v>1206061.8690196078</v>
      </c>
      <c r="I36" s="10">
        <f t="shared" si="2"/>
        <v>1716340.1309803922</v>
      </c>
      <c r="J36" s="312">
        <f t="shared" si="3"/>
        <v>-1149073.6659207288</v>
      </c>
      <c r="K36" s="14">
        <v>163520</v>
      </c>
      <c r="L36" s="10">
        <f t="shared" si="4"/>
        <v>150757.73362745097</v>
      </c>
      <c r="M36" s="14">
        <f t="shared" si="5"/>
        <v>12762.266372549027</v>
      </c>
      <c r="N36" s="2">
        <f t="shared" si="6"/>
        <v>-8544.2179795592547</v>
      </c>
      <c r="O36" s="135">
        <f t="shared" si="7"/>
        <v>-1157617.883900288</v>
      </c>
      <c r="P36" s="34">
        <f>O36/'D) Ecrêtage'!C36</f>
        <v>-7.6786633497752534</v>
      </c>
    </row>
    <row r="37" spans="1:16" x14ac:dyDescent="0.25">
      <c r="A37" s="50">
        <f>+'A) Base RI'!A39</f>
        <v>5456</v>
      </c>
      <c r="B37" s="301" t="str">
        <f>+'A) Base RI'!B39</f>
        <v>Cudrefin</v>
      </c>
      <c r="C37" s="315">
        <f>+'D) Ecrêtage'!M37</f>
        <v>59376.955254237291</v>
      </c>
      <c r="D37" s="292">
        <v>571562</v>
      </c>
      <c r="E37" s="315">
        <v>79378</v>
      </c>
      <c r="F37" s="292">
        <v>222668</v>
      </c>
      <c r="G37" s="315">
        <f t="shared" si="0"/>
        <v>873608</v>
      </c>
      <c r="H37" s="292">
        <f t="shared" si="1"/>
        <v>475015.64203389833</v>
      </c>
      <c r="I37" s="10">
        <f t="shared" si="2"/>
        <v>398592.35796610167</v>
      </c>
      <c r="J37" s="312">
        <f t="shared" si="3"/>
        <v>-266853.85589304747</v>
      </c>
      <c r="K37" s="14">
        <v>22947</v>
      </c>
      <c r="L37" s="10">
        <f t="shared" si="4"/>
        <v>59376.955254237291</v>
      </c>
      <c r="M37" s="14">
        <f t="shared" si="5"/>
        <v>0</v>
      </c>
      <c r="N37" s="2">
        <f t="shared" si="6"/>
        <v>0</v>
      </c>
      <c r="O37" s="135">
        <f t="shared" si="7"/>
        <v>-266853.85589304747</v>
      </c>
      <c r="P37" s="34">
        <f>O37/'D) Ecrêtage'!C37</f>
        <v>-4.4942327330602572</v>
      </c>
    </row>
    <row r="38" spans="1:16" x14ac:dyDescent="0.25">
      <c r="A38" s="50">
        <f>+'A) Base RI'!A40</f>
        <v>5458</v>
      </c>
      <c r="B38" s="301" t="str">
        <f>+'A) Base RI'!B40</f>
        <v>Faoug</v>
      </c>
      <c r="C38" s="315">
        <f>+'D) Ecrêtage'!M38</f>
        <v>30529.72296875</v>
      </c>
      <c r="D38" s="292">
        <v>208091</v>
      </c>
      <c r="E38" s="315">
        <v>74350</v>
      </c>
      <c r="F38" s="292">
        <v>90652</v>
      </c>
      <c r="G38" s="315">
        <f t="shared" si="0"/>
        <v>373093</v>
      </c>
      <c r="H38" s="292">
        <f t="shared" si="1"/>
        <v>244237.78375</v>
      </c>
      <c r="I38" s="10">
        <f t="shared" si="2"/>
        <v>128855.21625</v>
      </c>
      <c r="J38" s="312">
        <f t="shared" si="3"/>
        <v>-86267.362183520061</v>
      </c>
      <c r="K38" s="14">
        <v>27320</v>
      </c>
      <c r="L38" s="10">
        <f t="shared" si="4"/>
        <v>30529.72296875</v>
      </c>
      <c r="M38" s="14">
        <f t="shared" si="5"/>
        <v>0</v>
      </c>
      <c r="N38" s="2">
        <f t="shared" si="6"/>
        <v>0</v>
      </c>
      <c r="O38" s="135">
        <f t="shared" si="7"/>
        <v>-86267.362183520061</v>
      </c>
      <c r="P38" s="34">
        <f>O38/'D) Ecrêtage'!C38</f>
        <v>-2.8256844083329122</v>
      </c>
    </row>
    <row r="39" spans="1:16" x14ac:dyDescent="0.25">
      <c r="A39" s="50">
        <f>+'A) Base RI'!A41</f>
        <v>5464</v>
      </c>
      <c r="B39" s="301" t="str">
        <f>+'A) Base RI'!B41</f>
        <v>Vully-les-Lacs</v>
      </c>
      <c r="C39" s="315">
        <f>+'D) Ecrêtage'!M39</f>
        <v>103962.98910447762</v>
      </c>
      <c r="D39" s="292">
        <v>1138357</v>
      </c>
      <c r="E39" s="315">
        <v>153862</v>
      </c>
      <c r="F39" s="292">
        <v>370117</v>
      </c>
      <c r="G39" s="315">
        <f t="shared" si="0"/>
        <v>1662336</v>
      </c>
      <c r="H39" s="292">
        <f t="shared" si="1"/>
        <v>831703.91283582093</v>
      </c>
      <c r="I39" s="10">
        <f t="shared" si="2"/>
        <v>830632.08716417907</v>
      </c>
      <c r="J39" s="312">
        <f t="shared" si="3"/>
        <v>-556100.41401521792</v>
      </c>
      <c r="K39" s="14">
        <v>50510</v>
      </c>
      <c r="L39" s="10">
        <f t="shared" si="4"/>
        <v>103962.98910447762</v>
      </c>
      <c r="M39" s="14">
        <f t="shared" si="5"/>
        <v>0</v>
      </c>
      <c r="N39" s="2">
        <f t="shared" si="6"/>
        <v>0</v>
      </c>
      <c r="O39" s="135">
        <f t="shared" si="7"/>
        <v>-556100.41401521792</v>
      </c>
      <c r="P39" s="34">
        <f>O39/'D) Ecrêtage'!C39</f>
        <v>-5.3490229436974417</v>
      </c>
    </row>
    <row r="40" spans="1:16" x14ac:dyDescent="0.25">
      <c r="A40" s="50">
        <f>+'A) Base RI'!A42</f>
        <v>5471</v>
      </c>
      <c r="B40" s="301" t="str">
        <f>+'A) Base RI'!B42</f>
        <v>Bettens</v>
      </c>
      <c r="C40" s="315">
        <f>+'D) Ecrêtage'!M40</f>
        <v>18585.086968253971</v>
      </c>
      <c r="D40" s="292">
        <v>128605</v>
      </c>
      <c r="E40" s="315">
        <v>17575</v>
      </c>
      <c r="F40" s="292">
        <v>52619</v>
      </c>
      <c r="G40" s="315">
        <f t="shared" si="0"/>
        <v>198799</v>
      </c>
      <c r="H40" s="292">
        <f t="shared" si="1"/>
        <v>148680.69574603176</v>
      </c>
      <c r="I40" s="10">
        <f t="shared" si="2"/>
        <v>50118.304253968236</v>
      </c>
      <c r="J40" s="312">
        <f t="shared" si="3"/>
        <v>-33553.73597536399</v>
      </c>
      <c r="K40" s="14">
        <v>510</v>
      </c>
      <c r="L40" s="10">
        <f t="shared" si="4"/>
        <v>18585.086968253971</v>
      </c>
      <c r="M40" s="14">
        <f t="shared" si="5"/>
        <v>0</v>
      </c>
      <c r="N40" s="2">
        <f t="shared" si="6"/>
        <v>0</v>
      </c>
      <c r="O40" s="135">
        <f t="shared" si="7"/>
        <v>-33553.73597536399</v>
      </c>
      <c r="P40" s="34">
        <f>O40/'D) Ecrêtage'!C40</f>
        <v>-1.8054118354505764</v>
      </c>
    </row>
    <row r="41" spans="1:16" x14ac:dyDescent="0.25">
      <c r="A41" s="50">
        <f>+'A) Base RI'!A43</f>
        <v>5472</v>
      </c>
      <c r="B41" s="301" t="str">
        <f>+'A) Base RI'!B43</f>
        <v>Bournens</v>
      </c>
      <c r="C41" s="315">
        <f>+'D) Ecrêtage'!M41</f>
        <v>16542.658815789473</v>
      </c>
      <c r="D41" s="292">
        <v>50923</v>
      </c>
      <c r="E41" s="315">
        <v>12830</v>
      </c>
      <c r="F41" s="292">
        <v>22069</v>
      </c>
      <c r="G41" s="315">
        <f t="shared" si="0"/>
        <v>85822</v>
      </c>
      <c r="H41" s="292">
        <f t="shared" si="1"/>
        <v>132341.27052631578</v>
      </c>
      <c r="I41" s="10">
        <f t="shared" si="2"/>
        <v>0</v>
      </c>
      <c r="J41" s="312">
        <f t="shared" si="3"/>
        <v>0</v>
      </c>
      <c r="K41" s="14">
        <v>50392</v>
      </c>
      <c r="L41" s="10">
        <f t="shared" si="4"/>
        <v>16542.658815789473</v>
      </c>
      <c r="M41" s="14">
        <f t="shared" si="5"/>
        <v>33849.341184210527</v>
      </c>
      <c r="N41" s="2">
        <f t="shared" si="6"/>
        <v>-22661.817352790571</v>
      </c>
      <c r="O41" s="135">
        <f t="shared" si="7"/>
        <v>-22661.817352790571</v>
      </c>
      <c r="P41" s="34">
        <f>O41/'D) Ecrêtage'!C41</f>
        <v>-1.3699017555243624</v>
      </c>
    </row>
    <row r="42" spans="1:16" x14ac:dyDescent="0.25">
      <c r="A42" s="50">
        <f>+'A) Base RI'!A44</f>
        <v>5473</v>
      </c>
      <c r="B42" s="301" t="str">
        <f>+'A) Base RI'!B44</f>
        <v>Boussens</v>
      </c>
      <c r="C42" s="315">
        <f>+'D) Ecrêtage'!M42</f>
        <v>36720.844927536244</v>
      </c>
      <c r="D42" s="292">
        <v>60157</v>
      </c>
      <c r="E42" s="315">
        <v>45103</v>
      </c>
      <c r="F42" s="292">
        <v>43120</v>
      </c>
      <c r="G42" s="315">
        <f t="shared" si="0"/>
        <v>148380</v>
      </c>
      <c r="H42" s="292">
        <f t="shared" si="1"/>
        <v>293766.75942028995</v>
      </c>
      <c r="I42" s="10">
        <f t="shared" si="2"/>
        <v>0</v>
      </c>
      <c r="J42" s="312">
        <f t="shared" si="3"/>
        <v>0</v>
      </c>
      <c r="K42" s="14">
        <v>14742</v>
      </c>
      <c r="L42" s="10">
        <f t="shared" si="4"/>
        <v>36720.844927536244</v>
      </c>
      <c r="M42" s="14">
        <f t="shared" si="5"/>
        <v>0</v>
      </c>
      <c r="N42" s="2">
        <f t="shared" si="6"/>
        <v>0</v>
      </c>
      <c r="O42" s="135">
        <f t="shared" si="7"/>
        <v>0</v>
      </c>
      <c r="P42" s="34">
        <f>O42/'D) Ecrêtage'!C42</f>
        <v>0</v>
      </c>
    </row>
    <row r="43" spans="1:16" x14ac:dyDescent="0.25">
      <c r="A43" s="50">
        <f>+'A) Base RI'!A45</f>
        <v>5474</v>
      </c>
      <c r="B43" s="301" t="str">
        <f>+'A) Base RI'!B45</f>
        <v>La Chaux (Cossonay)</v>
      </c>
      <c r="C43" s="315">
        <f>+'D) Ecrêtage'!M43</f>
        <v>12985.393549783552</v>
      </c>
      <c r="D43" s="292">
        <v>180234</v>
      </c>
      <c r="E43" s="315">
        <v>14639</v>
      </c>
      <c r="F43" s="292">
        <v>37243</v>
      </c>
      <c r="G43" s="315">
        <f t="shared" si="0"/>
        <v>232116</v>
      </c>
      <c r="H43" s="292">
        <f t="shared" si="1"/>
        <v>103883.14839826841</v>
      </c>
      <c r="I43" s="10">
        <f t="shared" si="2"/>
        <v>128232.85160173159</v>
      </c>
      <c r="J43" s="312">
        <f t="shared" si="3"/>
        <v>-85850.694872060791</v>
      </c>
      <c r="K43" s="14">
        <v>23487</v>
      </c>
      <c r="L43" s="10">
        <f t="shared" si="4"/>
        <v>12985.393549783552</v>
      </c>
      <c r="M43" s="14">
        <f t="shared" si="5"/>
        <v>10501.606450216448</v>
      </c>
      <c r="N43" s="2">
        <f t="shared" si="6"/>
        <v>-7030.7273039838055</v>
      </c>
      <c r="O43" s="135">
        <f t="shared" si="7"/>
        <v>-92881.422176044594</v>
      </c>
      <c r="P43" s="34">
        <f>O43/'D) Ecrêtage'!C43</f>
        <v>-7.1527614330635974</v>
      </c>
    </row>
    <row r="44" spans="1:16" x14ac:dyDescent="0.25">
      <c r="A44" s="50">
        <f>+'A) Base RI'!A46</f>
        <v>5475</v>
      </c>
      <c r="B44" s="301" t="str">
        <f>+'A) Base RI'!B46</f>
        <v>Chavannes-le-Veyron</v>
      </c>
      <c r="C44" s="315">
        <f>+'D) Ecrêtage'!M44</f>
        <v>4956.4012987012984</v>
      </c>
      <c r="D44" s="292">
        <v>74452</v>
      </c>
      <c r="E44" s="315">
        <v>4915</v>
      </c>
      <c r="F44" s="292">
        <v>27615</v>
      </c>
      <c r="G44" s="315">
        <f t="shared" si="0"/>
        <v>106982</v>
      </c>
      <c r="H44" s="292">
        <f t="shared" si="1"/>
        <v>39651.210389610387</v>
      </c>
      <c r="I44" s="10">
        <f t="shared" si="2"/>
        <v>67330.78961038962</v>
      </c>
      <c r="J44" s="312">
        <f t="shared" si="3"/>
        <v>-45077.333944731719</v>
      </c>
      <c r="K44" s="14">
        <v>4032</v>
      </c>
      <c r="L44" s="10">
        <f t="shared" si="4"/>
        <v>4956.4012987012984</v>
      </c>
      <c r="M44" s="14">
        <f t="shared" si="5"/>
        <v>0</v>
      </c>
      <c r="N44" s="2">
        <f t="shared" si="6"/>
        <v>0</v>
      </c>
      <c r="O44" s="135">
        <f t="shared" si="7"/>
        <v>-45077.333944731719</v>
      </c>
      <c r="P44" s="34">
        <f>O44/'D) Ecrêtage'!C44</f>
        <v>-9.0947708282909048</v>
      </c>
    </row>
    <row r="45" spans="1:16" x14ac:dyDescent="0.25">
      <c r="A45" s="50">
        <f>+'A) Base RI'!A47</f>
        <v>5476</v>
      </c>
      <c r="B45" s="301" t="str">
        <f>+'A) Base RI'!B47</f>
        <v>Chevilly</v>
      </c>
      <c r="C45" s="315">
        <f>+'D) Ecrêtage'!M45</f>
        <v>10630.648108108109</v>
      </c>
      <c r="D45" s="292">
        <v>19172</v>
      </c>
      <c r="E45" s="315">
        <v>35012</v>
      </c>
      <c r="F45" s="292">
        <v>68502</v>
      </c>
      <c r="G45" s="315">
        <f t="shared" si="0"/>
        <v>122686</v>
      </c>
      <c r="H45" s="292">
        <f t="shared" si="1"/>
        <v>85045.184864864874</v>
      </c>
      <c r="I45" s="10">
        <f t="shared" si="2"/>
        <v>37640.815135135126</v>
      </c>
      <c r="J45" s="312">
        <f t="shared" si="3"/>
        <v>-25200.173703838129</v>
      </c>
      <c r="K45" s="14">
        <v>-98</v>
      </c>
      <c r="L45" s="10">
        <f t="shared" si="4"/>
        <v>10630.648108108109</v>
      </c>
      <c r="M45" s="14">
        <f t="shared" si="5"/>
        <v>0</v>
      </c>
      <c r="N45" s="2">
        <f t="shared" si="6"/>
        <v>0</v>
      </c>
      <c r="O45" s="135">
        <f t="shared" si="7"/>
        <v>-25200.173703838129</v>
      </c>
      <c r="P45" s="34">
        <f>O45/'D) Ecrêtage'!C45</f>
        <v>-2.3705209172164854</v>
      </c>
    </row>
    <row r="46" spans="1:16" x14ac:dyDescent="0.25">
      <c r="A46" s="50">
        <f>+'A) Base RI'!A48</f>
        <v>5477</v>
      </c>
      <c r="B46" s="301" t="str">
        <f>+'A) Base RI'!B48</f>
        <v>Cossonay</v>
      </c>
      <c r="C46" s="315">
        <f>+'D) Ecrêtage'!M46</f>
        <v>133477.09521126762</v>
      </c>
      <c r="D46" s="292">
        <v>1234939</v>
      </c>
      <c r="E46" s="315">
        <v>331821</v>
      </c>
      <c r="F46" s="292">
        <v>314861</v>
      </c>
      <c r="G46" s="315">
        <f t="shared" si="0"/>
        <v>1881621</v>
      </c>
      <c r="H46" s="292">
        <f t="shared" si="1"/>
        <v>1067816.7616901409</v>
      </c>
      <c r="I46" s="10">
        <f t="shared" si="2"/>
        <v>813804.23830985907</v>
      </c>
      <c r="J46" s="312">
        <f t="shared" si="3"/>
        <v>-544834.32658676151</v>
      </c>
      <c r="K46" s="14">
        <v>7922</v>
      </c>
      <c r="L46" s="10">
        <f t="shared" si="4"/>
        <v>133477.09521126762</v>
      </c>
      <c r="M46" s="14">
        <f t="shared" si="5"/>
        <v>0</v>
      </c>
      <c r="N46" s="2">
        <f t="shared" si="6"/>
        <v>0</v>
      </c>
      <c r="O46" s="135">
        <f t="shared" si="7"/>
        <v>-544834.32658676151</v>
      </c>
      <c r="P46" s="34">
        <f>O46/'D) Ecrêtage'!C46</f>
        <v>-4.0818563344100163</v>
      </c>
    </row>
    <row r="47" spans="1:16" x14ac:dyDescent="0.25">
      <c r="A47" s="50">
        <f>+'A) Base RI'!A49</f>
        <v>5478</v>
      </c>
      <c r="B47" s="301" t="str">
        <f>+'A) Base RI'!B49</f>
        <v>Cottens</v>
      </c>
      <c r="C47" s="315">
        <f>+'D) Ecrêtage'!M47</f>
        <v>14377.418378378377</v>
      </c>
      <c r="D47" s="292">
        <v>75645</v>
      </c>
      <c r="E47" s="315">
        <v>16626</v>
      </c>
      <c r="F47" s="292">
        <v>67345</v>
      </c>
      <c r="G47" s="315">
        <f t="shared" si="0"/>
        <v>159616</v>
      </c>
      <c r="H47" s="292">
        <f t="shared" si="1"/>
        <v>115019.34702702702</v>
      </c>
      <c r="I47" s="10">
        <f t="shared" si="2"/>
        <v>44596.652972972981</v>
      </c>
      <c r="J47" s="312">
        <f t="shared" si="3"/>
        <v>-29857.042083014756</v>
      </c>
      <c r="K47" s="14">
        <v>3665</v>
      </c>
      <c r="L47" s="10">
        <f t="shared" si="4"/>
        <v>14377.418378378377</v>
      </c>
      <c r="M47" s="14">
        <f t="shared" si="5"/>
        <v>0</v>
      </c>
      <c r="N47" s="2">
        <f t="shared" si="6"/>
        <v>0</v>
      </c>
      <c r="O47" s="135">
        <f t="shared" si="7"/>
        <v>-29857.042083014756</v>
      </c>
      <c r="P47" s="34">
        <f>O47/'D) Ecrêtage'!C47</f>
        <v>-2.0766622558550263</v>
      </c>
    </row>
    <row r="48" spans="1:16" x14ac:dyDescent="0.25">
      <c r="A48" s="50">
        <f>+'A) Base RI'!A50</f>
        <v>5479</v>
      </c>
      <c r="B48" s="301" t="str">
        <f>+'A) Base RI'!B50</f>
        <v>Cuarnens</v>
      </c>
      <c r="C48" s="315">
        <f>+'D) Ecrêtage'!M48</f>
        <v>16455.372077922078</v>
      </c>
      <c r="D48" s="292">
        <v>108776</v>
      </c>
      <c r="E48" s="315">
        <v>16696</v>
      </c>
      <c r="F48" s="292">
        <v>103861</v>
      </c>
      <c r="G48" s="315">
        <f t="shared" si="0"/>
        <v>229333</v>
      </c>
      <c r="H48" s="292">
        <f t="shared" si="1"/>
        <v>131642.97662337663</v>
      </c>
      <c r="I48" s="10">
        <f t="shared" si="2"/>
        <v>97690.023376623372</v>
      </c>
      <c r="J48" s="312">
        <f t="shared" si="3"/>
        <v>-65402.557021805551</v>
      </c>
      <c r="K48" s="14">
        <v>95436</v>
      </c>
      <c r="L48" s="10">
        <f t="shared" si="4"/>
        <v>16455.372077922078</v>
      </c>
      <c r="M48" s="14">
        <f t="shared" si="5"/>
        <v>78980.627922077925</v>
      </c>
      <c r="N48" s="2">
        <f t="shared" si="6"/>
        <v>-52876.791741333436</v>
      </c>
      <c r="O48" s="135">
        <f t="shared" si="7"/>
        <v>-118279.34876313899</v>
      </c>
      <c r="P48" s="34">
        <f>O48/'D) Ecrêtage'!C48</f>
        <v>-7.1878866186096504</v>
      </c>
    </row>
    <row r="49" spans="1:16" x14ac:dyDescent="0.25">
      <c r="A49" s="50">
        <f>+'A) Base RI'!A51</f>
        <v>5480</v>
      </c>
      <c r="B49" s="301" t="str">
        <f>+'A) Base RI'!B51</f>
        <v>Daillens</v>
      </c>
      <c r="C49" s="315">
        <f>+'D) Ecrêtage'!M49</f>
        <v>41472.794507042257</v>
      </c>
      <c r="D49" s="292">
        <v>351618</v>
      </c>
      <c r="E49" s="315">
        <v>78339</v>
      </c>
      <c r="F49" s="292">
        <v>89342</v>
      </c>
      <c r="G49" s="315">
        <f t="shared" si="0"/>
        <v>519299</v>
      </c>
      <c r="H49" s="292">
        <f t="shared" si="1"/>
        <v>331782.35605633806</v>
      </c>
      <c r="I49" s="10">
        <f t="shared" si="2"/>
        <v>187516.64394366194</v>
      </c>
      <c r="J49" s="312">
        <f t="shared" si="3"/>
        <v>-125540.63940369243</v>
      </c>
      <c r="K49" s="14">
        <v>27620</v>
      </c>
      <c r="L49" s="10">
        <f t="shared" si="4"/>
        <v>41472.794507042257</v>
      </c>
      <c r="M49" s="14">
        <f t="shared" si="5"/>
        <v>0</v>
      </c>
      <c r="N49" s="2">
        <f t="shared" si="6"/>
        <v>0</v>
      </c>
      <c r="O49" s="135">
        <f t="shared" si="7"/>
        <v>-125540.63940369243</v>
      </c>
      <c r="P49" s="34">
        <f>O49/'D) Ecrêtage'!C49</f>
        <v>-3.0270600497483984</v>
      </c>
    </row>
    <row r="50" spans="1:16" x14ac:dyDescent="0.25">
      <c r="A50" s="50">
        <f>+'A) Base RI'!A52</f>
        <v>5481</v>
      </c>
      <c r="B50" s="301" t="str">
        <f>+'A) Base RI'!B52</f>
        <v>Dizy</v>
      </c>
      <c r="C50" s="315">
        <f>+'D) Ecrêtage'!M50</f>
        <v>11087.272784810126</v>
      </c>
      <c r="D50" s="292">
        <v>47773</v>
      </c>
      <c r="E50" s="315">
        <v>0</v>
      </c>
      <c r="F50" s="292">
        <v>19005</v>
      </c>
      <c r="G50" s="315">
        <f t="shared" si="0"/>
        <v>66778</v>
      </c>
      <c r="H50" s="292">
        <f t="shared" si="1"/>
        <v>88698.182278481007</v>
      </c>
      <c r="I50" s="10">
        <f t="shared" si="2"/>
        <v>0</v>
      </c>
      <c r="J50" s="312">
        <f t="shared" si="3"/>
        <v>0</v>
      </c>
      <c r="K50" s="14">
        <v>7296</v>
      </c>
      <c r="L50" s="10">
        <f t="shared" si="4"/>
        <v>11087.272784810126</v>
      </c>
      <c r="M50" s="14">
        <f t="shared" si="5"/>
        <v>0</v>
      </c>
      <c r="N50" s="2">
        <f t="shared" si="6"/>
        <v>0</v>
      </c>
      <c r="O50" s="135">
        <f t="shared" si="7"/>
        <v>0</v>
      </c>
      <c r="P50" s="34">
        <f>O50/'D) Ecrêtage'!C50</f>
        <v>0</v>
      </c>
    </row>
    <row r="51" spans="1:16" x14ac:dyDescent="0.25">
      <c r="A51" s="50">
        <f>+'A) Base RI'!A53</f>
        <v>5482</v>
      </c>
      <c r="B51" s="301" t="str">
        <f>+'A) Base RI'!B53</f>
        <v>Eclépens</v>
      </c>
      <c r="C51" s="315">
        <f>+'D) Ecrêtage'!M51</f>
        <v>49011.702173913051</v>
      </c>
      <c r="D51" s="292">
        <v>186881</v>
      </c>
      <c r="E51" s="315">
        <v>98347</v>
      </c>
      <c r="F51" s="292">
        <v>239993</v>
      </c>
      <c r="G51" s="315">
        <f t="shared" si="0"/>
        <v>525221</v>
      </c>
      <c r="H51" s="292">
        <f t="shared" si="1"/>
        <v>392093.6173913044</v>
      </c>
      <c r="I51" s="10">
        <f t="shared" si="2"/>
        <v>133127.3826086956</v>
      </c>
      <c r="J51" s="312">
        <f t="shared" si="3"/>
        <v>-89127.537605978709</v>
      </c>
      <c r="K51" s="14">
        <v>63736</v>
      </c>
      <c r="L51" s="10">
        <f t="shared" si="4"/>
        <v>49011.702173913051</v>
      </c>
      <c r="M51" s="14">
        <f t="shared" si="5"/>
        <v>14724.297826086949</v>
      </c>
      <c r="N51" s="2">
        <f t="shared" si="6"/>
        <v>-9857.7796881471604</v>
      </c>
      <c r="O51" s="135">
        <f t="shared" si="7"/>
        <v>-98985.317294125867</v>
      </c>
      <c r="P51" s="34">
        <f>O51/'D) Ecrêtage'!C51</f>
        <v>-2.0196261893309995</v>
      </c>
    </row>
    <row r="52" spans="1:16" x14ac:dyDescent="0.25">
      <c r="A52" s="50">
        <f>+'A) Base RI'!A54</f>
        <v>5483</v>
      </c>
      <c r="B52" s="301" t="str">
        <f>+'A) Base RI'!B54</f>
        <v>Ferreyres</v>
      </c>
      <c r="C52" s="315">
        <f>+'D) Ecrêtage'!M52</f>
        <v>8858.2019736842121</v>
      </c>
      <c r="D52" s="292">
        <v>26430</v>
      </c>
      <c r="E52" s="315">
        <v>11223</v>
      </c>
      <c r="F52" s="292">
        <v>75506</v>
      </c>
      <c r="G52" s="315">
        <f t="shared" si="0"/>
        <v>113159</v>
      </c>
      <c r="H52" s="292">
        <f t="shared" si="1"/>
        <v>70865.615789473697</v>
      </c>
      <c r="I52" s="10">
        <f t="shared" si="2"/>
        <v>42293.384210526303</v>
      </c>
      <c r="J52" s="312">
        <f t="shared" si="3"/>
        <v>-28315.025187474639</v>
      </c>
      <c r="K52" s="14">
        <v>4491</v>
      </c>
      <c r="L52" s="10">
        <f t="shared" si="4"/>
        <v>8858.2019736842121</v>
      </c>
      <c r="M52" s="14">
        <f t="shared" si="5"/>
        <v>0</v>
      </c>
      <c r="N52" s="2">
        <f t="shared" si="6"/>
        <v>0</v>
      </c>
      <c r="O52" s="135">
        <f t="shared" si="7"/>
        <v>-28315.025187474639</v>
      </c>
      <c r="P52" s="34">
        <f>O52/'D) Ecrêtage'!C52</f>
        <v>-3.1964754553567878</v>
      </c>
    </row>
    <row r="53" spans="1:16" x14ac:dyDescent="0.25">
      <c r="A53" s="50">
        <f>+'A) Base RI'!A55</f>
        <v>5484</v>
      </c>
      <c r="B53" s="301" t="str">
        <f>+'A) Base RI'!B55</f>
        <v>Gollion</v>
      </c>
      <c r="C53" s="315">
        <f>+'D) Ecrêtage'!M53</f>
        <v>32194.381081081083</v>
      </c>
      <c r="D53" s="292">
        <v>218797</v>
      </c>
      <c r="E53" s="315">
        <v>64823</v>
      </c>
      <c r="F53" s="292">
        <v>69909</v>
      </c>
      <c r="G53" s="315">
        <f t="shared" si="0"/>
        <v>353529</v>
      </c>
      <c r="H53" s="292">
        <f t="shared" si="1"/>
        <v>257555.04864864866</v>
      </c>
      <c r="I53" s="10">
        <f t="shared" si="2"/>
        <v>95973.951351351338</v>
      </c>
      <c r="J53" s="312">
        <f t="shared" si="3"/>
        <v>-64253.662850149158</v>
      </c>
      <c r="K53" s="14">
        <v>40281</v>
      </c>
      <c r="L53" s="10">
        <f t="shared" si="4"/>
        <v>32194.381081081083</v>
      </c>
      <c r="M53" s="14">
        <f t="shared" si="5"/>
        <v>8086.6189189189172</v>
      </c>
      <c r="N53" s="2">
        <f t="shared" si="6"/>
        <v>-5413.9157375282721</v>
      </c>
      <c r="O53" s="135">
        <f t="shared" si="7"/>
        <v>-69667.578587677432</v>
      </c>
      <c r="P53" s="34">
        <f>O53/'D) Ecrêtage'!C53</f>
        <v>-2.1639670106476232</v>
      </c>
    </row>
    <row r="54" spans="1:16" x14ac:dyDescent="0.25">
      <c r="A54" s="50">
        <f>+'A) Base RI'!A56</f>
        <v>5485</v>
      </c>
      <c r="B54" s="301" t="str">
        <f>+'A) Base RI'!B56</f>
        <v>Grancy</v>
      </c>
      <c r="C54" s="315">
        <f>+'D) Ecrêtage'!M54</f>
        <v>18697.252714285714</v>
      </c>
      <c r="D54" s="292">
        <v>668138</v>
      </c>
      <c r="E54" s="315">
        <v>14047</v>
      </c>
      <c r="F54" s="292">
        <v>31531</v>
      </c>
      <c r="G54" s="315">
        <f t="shared" si="0"/>
        <v>713716</v>
      </c>
      <c r="H54" s="292">
        <f t="shared" si="1"/>
        <v>149578.02171428571</v>
      </c>
      <c r="I54" s="10">
        <f t="shared" si="2"/>
        <v>564137.97828571429</v>
      </c>
      <c r="J54" s="312">
        <f t="shared" si="3"/>
        <v>-377685.10046059149</v>
      </c>
      <c r="K54" s="14">
        <v>104155</v>
      </c>
      <c r="L54" s="10">
        <f t="shared" si="4"/>
        <v>18697.252714285714</v>
      </c>
      <c r="M54" s="14">
        <f t="shared" si="5"/>
        <v>85457.747285714286</v>
      </c>
      <c r="N54" s="2">
        <f t="shared" si="6"/>
        <v>-57213.162579162898</v>
      </c>
      <c r="O54" s="135">
        <f t="shared" si="7"/>
        <v>-434898.26303975441</v>
      </c>
      <c r="P54" s="34">
        <f>O54/'D) Ecrêtage'!C54</f>
        <v>-23.260008819770007</v>
      </c>
    </row>
    <row r="55" spans="1:16" x14ac:dyDescent="0.25">
      <c r="A55" s="50">
        <f>+'A) Base RI'!A57</f>
        <v>5486</v>
      </c>
      <c r="B55" s="301" t="str">
        <f>+'A) Base RI'!B57</f>
        <v>L'Isle</v>
      </c>
      <c r="C55" s="315">
        <f>+'D) Ecrêtage'!M55</f>
        <v>31254.420526315782</v>
      </c>
      <c r="D55" s="292">
        <v>344760</v>
      </c>
      <c r="E55" s="315">
        <v>71402</v>
      </c>
      <c r="F55" s="292">
        <v>167498</v>
      </c>
      <c r="G55" s="315">
        <f t="shared" si="0"/>
        <v>583660</v>
      </c>
      <c r="H55" s="292">
        <f t="shared" si="1"/>
        <v>250035.36421052626</v>
      </c>
      <c r="I55" s="10">
        <f t="shared" si="2"/>
        <v>333624.63578947377</v>
      </c>
      <c r="J55" s="312">
        <f t="shared" si="3"/>
        <v>-223358.57349504469</v>
      </c>
      <c r="K55" s="14">
        <v>151510</v>
      </c>
      <c r="L55" s="10">
        <f t="shared" si="4"/>
        <v>31254.420526315782</v>
      </c>
      <c r="M55" s="14">
        <f t="shared" si="5"/>
        <v>120255.57947368422</v>
      </c>
      <c r="N55" s="2">
        <f t="shared" si="6"/>
        <v>-80509.98578837431</v>
      </c>
      <c r="O55" s="135">
        <f t="shared" si="7"/>
        <v>-303868.55928341899</v>
      </c>
      <c r="P55" s="34">
        <f>O55/'D) Ecrêtage'!C55</f>
        <v>-9.722418594437416</v>
      </c>
    </row>
    <row r="56" spans="1:16" x14ac:dyDescent="0.25">
      <c r="A56" s="50">
        <f>+'A) Base RI'!A58</f>
        <v>5487</v>
      </c>
      <c r="B56" s="301" t="str">
        <f>+'A) Base RI'!B58</f>
        <v>Lussery-Villars</v>
      </c>
      <c r="C56" s="315">
        <f>+'D) Ecrêtage'!M56</f>
        <v>14791.264800000001</v>
      </c>
      <c r="D56" s="292">
        <v>73331</v>
      </c>
      <c r="E56" s="315">
        <v>35591</v>
      </c>
      <c r="F56" s="292">
        <v>32737</v>
      </c>
      <c r="G56" s="315">
        <f t="shared" si="0"/>
        <v>141659</v>
      </c>
      <c r="H56" s="292">
        <f t="shared" si="1"/>
        <v>118330.11840000001</v>
      </c>
      <c r="I56" s="10">
        <f t="shared" si="2"/>
        <v>23328.881599999993</v>
      </c>
      <c r="J56" s="312">
        <f t="shared" si="3"/>
        <v>-15618.46805191836</v>
      </c>
      <c r="K56" s="14">
        <v>4378</v>
      </c>
      <c r="L56" s="10">
        <f t="shared" si="4"/>
        <v>14791.264800000001</v>
      </c>
      <c r="M56" s="14">
        <f t="shared" si="5"/>
        <v>0</v>
      </c>
      <c r="N56" s="2">
        <f t="shared" si="6"/>
        <v>0</v>
      </c>
      <c r="O56" s="135">
        <f t="shared" si="7"/>
        <v>-15618.46805191836</v>
      </c>
      <c r="P56" s="34">
        <f>O56/'D) Ecrêtage'!C56</f>
        <v>-1.0559251195285448</v>
      </c>
    </row>
    <row r="57" spans="1:16" x14ac:dyDescent="0.25">
      <c r="A57" s="50">
        <f>+'A) Base RI'!A59</f>
        <v>5488</v>
      </c>
      <c r="B57" s="301" t="str">
        <f>+'A) Base RI'!B59</f>
        <v>Mauraz</v>
      </c>
      <c r="C57" s="315">
        <f>+'D) Ecrêtage'!M57</f>
        <v>1908.9349999999995</v>
      </c>
      <c r="D57" s="292">
        <v>1167</v>
      </c>
      <c r="E57" s="315">
        <v>0</v>
      </c>
      <c r="F57" s="292">
        <v>10840</v>
      </c>
      <c r="G57" s="315">
        <f t="shared" si="0"/>
        <v>12007</v>
      </c>
      <c r="H57" s="292">
        <f t="shared" si="1"/>
        <v>15271.479999999996</v>
      </c>
      <c r="I57" s="10">
        <f t="shared" si="2"/>
        <v>0</v>
      </c>
      <c r="J57" s="312">
        <f t="shared" si="3"/>
        <v>0</v>
      </c>
      <c r="K57" s="14">
        <v>0</v>
      </c>
      <c r="L57" s="10">
        <f t="shared" si="4"/>
        <v>1908.9349999999995</v>
      </c>
      <c r="M57" s="14">
        <f t="shared" si="5"/>
        <v>0</v>
      </c>
      <c r="N57" s="2">
        <f t="shared" si="6"/>
        <v>0</v>
      </c>
      <c r="O57" s="135">
        <f t="shared" si="7"/>
        <v>0</v>
      </c>
      <c r="P57" s="34">
        <f>O57/'D) Ecrêtage'!C57</f>
        <v>0</v>
      </c>
    </row>
    <row r="58" spans="1:16" x14ac:dyDescent="0.25">
      <c r="A58" s="50">
        <f>+'A) Base RI'!A60</f>
        <v>5489</v>
      </c>
      <c r="B58" s="301" t="str">
        <f>+'A) Base RI'!B60</f>
        <v>Mex</v>
      </c>
      <c r="C58" s="315">
        <f>+'D) Ecrêtage'!M58</f>
        <v>63928.216488675753</v>
      </c>
      <c r="D58" s="292">
        <v>217728</v>
      </c>
      <c r="E58" s="315">
        <v>21985</v>
      </c>
      <c r="F58" s="292">
        <v>47729</v>
      </c>
      <c r="G58" s="315">
        <f t="shared" si="0"/>
        <v>287442</v>
      </c>
      <c r="H58" s="292">
        <f t="shared" si="1"/>
        <v>511425.73190940602</v>
      </c>
      <c r="I58" s="10">
        <f t="shared" si="2"/>
        <v>0</v>
      </c>
      <c r="J58" s="312">
        <f t="shared" si="3"/>
        <v>0</v>
      </c>
      <c r="K58" s="14">
        <v>26742</v>
      </c>
      <c r="L58" s="10">
        <f t="shared" si="4"/>
        <v>63928.216488675753</v>
      </c>
      <c r="M58" s="14">
        <f t="shared" si="5"/>
        <v>0</v>
      </c>
      <c r="N58" s="2">
        <f t="shared" si="6"/>
        <v>0</v>
      </c>
      <c r="O58" s="135">
        <f t="shared" si="7"/>
        <v>0</v>
      </c>
      <c r="P58" s="34">
        <f>O58/'D) Ecrêtage'!C58</f>
        <v>0</v>
      </c>
    </row>
    <row r="59" spans="1:16" x14ac:dyDescent="0.25">
      <c r="A59" s="50">
        <f>+'A) Base RI'!A61</f>
        <v>5490</v>
      </c>
      <c r="B59" s="301" t="str">
        <f>+'A) Base RI'!B61</f>
        <v>Moiry</v>
      </c>
      <c r="C59" s="315">
        <f>+'D) Ecrêtage'!M59</f>
        <v>9296.4079999999994</v>
      </c>
      <c r="D59" s="292">
        <v>59859</v>
      </c>
      <c r="E59" s="315">
        <v>11014</v>
      </c>
      <c r="F59" s="292">
        <v>66047</v>
      </c>
      <c r="G59" s="315">
        <f t="shared" si="0"/>
        <v>136920</v>
      </c>
      <c r="H59" s="292">
        <f t="shared" si="1"/>
        <v>74371.263999999996</v>
      </c>
      <c r="I59" s="10">
        <f t="shared" si="2"/>
        <v>62548.736000000004</v>
      </c>
      <c r="J59" s="312">
        <f t="shared" si="3"/>
        <v>-41875.793775895203</v>
      </c>
      <c r="K59" s="14">
        <v>-6288</v>
      </c>
      <c r="L59" s="10">
        <f t="shared" si="4"/>
        <v>9296.4079999999994</v>
      </c>
      <c r="M59" s="14">
        <f t="shared" si="5"/>
        <v>0</v>
      </c>
      <c r="N59" s="2">
        <f t="shared" si="6"/>
        <v>0</v>
      </c>
      <c r="O59" s="135">
        <f t="shared" si="7"/>
        <v>-41875.793775895203</v>
      </c>
      <c r="P59" s="34">
        <f>O59/'D) Ecrêtage'!C59</f>
        <v>-4.5045133320197657</v>
      </c>
    </row>
    <row r="60" spans="1:16" x14ac:dyDescent="0.25">
      <c r="A60" s="50">
        <f>+'A) Base RI'!A62</f>
        <v>5491</v>
      </c>
      <c r="B60" s="301" t="str">
        <f>+'A) Base RI'!B62</f>
        <v>Mont-la-Ville</v>
      </c>
      <c r="C60" s="315">
        <f>+'D) Ecrêtage'!M60</f>
        <v>12324.548552631581</v>
      </c>
      <c r="D60" s="292">
        <v>189049</v>
      </c>
      <c r="E60" s="315">
        <v>22057</v>
      </c>
      <c r="F60" s="292">
        <v>83189</v>
      </c>
      <c r="G60" s="315">
        <f t="shared" si="0"/>
        <v>294295</v>
      </c>
      <c r="H60" s="292">
        <f t="shared" si="1"/>
        <v>98596.388421052645</v>
      </c>
      <c r="I60" s="10">
        <f t="shared" si="2"/>
        <v>195698.61157894734</v>
      </c>
      <c r="J60" s="312">
        <f t="shared" si="3"/>
        <v>-131018.39021509587</v>
      </c>
      <c r="K60" s="14">
        <v>47148</v>
      </c>
      <c r="L60" s="10">
        <f t="shared" si="4"/>
        <v>12324.548552631581</v>
      </c>
      <c r="M60" s="14">
        <f t="shared" ref="M60:M114" si="8">IF(K60&gt;L60,K60-L60,0)</f>
        <v>34823.451447368418</v>
      </c>
      <c r="N60" s="2">
        <f t="shared" si="6"/>
        <v>-23313.975063779053</v>
      </c>
      <c r="O60" s="135">
        <f t="shared" ref="O60:O114" si="9">N60+J60</f>
        <v>-154332.36527887493</v>
      </c>
      <c r="P60" s="34">
        <f>O60/'D) Ecrêtage'!C60</f>
        <v>-12.522354439175084</v>
      </c>
    </row>
    <row r="61" spans="1:16" x14ac:dyDescent="0.25">
      <c r="A61" s="50">
        <f>+'A) Base RI'!A63</f>
        <v>5492</v>
      </c>
      <c r="B61" s="301" t="str">
        <f>+'A) Base RI'!B63</f>
        <v>Montricher</v>
      </c>
      <c r="C61" s="315">
        <f>+'D) Ecrêtage'!M61</f>
        <v>181920.96577427909</v>
      </c>
      <c r="D61" s="292">
        <v>144180</v>
      </c>
      <c r="E61" s="315">
        <v>68734</v>
      </c>
      <c r="F61" s="292">
        <v>117603</v>
      </c>
      <c r="G61" s="315">
        <f t="shared" si="0"/>
        <v>330517</v>
      </c>
      <c r="H61" s="292">
        <f t="shared" si="1"/>
        <v>1455367.7261942327</v>
      </c>
      <c r="I61" s="10">
        <f t="shared" si="2"/>
        <v>0</v>
      </c>
      <c r="J61" s="312">
        <f t="shared" si="3"/>
        <v>0</v>
      </c>
      <c r="K61" s="14">
        <v>304760</v>
      </c>
      <c r="L61" s="10">
        <f t="shared" si="4"/>
        <v>181920.96577427909</v>
      </c>
      <c r="M61" s="14">
        <f t="shared" si="8"/>
        <v>122839.03422572091</v>
      </c>
      <c r="N61" s="2">
        <f t="shared" si="6"/>
        <v>-82239.584583554519</v>
      </c>
      <c r="O61" s="135">
        <f t="shared" si="9"/>
        <v>-82239.584583554519</v>
      </c>
      <c r="P61" s="34">
        <f>O61/'D) Ecrêtage'!C61</f>
        <v>-0.34786900604376009</v>
      </c>
    </row>
    <row r="62" spans="1:16" x14ac:dyDescent="0.25">
      <c r="A62" s="50">
        <f>+'A) Base RI'!A64</f>
        <v>5493</v>
      </c>
      <c r="B62" s="301" t="str">
        <f>+'A) Base RI'!B64</f>
        <v>Orny</v>
      </c>
      <c r="C62" s="315">
        <f>+'D) Ecrêtage'!M62</f>
        <v>10717.748314014751</v>
      </c>
      <c r="D62" s="292">
        <v>992023</v>
      </c>
      <c r="E62" s="315">
        <v>0</v>
      </c>
      <c r="F62" s="292">
        <v>78009</v>
      </c>
      <c r="G62" s="315">
        <f t="shared" si="0"/>
        <v>1070032</v>
      </c>
      <c r="H62" s="292">
        <f t="shared" si="1"/>
        <v>85741.986512118005</v>
      </c>
      <c r="I62" s="10">
        <f t="shared" si="2"/>
        <v>984290.01348788198</v>
      </c>
      <c r="J62" s="312">
        <f t="shared" si="3"/>
        <v>-658972.95863007766</v>
      </c>
      <c r="K62" s="14">
        <v>5216</v>
      </c>
      <c r="L62" s="10">
        <f t="shared" si="4"/>
        <v>10717.748314014751</v>
      </c>
      <c r="M62" s="14">
        <f t="shared" si="8"/>
        <v>0</v>
      </c>
      <c r="N62" s="2">
        <f t="shared" si="6"/>
        <v>0</v>
      </c>
      <c r="O62" s="135">
        <f t="shared" si="9"/>
        <v>-658972.95863007766</v>
      </c>
      <c r="P62" s="34">
        <f>O62/'D) Ecrêtage'!C62</f>
        <v>-61.48427256575814</v>
      </c>
    </row>
    <row r="63" spans="1:16" x14ac:dyDescent="0.25">
      <c r="A63" s="50">
        <f>+'A) Base RI'!A65</f>
        <v>5494</v>
      </c>
      <c r="B63" s="301" t="str">
        <f>+'A) Base RI'!B65</f>
        <v>Pampigny</v>
      </c>
      <c r="C63" s="315">
        <f>+'D) Ecrêtage'!M63</f>
        <v>37813.321536507938</v>
      </c>
      <c r="D63" s="292">
        <v>228864</v>
      </c>
      <c r="E63" s="315">
        <v>78354</v>
      </c>
      <c r="F63" s="292">
        <v>143704</v>
      </c>
      <c r="G63" s="315">
        <f t="shared" si="0"/>
        <v>450922</v>
      </c>
      <c r="H63" s="292">
        <f t="shared" si="1"/>
        <v>302506.5722920635</v>
      </c>
      <c r="I63" s="10">
        <f t="shared" si="2"/>
        <v>148415.4277079365</v>
      </c>
      <c r="J63" s="312">
        <f t="shared" si="3"/>
        <v>-99362.740821154744</v>
      </c>
      <c r="K63" s="14">
        <v>177038</v>
      </c>
      <c r="L63" s="10">
        <f t="shared" si="4"/>
        <v>37813.321536507938</v>
      </c>
      <c r="M63" s="14">
        <f t="shared" si="8"/>
        <v>139224.67846349208</v>
      </c>
      <c r="N63" s="2">
        <f t="shared" si="6"/>
        <v>-93209.620156872741</v>
      </c>
      <c r="O63" s="135">
        <f t="shared" si="9"/>
        <v>-192572.36097802749</v>
      </c>
      <c r="P63" s="34">
        <f>O63/'D) Ecrêtage'!C63</f>
        <v>-5.0927121224223342</v>
      </c>
    </row>
    <row r="64" spans="1:16" x14ac:dyDescent="0.25">
      <c r="A64" s="50">
        <f>+'A) Base RI'!A66</f>
        <v>5495</v>
      </c>
      <c r="B64" s="301" t="str">
        <f>+'A) Base RI'!B66</f>
        <v>Penthalaz</v>
      </c>
      <c r="C64" s="315">
        <f>+'D) Ecrêtage'!M64</f>
        <v>92917.674594594588</v>
      </c>
      <c r="D64" s="292">
        <v>800030</v>
      </c>
      <c r="E64" s="315">
        <v>425213</v>
      </c>
      <c r="F64" s="292">
        <v>269105</v>
      </c>
      <c r="G64" s="315">
        <f t="shared" si="0"/>
        <v>1494348</v>
      </c>
      <c r="H64" s="292">
        <f t="shared" si="1"/>
        <v>743341.3967567567</v>
      </c>
      <c r="I64" s="10">
        <f t="shared" si="2"/>
        <v>751006.6032432433</v>
      </c>
      <c r="J64" s="312">
        <f t="shared" si="3"/>
        <v>-502791.89721355203</v>
      </c>
      <c r="K64" s="14">
        <v>11352</v>
      </c>
      <c r="L64" s="10">
        <f t="shared" si="4"/>
        <v>92917.674594594588</v>
      </c>
      <c r="M64" s="14">
        <f t="shared" si="8"/>
        <v>0</v>
      </c>
      <c r="N64" s="2">
        <f t="shared" si="6"/>
        <v>0</v>
      </c>
      <c r="O64" s="135">
        <f t="shared" si="9"/>
        <v>-502791.89721355203</v>
      </c>
      <c r="P64" s="34">
        <f>O64/'D) Ecrêtage'!C64</f>
        <v>-5.4111545452171868</v>
      </c>
    </row>
    <row r="65" spans="1:16" x14ac:dyDescent="0.25">
      <c r="A65" s="50">
        <f>+'A) Base RI'!A67</f>
        <v>5496</v>
      </c>
      <c r="B65" s="301" t="str">
        <f>+'A) Base RI'!B67</f>
        <v>Penthaz</v>
      </c>
      <c r="C65" s="315">
        <f>+'D) Ecrêtage'!M65</f>
        <v>57442.135633802813</v>
      </c>
      <c r="D65" s="292">
        <v>508718</v>
      </c>
      <c r="E65" s="315">
        <v>134247</v>
      </c>
      <c r="F65" s="292">
        <v>150807</v>
      </c>
      <c r="G65" s="315">
        <f t="shared" si="0"/>
        <v>793772</v>
      </c>
      <c r="H65" s="292">
        <f t="shared" si="1"/>
        <v>459537.0850704225</v>
      </c>
      <c r="I65" s="10">
        <f t="shared" si="2"/>
        <v>334234.9149295775</v>
      </c>
      <c r="J65" s="312">
        <f t="shared" si="3"/>
        <v>-223767.14967181531</v>
      </c>
      <c r="K65" s="14">
        <v>14144</v>
      </c>
      <c r="L65" s="10">
        <f t="shared" si="4"/>
        <v>57442.135633802813</v>
      </c>
      <c r="M65" s="14">
        <f t="shared" si="8"/>
        <v>0</v>
      </c>
      <c r="N65" s="2">
        <f t="shared" si="6"/>
        <v>0</v>
      </c>
      <c r="O65" s="135">
        <f t="shared" si="9"/>
        <v>-223767.14967181531</v>
      </c>
      <c r="P65" s="34">
        <f>O65/'D) Ecrêtage'!C65</f>
        <v>-3.8955228109613613</v>
      </c>
    </row>
    <row r="66" spans="1:16" x14ac:dyDescent="0.25">
      <c r="A66" s="50">
        <f>+'A) Base RI'!A68</f>
        <v>5497</v>
      </c>
      <c r="B66" s="301" t="str">
        <f>+'A) Base RI'!B68</f>
        <v>Pompaples</v>
      </c>
      <c r="C66" s="315">
        <f>+'D) Ecrêtage'!M66</f>
        <v>22516.582121212119</v>
      </c>
      <c r="D66" s="292">
        <v>225631</v>
      </c>
      <c r="E66" s="315">
        <v>29766</v>
      </c>
      <c r="F66" s="292">
        <v>190752</v>
      </c>
      <c r="G66" s="315">
        <f t="shared" si="0"/>
        <v>446149</v>
      </c>
      <c r="H66" s="292">
        <f t="shared" si="1"/>
        <v>180132.65696969695</v>
      </c>
      <c r="I66" s="10">
        <f t="shared" si="2"/>
        <v>266016.34303030302</v>
      </c>
      <c r="J66" s="312">
        <f t="shared" si="3"/>
        <v>-178095.45378750365</v>
      </c>
      <c r="K66" s="14">
        <v>9424</v>
      </c>
      <c r="L66" s="10">
        <f t="shared" si="4"/>
        <v>22516.582121212119</v>
      </c>
      <c r="M66" s="14">
        <f t="shared" si="8"/>
        <v>0</v>
      </c>
      <c r="N66" s="2">
        <f t="shared" si="6"/>
        <v>0</v>
      </c>
      <c r="O66" s="135">
        <f t="shared" si="9"/>
        <v>-178095.45378750365</v>
      </c>
      <c r="P66" s="34">
        <f>O66/'D) Ecrêtage'!C66</f>
        <v>-7.9095243154033525</v>
      </c>
    </row>
    <row r="67" spans="1:16" x14ac:dyDescent="0.25">
      <c r="A67" s="50">
        <f>+'A) Base RI'!A69</f>
        <v>5498</v>
      </c>
      <c r="B67" s="301" t="str">
        <f>+'A) Base RI'!B69</f>
        <v>La Sarraz</v>
      </c>
      <c r="C67" s="315">
        <f>+'D) Ecrêtage'!M67</f>
        <v>78201.916969696991</v>
      </c>
      <c r="D67" s="292">
        <v>713167</v>
      </c>
      <c r="E67" s="315">
        <v>230623</v>
      </c>
      <c r="F67" s="292">
        <v>584605</v>
      </c>
      <c r="G67" s="315">
        <f t="shared" si="0"/>
        <v>1528395</v>
      </c>
      <c r="H67" s="292">
        <f t="shared" si="1"/>
        <v>625615.33575757593</v>
      </c>
      <c r="I67" s="10">
        <f t="shared" si="2"/>
        <v>902779.66424242407</v>
      </c>
      <c r="J67" s="312">
        <f t="shared" si="3"/>
        <v>-604402.54212151724</v>
      </c>
      <c r="K67" s="14">
        <v>30292</v>
      </c>
      <c r="L67" s="10">
        <f t="shared" si="4"/>
        <v>78201.916969696991</v>
      </c>
      <c r="M67" s="14">
        <f t="shared" si="8"/>
        <v>0</v>
      </c>
      <c r="N67" s="2">
        <f t="shared" si="6"/>
        <v>0</v>
      </c>
      <c r="O67" s="135">
        <f t="shared" si="9"/>
        <v>-604402.54212151724</v>
      </c>
      <c r="P67" s="34">
        <f>O67/'D) Ecrêtage'!C67</f>
        <v>-7.7287433037699245</v>
      </c>
    </row>
    <row r="68" spans="1:16" x14ac:dyDescent="0.25">
      <c r="A68" s="50">
        <f>+'A) Base RI'!A70</f>
        <v>5499</v>
      </c>
      <c r="B68" s="301" t="str">
        <f>+'A) Base RI'!B70</f>
        <v>Senarclens</v>
      </c>
      <c r="C68" s="315">
        <f>+'D) Ecrêtage'!M68</f>
        <v>23886.663649635037</v>
      </c>
      <c r="D68" s="292">
        <v>40444</v>
      </c>
      <c r="E68" s="315">
        <v>17602</v>
      </c>
      <c r="F68" s="292">
        <v>40657</v>
      </c>
      <c r="G68" s="315">
        <f t="shared" si="0"/>
        <v>98703</v>
      </c>
      <c r="H68" s="292">
        <f t="shared" si="1"/>
        <v>191093.30919708029</v>
      </c>
      <c r="I68" s="10">
        <f t="shared" si="2"/>
        <v>0</v>
      </c>
      <c r="J68" s="312">
        <f t="shared" si="3"/>
        <v>0</v>
      </c>
      <c r="K68" s="14">
        <v>15288</v>
      </c>
      <c r="L68" s="10">
        <f t="shared" si="4"/>
        <v>23886.663649635037</v>
      </c>
      <c r="M68" s="14">
        <f t="shared" si="8"/>
        <v>0</v>
      </c>
      <c r="N68" s="2">
        <f t="shared" si="6"/>
        <v>0</v>
      </c>
      <c r="O68" s="135">
        <f t="shared" si="9"/>
        <v>0</v>
      </c>
      <c r="P68" s="34">
        <f>O68/'D) Ecrêtage'!C68</f>
        <v>0</v>
      </c>
    </row>
    <row r="69" spans="1:16" x14ac:dyDescent="0.25">
      <c r="A69" s="50">
        <f>+'A) Base RI'!A71</f>
        <v>5500</v>
      </c>
      <c r="B69" s="301" t="str">
        <f>+'A) Base RI'!B71</f>
        <v>Sévery</v>
      </c>
      <c r="C69" s="315">
        <f>+'D) Ecrêtage'!M69</f>
        <v>6331.5331555555558</v>
      </c>
      <c r="D69" s="292">
        <v>62957</v>
      </c>
      <c r="E69" s="315">
        <v>12182</v>
      </c>
      <c r="F69" s="292">
        <v>24657</v>
      </c>
      <c r="G69" s="315">
        <f t="shared" si="0"/>
        <v>99796</v>
      </c>
      <c r="H69" s="292">
        <f t="shared" si="1"/>
        <v>50652.265244444447</v>
      </c>
      <c r="I69" s="10">
        <f t="shared" si="2"/>
        <v>49143.734755555553</v>
      </c>
      <c r="J69" s="312">
        <f t="shared" ref="J69:J132" si="10">-I69*J$4</f>
        <v>-32901.270810667345</v>
      </c>
      <c r="K69" s="14">
        <v>5472</v>
      </c>
      <c r="L69" s="10">
        <f t="shared" ref="L69:L132" si="11">C69*M$4</f>
        <v>6331.5331555555558</v>
      </c>
      <c r="M69" s="14">
        <f t="shared" si="8"/>
        <v>0</v>
      </c>
      <c r="N69" s="2">
        <f t="shared" ref="N69:N132" si="12">-M69*N$4</f>
        <v>0</v>
      </c>
      <c r="O69" s="135">
        <f t="shared" si="9"/>
        <v>-32901.270810667345</v>
      </c>
      <c r="P69" s="34">
        <f>O69/'D) Ecrêtage'!C69</f>
        <v>-5.1964145179905401</v>
      </c>
    </row>
    <row r="70" spans="1:16" x14ac:dyDescent="0.25">
      <c r="A70" s="50">
        <f>+'A) Base RI'!A72</f>
        <v>5501</v>
      </c>
      <c r="B70" s="301" t="str">
        <f>+'A) Base RI'!B72</f>
        <v>Sullens</v>
      </c>
      <c r="C70" s="315">
        <f>+'D) Ecrêtage'!M70</f>
        <v>37812.339142857141</v>
      </c>
      <c r="D70" s="292">
        <v>208973</v>
      </c>
      <c r="E70" s="315">
        <v>30773</v>
      </c>
      <c r="F70" s="292">
        <v>38027</v>
      </c>
      <c r="G70" s="315">
        <f t="shared" ref="G70:G133" si="13">SUM(D70:F70)</f>
        <v>277773</v>
      </c>
      <c r="H70" s="292">
        <f t="shared" ref="H70:H133" si="14">+C70*$I$4</f>
        <v>302498.71314285713</v>
      </c>
      <c r="I70" s="10">
        <f t="shared" ref="I70:I133" si="15">IF(G70&gt;H70,G70-H70,0)</f>
        <v>0</v>
      </c>
      <c r="J70" s="312">
        <f t="shared" si="10"/>
        <v>0</v>
      </c>
      <c r="K70" s="14">
        <v>47449</v>
      </c>
      <c r="L70" s="10">
        <f t="shared" si="11"/>
        <v>37812.339142857141</v>
      </c>
      <c r="M70" s="14">
        <f t="shared" si="8"/>
        <v>9636.6608571428587</v>
      </c>
      <c r="N70" s="2">
        <f t="shared" si="12"/>
        <v>-6451.6543186732952</v>
      </c>
      <c r="O70" s="135">
        <f t="shared" si="9"/>
        <v>-6451.6543186732952</v>
      </c>
      <c r="P70" s="34">
        <f>O70/'D) Ecrêtage'!C70</f>
        <v>-0.17062298881586199</v>
      </c>
    </row>
    <row r="71" spans="1:16" x14ac:dyDescent="0.25">
      <c r="A71" s="50">
        <f>+'A) Base RI'!A73</f>
        <v>5503</v>
      </c>
      <c r="B71" s="301" t="str">
        <f>+'A) Base RI'!B73</f>
        <v>Vufflens-la-Ville</v>
      </c>
      <c r="C71" s="315">
        <f>+'D) Ecrêtage'!M71</f>
        <v>76842.912393778752</v>
      </c>
      <c r="D71" s="292">
        <v>167256</v>
      </c>
      <c r="E71" s="315">
        <v>111885</v>
      </c>
      <c r="F71" s="292">
        <v>109840</v>
      </c>
      <c r="G71" s="315">
        <f t="shared" si="13"/>
        <v>388981</v>
      </c>
      <c r="H71" s="292">
        <f t="shared" si="14"/>
        <v>614743.29915023001</v>
      </c>
      <c r="I71" s="10">
        <f t="shared" si="15"/>
        <v>0</v>
      </c>
      <c r="J71" s="312">
        <f t="shared" si="10"/>
        <v>0</v>
      </c>
      <c r="K71" s="14">
        <v>44403</v>
      </c>
      <c r="L71" s="10">
        <f t="shared" si="11"/>
        <v>76842.912393778752</v>
      </c>
      <c r="M71" s="14">
        <f t="shared" si="8"/>
        <v>0</v>
      </c>
      <c r="N71" s="2">
        <f t="shared" si="12"/>
        <v>0</v>
      </c>
      <c r="O71" s="135">
        <f t="shared" si="9"/>
        <v>0</v>
      </c>
      <c r="P71" s="34">
        <f>O71/'D) Ecrêtage'!C71</f>
        <v>0</v>
      </c>
    </row>
    <row r="72" spans="1:16" x14ac:dyDescent="0.25">
      <c r="A72" s="50">
        <f>+'A) Base RI'!A74</f>
        <v>5511</v>
      </c>
      <c r="B72" s="301" t="str">
        <f>+'A) Base RI'!B74</f>
        <v>Assens</v>
      </c>
      <c r="C72" s="315">
        <f>+'D) Ecrêtage'!M72</f>
        <v>45641.470857142856</v>
      </c>
      <c r="D72" s="292">
        <v>640941</v>
      </c>
      <c r="E72" s="315">
        <v>81908</v>
      </c>
      <c r="F72" s="292">
        <v>98087</v>
      </c>
      <c r="G72" s="315">
        <f t="shared" si="13"/>
        <v>820936</v>
      </c>
      <c r="H72" s="292">
        <f t="shared" si="14"/>
        <v>365131.76685714285</v>
      </c>
      <c r="I72" s="10">
        <f t="shared" si="15"/>
        <v>455804.23314285715</v>
      </c>
      <c r="J72" s="312">
        <f t="shared" si="10"/>
        <v>-305156.67125983717</v>
      </c>
      <c r="K72" s="14">
        <v>6413</v>
      </c>
      <c r="L72" s="10">
        <f t="shared" si="11"/>
        <v>45641.470857142856</v>
      </c>
      <c r="M72" s="14">
        <f t="shared" si="8"/>
        <v>0</v>
      </c>
      <c r="N72" s="2">
        <f t="shared" si="12"/>
        <v>0</v>
      </c>
      <c r="O72" s="135">
        <f t="shared" si="9"/>
        <v>-305156.67125983717</v>
      </c>
      <c r="P72" s="34">
        <f>O72/'D) Ecrêtage'!C72</f>
        <v>-6.6859517348810504</v>
      </c>
    </row>
    <row r="73" spans="1:16" x14ac:dyDescent="0.25">
      <c r="A73" s="50">
        <f>+'A) Base RI'!A75</f>
        <v>5512</v>
      </c>
      <c r="B73" s="301" t="str">
        <f>+'A) Base RI'!B75</f>
        <v>Bercher</v>
      </c>
      <c r="C73" s="315">
        <f>+'D) Ecrêtage'!M73</f>
        <v>37783.595443037979</v>
      </c>
      <c r="D73" s="292">
        <v>302213</v>
      </c>
      <c r="E73" s="315">
        <v>93467</v>
      </c>
      <c r="F73" s="292">
        <v>111929</v>
      </c>
      <c r="G73" s="315">
        <f t="shared" si="13"/>
        <v>507609</v>
      </c>
      <c r="H73" s="292">
        <f t="shared" si="14"/>
        <v>302268.76354430383</v>
      </c>
      <c r="I73" s="10">
        <f t="shared" si="15"/>
        <v>205340.23645569617</v>
      </c>
      <c r="J73" s="312">
        <f t="shared" si="10"/>
        <v>-137473.36789847026</v>
      </c>
      <c r="K73" s="14">
        <v>32807</v>
      </c>
      <c r="L73" s="10">
        <f t="shared" si="11"/>
        <v>37783.595443037979</v>
      </c>
      <c r="M73" s="14">
        <f t="shared" si="8"/>
        <v>0</v>
      </c>
      <c r="N73" s="2">
        <f t="shared" si="12"/>
        <v>0</v>
      </c>
      <c r="O73" s="135">
        <f t="shared" si="9"/>
        <v>-137473.36789847026</v>
      </c>
      <c r="P73" s="34">
        <f>O73/'D) Ecrêtage'!C73</f>
        <v>-3.6384406059429466</v>
      </c>
    </row>
    <row r="74" spans="1:16" x14ac:dyDescent="0.25">
      <c r="A74" s="50">
        <f>+'A) Base RI'!A76</f>
        <v>5513</v>
      </c>
      <c r="B74" s="301" t="str">
        <f>+'A) Base RI'!B76</f>
        <v>Bioley-Orjulaz</v>
      </c>
      <c r="C74" s="315">
        <f>+'D) Ecrêtage'!M74</f>
        <v>23108.127499999999</v>
      </c>
      <c r="D74" s="292">
        <v>119232</v>
      </c>
      <c r="E74" s="315">
        <v>15279</v>
      </c>
      <c r="F74" s="292">
        <v>45743</v>
      </c>
      <c r="G74" s="315">
        <f t="shared" si="13"/>
        <v>180254</v>
      </c>
      <c r="H74" s="292">
        <f t="shared" si="14"/>
        <v>184865.02</v>
      </c>
      <c r="I74" s="10">
        <f t="shared" si="15"/>
        <v>0</v>
      </c>
      <c r="J74" s="312">
        <f t="shared" si="10"/>
        <v>0</v>
      </c>
      <c r="K74" s="14">
        <v>12446</v>
      </c>
      <c r="L74" s="10">
        <f t="shared" si="11"/>
        <v>23108.127499999999</v>
      </c>
      <c r="M74" s="14">
        <f t="shared" si="8"/>
        <v>0</v>
      </c>
      <c r="N74" s="2">
        <f t="shared" si="12"/>
        <v>0</v>
      </c>
      <c r="O74" s="135">
        <f t="shared" si="9"/>
        <v>0</v>
      </c>
      <c r="P74" s="34">
        <f>O74/'D) Ecrêtage'!C74</f>
        <v>0</v>
      </c>
    </row>
    <row r="75" spans="1:16" x14ac:dyDescent="0.25">
      <c r="A75" s="50">
        <f>+'A) Base RI'!A77</f>
        <v>5514</v>
      </c>
      <c r="B75" s="301" t="str">
        <f>+'A) Base RI'!B77</f>
        <v>Bottens</v>
      </c>
      <c r="C75" s="315">
        <f>+'D) Ecrêtage'!M75</f>
        <v>44799.851014492742</v>
      </c>
      <c r="D75" s="292">
        <v>129953</v>
      </c>
      <c r="E75" s="315">
        <v>58009</v>
      </c>
      <c r="F75" s="292">
        <v>115779</v>
      </c>
      <c r="G75" s="315">
        <f t="shared" si="13"/>
        <v>303741</v>
      </c>
      <c r="H75" s="292">
        <f t="shared" si="14"/>
        <v>358398.80811594194</v>
      </c>
      <c r="I75" s="10">
        <f t="shared" si="15"/>
        <v>0</v>
      </c>
      <c r="J75" s="312">
        <f t="shared" si="10"/>
        <v>0</v>
      </c>
      <c r="K75" s="14">
        <v>16906</v>
      </c>
      <c r="L75" s="10">
        <f t="shared" si="11"/>
        <v>44799.851014492742</v>
      </c>
      <c r="M75" s="14">
        <f t="shared" si="8"/>
        <v>0</v>
      </c>
      <c r="N75" s="2">
        <f t="shared" si="12"/>
        <v>0</v>
      </c>
      <c r="O75" s="135">
        <f t="shared" si="9"/>
        <v>0</v>
      </c>
      <c r="P75" s="34">
        <f>O75/'D) Ecrêtage'!C75</f>
        <v>0</v>
      </c>
    </row>
    <row r="76" spans="1:16" x14ac:dyDescent="0.25">
      <c r="A76" s="50">
        <f>+'A) Base RI'!A78</f>
        <v>5515</v>
      </c>
      <c r="B76" s="301" t="str">
        <f>+'A) Base RI'!B78</f>
        <v>Bretigny-sur-Morrens</v>
      </c>
      <c r="C76" s="315">
        <f>+'D) Ecrêtage'!M76</f>
        <v>28902.998888888895</v>
      </c>
      <c r="D76" s="292">
        <v>200312</v>
      </c>
      <c r="E76" s="315">
        <v>37892</v>
      </c>
      <c r="F76" s="292">
        <v>47321</v>
      </c>
      <c r="G76" s="315">
        <f t="shared" si="13"/>
        <v>285525</v>
      </c>
      <c r="H76" s="292">
        <f t="shared" si="14"/>
        <v>231223.99111111116</v>
      </c>
      <c r="I76" s="10">
        <f t="shared" si="15"/>
        <v>54301.008888888842</v>
      </c>
      <c r="J76" s="312">
        <f t="shared" si="10"/>
        <v>-36354.01761043039</v>
      </c>
      <c r="K76" s="14">
        <v>40009</v>
      </c>
      <c r="L76" s="10">
        <f t="shared" si="11"/>
        <v>28902.998888888895</v>
      </c>
      <c r="M76" s="14">
        <f t="shared" si="8"/>
        <v>11106.001111111105</v>
      </c>
      <c r="N76" s="2">
        <f t="shared" si="12"/>
        <v>-7435.3638769575073</v>
      </c>
      <c r="O76" s="135">
        <f t="shared" si="9"/>
        <v>-43789.381487387895</v>
      </c>
      <c r="P76" s="34">
        <f>O76/'D) Ecrêtage'!C76</f>
        <v>-1.5150462986808519</v>
      </c>
    </row>
    <row r="77" spans="1:16" x14ac:dyDescent="0.25">
      <c r="A77" s="50">
        <f>+'A) Base RI'!A79</f>
        <v>5516</v>
      </c>
      <c r="B77" s="301" t="str">
        <f>+'A) Base RI'!B79</f>
        <v>Cugy</v>
      </c>
      <c r="C77" s="315">
        <f>+'D) Ecrêtage'!M77</f>
        <v>111854.58641025641</v>
      </c>
      <c r="D77" s="292">
        <v>745482</v>
      </c>
      <c r="E77" s="315">
        <v>126031</v>
      </c>
      <c r="F77" s="292">
        <v>205538</v>
      </c>
      <c r="G77" s="315">
        <f t="shared" si="13"/>
        <v>1077051</v>
      </c>
      <c r="H77" s="292">
        <f t="shared" si="14"/>
        <v>894836.69128205127</v>
      </c>
      <c r="I77" s="10">
        <f t="shared" si="15"/>
        <v>182214.30871794873</v>
      </c>
      <c r="J77" s="312">
        <f t="shared" si="10"/>
        <v>-121990.7755592395</v>
      </c>
      <c r="K77" s="14">
        <v>26010</v>
      </c>
      <c r="L77" s="10">
        <f t="shared" si="11"/>
        <v>111854.58641025641</v>
      </c>
      <c r="M77" s="14">
        <f t="shared" si="8"/>
        <v>0</v>
      </c>
      <c r="N77" s="2">
        <f t="shared" si="12"/>
        <v>0</v>
      </c>
      <c r="O77" s="135">
        <f t="shared" si="9"/>
        <v>-121990.7755592395</v>
      </c>
      <c r="P77" s="34">
        <f>O77/'D) Ecrêtage'!C77</f>
        <v>-1.0906193431515263</v>
      </c>
    </row>
    <row r="78" spans="1:16" x14ac:dyDescent="0.25">
      <c r="A78" s="50">
        <f>+'A) Base RI'!A80</f>
        <v>5518</v>
      </c>
      <c r="B78" s="301" t="str">
        <f>+'A) Base RI'!B80</f>
        <v>Echallens</v>
      </c>
      <c r="C78" s="315">
        <f>+'D) Ecrêtage'!M78</f>
        <v>188362.16891891891</v>
      </c>
      <c r="D78" s="292">
        <v>1865968</v>
      </c>
      <c r="E78" s="315">
        <v>438474</v>
      </c>
      <c r="F78" s="292">
        <v>525086</v>
      </c>
      <c r="G78" s="315">
        <f t="shared" si="13"/>
        <v>2829528</v>
      </c>
      <c r="H78" s="292">
        <f t="shared" si="14"/>
        <v>1506897.3513513512</v>
      </c>
      <c r="I78" s="10">
        <f t="shared" si="15"/>
        <v>1322630.6486486488</v>
      </c>
      <c r="J78" s="312">
        <f t="shared" si="10"/>
        <v>-885488.84959864442</v>
      </c>
      <c r="K78" s="14">
        <v>61801</v>
      </c>
      <c r="L78" s="10">
        <f t="shared" si="11"/>
        <v>188362.16891891891</v>
      </c>
      <c r="M78" s="14">
        <f t="shared" si="8"/>
        <v>0</v>
      </c>
      <c r="N78" s="2">
        <f t="shared" si="12"/>
        <v>0</v>
      </c>
      <c r="O78" s="135">
        <f t="shared" si="9"/>
        <v>-885488.84959864442</v>
      </c>
      <c r="P78" s="34">
        <f>O78/'D) Ecrêtage'!C78</f>
        <v>-4.7009909403825452</v>
      </c>
    </row>
    <row r="79" spans="1:16" x14ac:dyDescent="0.25">
      <c r="A79" s="50">
        <f>+'A) Base RI'!A81</f>
        <v>5520</v>
      </c>
      <c r="B79" s="301" t="str">
        <f>+'A) Base RI'!B81</f>
        <v>Essertines-sur-Yverdon</v>
      </c>
      <c r="C79" s="315">
        <f>+'D) Ecrêtage'!M79</f>
        <v>31866.674520547935</v>
      </c>
      <c r="D79" s="292">
        <v>215179</v>
      </c>
      <c r="E79" s="315">
        <v>60675</v>
      </c>
      <c r="F79" s="292">
        <v>89928</v>
      </c>
      <c r="G79" s="315">
        <f t="shared" si="13"/>
        <v>365782</v>
      </c>
      <c r="H79" s="292">
        <f t="shared" si="14"/>
        <v>254933.39616438348</v>
      </c>
      <c r="I79" s="10">
        <f t="shared" si="15"/>
        <v>110848.60383561652</v>
      </c>
      <c r="J79" s="312">
        <f t="shared" si="10"/>
        <v>-74212.103575781017</v>
      </c>
      <c r="K79" s="14">
        <v>92765</v>
      </c>
      <c r="L79" s="10">
        <f t="shared" si="11"/>
        <v>31866.674520547935</v>
      </c>
      <c r="M79" s="14">
        <f t="shared" si="8"/>
        <v>60898.325479452062</v>
      </c>
      <c r="N79" s="2">
        <f t="shared" si="12"/>
        <v>-40770.859367563855</v>
      </c>
      <c r="O79" s="135">
        <f t="shared" si="9"/>
        <v>-114982.96294334487</v>
      </c>
      <c r="P79" s="34">
        <f>O79/'D) Ecrêtage'!C79</f>
        <v>-3.6082510859174453</v>
      </c>
    </row>
    <row r="80" spans="1:16" x14ac:dyDescent="0.25">
      <c r="A80" s="50">
        <f>+'A) Base RI'!A82</f>
        <v>5521</v>
      </c>
      <c r="B80" s="301" t="str">
        <f>+'A) Base RI'!B82</f>
        <v>Etagnières</v>
      </c>
      <c r="C80" s="315">
        <f>+'D) Ecrêtage'!M80</f>
        <v>42985.528493150683</v>
      </c>
      <c r="D80" s="292">
        <v>178634</v>
      </c>
      <c r="E80" s="315">
        <v>85659</v>
      </c>
      <c r="F80" s="292">
        <v>102579</v>
      </c>
      <c r="G80" s="315">
        <f t="shared" si="13"/>
        <v>366872</v>
      </c>
      <c r="H80" s="292">
        <f t="shared" si="14"/>
        <v>343884.22794520546</v>
      </c>
      <c r="I80" s="10">
        <f t="shared" si="15"/>
        <v>22987.772054794536</v>
      </c>
      <c r="J80" s="312">
        <f t="shared" si="10"/>
        <v>-15390.098401570618</v>
      </c>
      <c r="K80" s="14">
        <v>1323</v>
      </c>
      <c r="L80" s="10">
        <f t="shared" si="11"/>
        <v>42985.528493150683</v>
      </c>
      <c r="M80" s="14">
        <f t="shared" si="8"/>
        <v>0</v>
      </c>
      <c r="N80" s="2">
        <f t="shared" si="12"/>
        <v>0</v>
      </c>
      <c r="O80" s="135">
        <f t="shared" si="9"/>
        <v>-15390.098401570618</v>
      </c>
      <c r="P80" s="34">
        <f>O80/'D) Ecrêtage'!C80</f>
        <v>-0.35802975887624316</v>
      </c>
    </row>
    <row r="81" spans="1:16" x14ac:dyDescent="0.25">
      <c r="A81" s="50">
        <f>+'A) Base RI'!A83</f>
        <v>5522</v>
      </c>
      <c r="B81" s="301" t="str">
        <f>+'A) Base RI'!B83</f>
        <v>Fey</v>
      </c>
      <c r="C81" s="315">
        <f>+'D) Ecrêtage'!M81</f>
        <v>21913.487866666663</v>
      </c>
      <c r="D81" s="292">
        <v>88947</v>
      </c>
      <c r="E81" s="315">
        <v>53814</v>
      </c>
      <c r="F81" s="292">
        <v>64444</v>
      </c>
      <c r="G81" s="315">
        <f t="shared" si="13"/>
        <v>207205</v>
      </c>
      <c r="H81" s="292">
        <f t="shared" si="14"/>
        <v>175307.9029333333</v>
      </c>
      <c r="I81" s="10">
        <f t="shared" si="15"/>
        <v>31897.097066666698</v>
      </c>
      <c r="J81" s="312">
        <f t="shared" si="10"/>
        <v>-21354.808174116362</v>
      </c>
      <c r="K81" s="14">
        <v>37002</v>
      </c>
      <c r="L81" s="10">
        <f t="shared" si="11"/>
        <v>21913.487866666663</v>
      </c>
      <c r="M81" s="14">
        <f t="shared" si="8"/>
        <v>15088.512133333337</v>
      </c>
      <c r="N81" s="2">
        <f t="shared" si="12"/>
        <v>-10101.617760598061</v>
      </c>
      <c r="O81" s="135">
        <f t="shared" si="9"/>
        <v>-31456.425934714425</v>
      </c>
      <c r="P81" s="34">
        <f>O81/'D) Ecrêtage'!C81</f>
        <v>-1.4354823899377445</v>
      </c>
    </row>
    <row r="82" spans="1:16" x14ac:dyDescent="0.25">
      <c r="A82" s="50">
        <f>+'A) Base RI'!A84</f>
        <v>5523</v>
      </c>
      <c r="B82" s="301" t="str">
        <f>+'A) Base RI'!B84</f>
        <v>Froideville</v>
      </c>
      <c r="C82" s="315">
        <f>+'D) Ecrêtage'!M82</f>
        <v>83191.459210526315</v>
      </c>
      <c r="D82" s="292">
        <v>475148</v>
      </c>
      <c r="E82" s="315">
        <v>117625</v>
      </c>
      <c r="F82" s="292">
        <v>178584</v>
      </c>
      <c r="G82" s="315">
        <f t="shared" si="13"/>
        <v>771357</v>
      </c>
      <c r="H82" s="292">
        <f t="shared" si="14"/>
        <v>665531.67368421052</v>
      </c>
      <c r="I82" s="10">
        <f t="shared" si="15"/>
        <v>105825.32631578948</v>
      </c>
      <c r="J82" s="312">
        <f t="shared" si="10"/>
        <v>-70849.066255580547</v>
      </c>
      <c r="K82" s="14">
        <v>4224</v>
      </c>
      <c r="L82" s="10">
        <f t="shared" si="11"/>
        <v>83191.459210526315</v>
      </c>
      <c r="M82" s="14">
        <f t="shared" si="8"/>
        <v>0</v>
      </c>
      <c r="N82" s="2">
        <f t="shared" si="12"/>
        <v>0</v>
      </c>
      <c r="O82" s="135">
        <f t="shared" si="9"/>
        <v>-70849.066255580547</v>
      </c>
      <c r="P82" s="34">
        <f>O82/'D) Ecrêtage'!C82</f>
        <v>-0.85163870099078542</v>
      </c>
    </row>
    <row r="83" spans="1:16" x14ac:dyDescent="0.25">
      <c r="A83" s="50">
        <f>+'A) Base RI'!A85</f>
        <v>5527</v>
      </c>
      <c r="B83" s="301" t="str">
        <f>+'A) Base RI'!B85</f>
        <v>Morrens</v>
      </c>
      <c r="C83" s="315">
        <f>+'D) Ecrêtage'!M83</f>
        <v>37832.854189189195</v>
      </c>
      <c r="D83" s="292">
        <v>244241</v>
      </c>
      <c r="E83" s="315">
        <v>33437</v>
      </c>
      <c r="F83" s="292">
        <v>64883</v>
      </c>
      <c r="G83" s="315">
        <f t="shared" si="13"/>
        <v>342561</v>
      </c>
      <c r="H83" s="292">
        <f t="shared" si="14"/>
        <v>302662.83351351356</v>
      </c>
      <c r="I83" s="10">
        <f t="shared" si="15"/>
        <v>39898.166486486443</v>
      </c>
      <c r="J83" s="312">
        <f t="shared" si="10"/>
        <v>-26711.449322084452</v>
      </c>
      <c r="K83" s="14">
        <v>27049</v>
      </c>
      <c r="L83" s="10">
        <f t="shared" si="11"/>
        <v>37832.854189189195</v>
      </c>
      <c r="M83" s="14">
        <f t="shared" si="8"/>
        <v>0</v>
      </c>
      <c r="N83" s="2">
        <f t="shared" si="12"/>
        <v>0</v>
      </c>
      <c r="O83" s="135">
        <f t="shared" si="9"/>
        <v>-26711.449322084452</v>
      </c>
      <c r="P83" s="34">
        <f>O83/'D) Ecrêtage'!C83</f>
        <v>-0.70603843919651443</v>
      </c>
    </row>
    <row r="84" spans="1:16" x14ac:dyDescent="0.25">
      <c r="A84" s="50">
        <f>+'A) Base RI'!A86</f>
        <v>5529</v>
      </c>
      <c r="B84" s="301" t="str">
        <f>+'A) Base RI'!B86</f>
        <v>Oulens-sous-Echallens</v>
      </c>
      <c r="C84" s="315">
        <f>+'D) Ecrêtage'!M84</f>
        <v>21358.649436619718</v>
      </c>
      <c r="D84" s="292">
        <v>276842</v>
      </c>
      <c r="E84" s="315">
        <v>17667</v>
      </c>
      <c r="F84" s="292">
        <v>52894</v>
      </c>
      <c r="G84" s="315">
        <f t="shared" si="13"/>
        <v>347403</v>
      </c>
      <c r="H84" s="292">
        <f t="shared" si="14"/>
        <v>170869.19549295775</v>
      </c>
      <c r="I84" s="10">
        <f t="shared" si="15"/>
        <v>176533.80450704225</v>
      </c>
      <c r="J84" s="312">
        <f t="shared" si="10"/>
        <v>-118187.73111595892</v>
      </c>
      <c r="K84" s="14">
        <v>-24770</v>
      </c>
      <c r="L84" s="10">
        <f t="shared" si="11"/>
        <v>21358.649436619718</v>
      </c>
      <c r="M84" s="14">
        <f t="shared" si="8"/>
        <v>0</v>
      </c>
      <c r="N84" s="2">
        <f t="shared" si="12"/>
        <v>0</v>
      </c>
      <c r="O84" s="135">
        <f t="shared" si="9"/>
        <v>-118187.73111595892</v>
      </c>
      <c r="P84" s="34">
        <f>O84/'D) Ecrêtage'!C84</f>
        <v>-5.5334833537425974</v>
      </c>
    </row>
    <row r="85" spans="1:16" x14ac:dyDescent="0.25">
      <c r="A85" s="50">
        <f>+'A) Base RI'!A87</f>
        <v>5530</v>
      </c>
      <c r="B85" s="301" t="str">
        <f>+'A) Base RI'!B87</f>
        <v>Pailly</v>
      </c>
      <c r="C85" s="315">
        <f>+'D) Ecrêtage'!M85</f>
        <v>17215.63182795699</v>
      </c>
      <c r="D85" s="292">
        <v>361706</v>
      </c>
      <c r="E85" s="315">
        <v>16627</v>
      </c>
      <c r="F85" s="292">
        <v>49777</v>
      </c>
      <c r="G85" s="315">
        <f t="shared" si="13"/>
        <v>428110</v>
      </c>
      <c r="H85" s="292">
        <f t="shared" si="14"/>
        <v>137725.05462365592</v>
      </c>
      <c r="I85" s="10">
        <f t="shared" si="15"/>
        <v>290384.94537634408</v>
      </c>
      <c r="J85" s="312">
        <f t="shared" si="10"/>
        <v>-194410.00515509021</v>
      </c>
      <c r="K85" s="14">
        <v>41107</v>
      </c>
      <c r="L85" s="10">
        <f t="shared" si="11"/>
        <v>17215.63182795699</v>
      </c>
      <c r="M85" s="14">
        <f t="shared" si="8"/>
        <v>23891.36817204301</v>
      </c>
      <c r="N85" s="2">
        <f t="shared" si="12"/>
        <v>-15995.047551343952</v>
      </c>
      <c r="O85" s="135">
        <f t="shared" si="9"/>
        <v>-210405.05270643416</v>
      </c>
      <c r="P85" s="34">
        <f>O85/'D) Ecrêtage'!C85</f>
        <v>-12.22174444766825</v>
      </c>
    </row>
    <row r="86" spans="1:16" x14ac:dyDescent="0.25">
      <c r="A86" s="50">
        <f>+'A) Base RI'!A88</f>
        <v>5531</v>
      </c>
      <c r="B86" s="301" t="str">
        <f>+'A) Base RI'!B88</f>
        <v>Penthéréaz</v>
      </c>
      <c r="C86" s="315">
        <f>+'D) Ecrêtage'!M86</f>
        <v>14983.10512820513</v>
      </c>
      <c r="D86" s="292">
        <v>122063</v>
      </c>
      <c r="E86" s="315">
        <v>12799</v>
      </c>
      <c r="F86" s="292">
        <v>38318</v>
      </c>
      <c r="G86" s="315">
        <f t="shared" si="13"/>
        <v>173180</v>
      </c>
      <c r="H86" s="292">
        <f t="shared" si="14"/>
        <v>119864.84102564104</v>
      </c>
      <c r="I86" s="10">
        <f t="shared" si="15"/>
        <v>53315.158974358957</v>
      </c>
      <c r="J86" s="312">
        <f t="shared" si="10"/>
        <v>-35694.000312641394</v>
      </c>
      <c r="K86" s="14">
        <v>27345</v>
      </c>
      <c r="L86" s="10">
        <f t="shared" si="11"/>
        <v>14983.10512820513</v>
      </c>
      <c r="M86" s="14">
        <f t="shared" si="8"/>
        <v>12361.89487179487</v>
      </c>
      <c r="N86" s="2">
        <f t="shared" si="12"/>
        <v>-8276.1730042087238</v>
      </c>
      <c r="O86" s="135">
        <f t="shared" si="9"/>
        <v>-43970.173316850116</v>
      </c>
      <c r="P86" s="34">
        <f>O86/'D) Ecrêtage'!C86</f>
        <v>-2.9346502571137889</v>
      </c>
    </row>
    <row r="87" spans="1:16" x14ac:dyDescent="0.25">
      <c r="A87" s="50">
        <f>+'A) Base RI'!A89</f>
        <v>5533</v>
      </c>
      <c r="B87" s="301" t="str">
        <f>+'A) Base RI'!B89</f>
        <v>Poliez-Pittet</v>
      </c>
      <c r="C87" s="315">
        <f>+'D) Ecrêtage'!M87</f>
        <v>25749.220563380281</v>
      </c>
      <c r="D87" s="292">
        <v>93786</v>
      </c>
      <c r="E87" s="315">
        <v>25996</v>
      </c>
      <c r="F87" s="292">
        <v>77553</v>
      </c>
      <c r="G87" s="315">
        <f t="shared" si="13"/>
        <v>197335</v>
      </c>
      <c r="H87" s="292">
        <f t="shared" si="14"/>
        <v>205993.76450704224</v>
      </c>
      <c r="I87" s="10">
        <f t="shared" si="15"/>
        <v>0</v>
      </c>
      <c r="J87" s="312">
        <f t="shared" si="10"/>
        <v>0</v>
      </c>
      <c r="K87" s="14">
        <v>67191</v>
      </c>
      <c r="L87" s="10">
        <f t="shared" si="11"/>
        <v>25749.220563380281</v>
      </c>
      <c r="M87" s="14">
        <f t="shared" si="8"/>
        <v>41441.779436619719</v>
      </c>
      <c r="N87" s="2">
        <f t="shared" si="12"/>
        <v>-27744.883755828763</v>
      </c>
      <c r="O87" s="135">
        <f t="shared" si="9"/>
        <v>-27744.883755828763</v>
      </c>
      <c r="P87" s="34">
        <f>O87/'D) Ecrêtage'!C87</f>
        <v>-1.0775038291949952</v>
      </c>
    </row>
    <row r="88" spans="1:16" x14ac:dyDescent="0.25">
      <c r="A88" s="50">
        <f>+'A) Base RI'!A90</f>
        <v>5534</v>
      </c>
      <c r="B88" s="301" t="str">
        <f>+'A) Base RI'!B90</f>
        <v>Rueyres</v>
      </c>
      <c r="C88" s="315">
        <f>+'D) Ecrêtage'!M88</f>
        <v>9061.5212328767138</v>
      </c>
      <c r="D88" s="292">
        <v>45900</v>
      </c>
      <c r="E88" s="315">
        <v>15739</v>
      </c>
      <c r="F88" s="292">
        <v>23559</v>
      </c>
      <c r="G88" s="315">
        <f t="shared" si="13"/>
        <v>85198</v>
      </c>
      <c r="H88" s="292">
        <f t="shared" si="14"/>
        <v>72492.169863013711</v>
      </c>
      <c r="I88" s="10">
        <f t="shared" si="15"/>
        <v>12705.830136986289</v>
      </c>
      <c r="J88" s="312">
        <f t="shared" si="10"/>
        <v>-8506.4344476600145</v>
      </c>
      <c r="K88" s="14">
        <v>21112</v>
      </c>
      <c r="L88" s="10">
        <f t="shared" si="11"/>
        <v>9061.5212328767138</v>
      </c>
      <c r="M88" s="14">
        <f t="shared" si="8"/>
        <v>12050.478767123286</v>
      </c>
      <c r="N88" s="2">
        <f t="shared" si="12"/>
        <v>-8067.6828345957074</v>
      </c>
      <c r="O88" s="135">
        <f t="shared" si="9"/>
        <v>-16574.11728225572</v>
      </c>
      <c r="P88" s="34">
        <f>O88/'D) Ecrêtage'!C88</f>
        <v>-1.8290656564509336</v>
      </c>
    </row>
    <row r="89" spans="1:16" x14ac:dyDescent="0.25">
      <c r="A89" s="50">
        <f>+'A) Base RI'!A91</f>
        <v>5535</v>
      </c>
      <c r="B89" s="301" t="str">
        <f>+'A) Base RI'!B91</f>
        <v>Saint-Barthélemy</v>
      </c>
      <c r="C89" s="315">
        <f>+'D) Ecrêtage'!M89</f>
        <v>21992.865064935064</v>
      </c>
      <c r="D89" s="292">
        <v>38362</v>
      </c>
      <c r="E89" s="315">
        <v>23546</v>
      </c>
      <c r="F89" s="292">
        <v>70494</v>
      </c>
      <c r="G89" s="315">
        <f t="shared" si="13"/>
        <v>132402</v>
      </c>
      <c r="H89" s="292">
        <f t="shared" si="14"/>
        <v>175942.92051948051</v>
      </c>
      <c r="I89" s="10">
        <f t="shared" si="15"/>
        <v>0</v>
      </c>
      <c r="J89" s="312">
        <f t="shared" si="10"/>
        <v>0</v>
      </c>
      <c r="K89" s="14">
        <v>22018</v>
      </c>
      <c r="L89" s="10">
        <f t="shared" si="11"/>
        <v>21992.865064935064</v>
      </c>
      <c r="M89" s="14">
        <f t="shared" si="8"/>
        <v>25.134935064936144</v>
      </c>
      <c r="N89" s="2">
        <f t="shared" si="12"/>
        <v>-16.827603955894215</v>
      </c>
      <c r="O89" s="135">
        <f t="shared" si="9"/>
        <v>-16.827603955894215</v>
      </c>
      <c r="P89" s="34">
        <f>O89/'D) Ecrêtage'!C89</f>
        <v>-7.6513923521150378E-4</v>
      </c>
    </row>
    <row r="90" spans="1:16" x14ac:dyDescent="0.25">
      <c r="A90" s="50">
        <f>+'A) Base RI'!A92</f>
        <v>5537</v>
      </c>
      <c r="B90" s="301" t="str">
        <f>+'A) Base RI'!B92</f>
        <v>Villars-le-Terroir</v>
      </c>
      <c r="C90" s="315">
        <f>+'D) Ecrêtage'!M90</f>
        <v>37425.853630136982</v>
      </c>
      <c r="D90" s="292">
        <v>170479</v>
      </c>
      <c r="E90" s="315">
        <v>52819</v>
      </c>
      <c r="F90" s="292">
        <v>105421</v>
      </c>
      <c r="G90" s="315">
        <f t="shared" si="13"/>
        <v>328719</v>
      </c>
      <c r="H90" s="292">
        <f t="shared" si="14"/>
        <v>299406.82904109586</v>
      </c>
      <c r="I90" s="10">
        <f t="shared" si="15"/>
        <v>29312.170958904142</v>
      </c>
      <c r="J90" s="312">
        <f t="shared" si="10"/>
        <v>-19624.224320038284</v>
      </c>
      <c r="K90" s="14">
        <v>16561</v>
      </c>
      <c r="L90" s="10">
        <f t="shared" si="11"/>
        <v>37425.853630136982</v>
      </c>
      <c r="M90" s="14">
        <f t="shared" si="8"/>
        <v>0</v>
      </c>
      <c r="N90" s="2">
        <f t="shared" si="12"/>
        <v>0</v>
      </c>
      <c r="O90" s="135">
        <f t="shared" si="9"/>
        <v>-19624.224320038284</v>
      </c>
      <c r="P90" s="34">
        <f>O90/'D) Ecrêtage'!C90</f>
        <v>-0.52434941134478164</v>
      </c>
    </row>
    <row r="91" spans="1:16" x14ac:dyDescent="0.25">
      <c r="A91" s="50">
        <f>+'A) Base RI'!A93</f>
        <v>5539</v>
      </c>
      <c r="B91" s="301" t="str">
        <f>+'A) Base RI'!B93</f>
        <v>Vuarrens</v>
      </c>
      <c r="C91" s="315">
        <f>+'D) Ecrêtage'!M91</f>
        <v>28895.172466666667</v>
      </c>
      <c r="D91" s="292">
        <v>128213</v>
      </c>
      <c r="E91" s="315">
        <v>46067</v>
      </c>
      <c r="F91" s="292">
        <v>91945</v>
      </c>
      <c r="G91" s="315">
        <f t="shared" si="13"/>
        <v>266225</v>
      </c>
      <c r="H91" s="292">
        <f t="shared" si="14"/>
        <v>231161.37973333334</v>
      </c>
      <c r="I91" s="10">
        <f t="shared" si="15"/>
        <v>35063.620266666665</v>
      </c>
      <c r="J91" s="312">
        <f t="shared" si="10"/>
        <v>-23474.765842162386</v>
      </c>
      <c r="K91" s="14">
        <v>102094</v>
      </c>
      <c r="L91" s="10">
        <f t="shared" si="11"/>
        <v>28895.172466666667</v>
      </c>
      <c r="M91" s="14">
        <f>IF(K91&gt;L91,K91-L91,0)</f>
        <v>73198.827533333329</v>
      </c>
      <c r="N91" s="2">
        <f t="shared" si="12"/>
        <v>-49005.930454345005</v>
      </c>
      <c r="O91" s="135">
        <f>N91+J91</f>
        <v>-72480.696296507391</v>
      </c>
      <c r="P91" s="34">
        <f>O91/'D) Ecrêtage'!C91</f>
        <v>-2.5084015809256988</v>
      </c>
    </row>
    <row r="92" spans="1:16" x14ac:dyDescent="0.25">
      <c r="A92" s="50">
        <f>+'A) Base RI'!A94</f>
        <v>5540</v>
      </c>
      <c r="B92" s="301" t="str">
        <f>+'A) Base RI'!B94</f>
        <v>Montilliez</v>
      </c>
      <c r="C92" s="315">
        <f>+'D) Ecrêtage'!M92</f>
        <v>59583.392972972964</v>
      </c>
      <c r="D92" s="292">
        <v>1053075</v>
      </c>
      <c r="E92" s="315">
        <v>132506</v>
      </c>
      <c r="F92" s="292">
        <v>158681</v>
      </c>
      <c r="G92" s="315">
        <f t="shared" si="13"/>
        <v>1344262</v>
      </c>
      <c r="H92" s="292">
        <f t="shared" si="14"/>
        <v>476667.14378378371</v>
      </c>
      <c r="I92" s="10">
        <f t="shared" si="15"/>
        <v>867594.85621621623</v>
      </c>
      <c r="J92" s="312">
        <f t="shared" si="10"/>
        <v>-580846.64220772928</v>
      </c>
      <c r="K92" s="14">
        <v>75636</v>
      </c>
      <c r="L92" s="10">
        <f t="shared" si="11"/>
        <v>59583.392972972964</v>
      </c>
      <c r="M92" s="14">
        <f>IF(K92&gt;L92,K92-L92,0)</f>
        <v>16052.607027027036</v>
      </c>
      <c r="N92" s="2">
        <f t="shared" si="12"/>
        <v>-10747.070275397256</v>
      </c>
      <c r="O92" s="135">
        <f>N92+J92</f>
        <v>-591593.71248312655</v>
      </c>
      <c r="P92" s="34">
        <f>O92/'D) Ecrêtage'!C92</f>
        <v>-9.9288355859739905</v>
      </c>
    </row>
    <row r="93" spans="1:16" x14ac:dyDescent="0.25">
      <c r="A93" s="50">
        <f>+'A) Base RI'!A95</f>
        <v>5541</v>
      </c>
      <c r="B93" s="301" t="str">
        <f>+'A) Base RI'!B95</f>
        <v>Goumoëns</v>
      </c>
      <c r="C93" s="315">
        <f>+'D) Ecrêtage'!M93</f>
        <v>36064.061558441557</v>
      </c>
      <c r="D93" s="292">
        <v>197296</v>
      </c>
      <c r="E93" s="315">
        <v>33988</v>
      </c>
      <c r="F93" s="292">
        <v>101754</v>
      </c>
      <c r="G93" s="315">
        <f t="shared" si="13"/>
        <v>333038</v>
      </c>
      <c r="H93" s="292">
        <f t="shared" si="14"/>
        <v>288512.49246753246</v>
      </c>
      <c r="I93" s="10">
        <f t="shared" si="15"/>
        <v>44525.507532467542</v>
      </c>
      <c r="J93" s="312">
        <f t="shared" si="10"/>
        <v>-29809.410875971644</v>
      </c>
      <c r="K93" s="14">
        <v>92915</v>
      </c>
      <c r="L93" s="10">
        <f t="shared" si="11"/>
        <v>36064.061558441557</v>
      </c>
      <c r="M93" s="14">
        <f t="shared" si="8"/>
        <v>56850.938441558443</v>
      </c>
      <c r="N93" s="2">
        <f t="shared" si="12"/>
        <v>-38061.171598172892</v>
      </c>
      <c r="O93" s="135">
        <f t="shared" si="9"/>
        <v>-67870.582474144539</v>
      </c>
      <c r="P93" s="34">
        <f>O93/'D) Ecrêtage'!C93</f>
        <v>-1.8819450594648286</v>
      </c>
    </row>
    <row r="94" spans="1:16" x14ac:dyDescent="0.25">
      <c r="A94" s="50">
        <f>+'A) Base RI'!A96</f>
        <v>5551</v>
      </c>
      <c r="B94" s="301" t="str">
        <f>+'A) Base RI'!B96</f>
        <v>Bonvillars</v>
      </c>
      <c r="C94" s="315">
        <f>+'D) Ecrêtage'!M94</f>
        <v>23195.066545454545</v>
      </c>
      <c r="D94" s="292">
        <v>105809</v>
      </c>
      <c r="E94" s="315">
        <v>30616</v>
      </c>
      <c r="F94" s="292">
        <v>75855</v>
      </c>
      <c r="G94" s="315">
        <f t="shared" si="13"/>
        <v>212280</v>
      </c>
      <c r="H94" s="292">
        <f t="shared" si="14"/>
        <v>185560.53236363636</v>
      </c>
      <c r="I94" s="10">
        <f t="shared" si="15"/>
        <v>26719.467636363639</v>
      </c>
      <c r="J94" s="312">
        <f t="shared" si="10"/>
        <v>-17888.43369340141</v>
      </c>
      <c r="K94" s="14">
        <v>64217</v>
      </c>
      <c r="L94" s="10">
        <f t="shared" si="11"/>
        <v>23195.066545454545</v>
      </c>
      <c r="M94" s="14">
        <f t="shared" si="8"/>
        <v>41021.933454545455</v>
      </c>
      <c r="N94" s="2">
        <f t="shared" si="12"/>
        <v>-27463.800797366101</v>
      </c>
      <c r="O94" s="135">
        <f t="shared" si="9"/>
        <v>-45352.234490767514</v>
      </c>
      <c r="P94" s="34">
        <f>O94/'D) Ecrêtage'!C94</f>
        <v>-1.9552534760739899</v>
      </c>
    </row>
    <row r="95" spans="1:16" x14ac:dyDescent="0.25">
      <c r="A95" s="50">
        <f>+'A) Base RI'!A97</f>
        <v>5552</v>
      </c>
      <c r="B95" s="301" t="str">
        <f>+'A) Base RI'!B97</f>
        <v>Bullet</v>
      </c>
      <c r="C95" s="315">
        <f>+'D) Ecrêtage'!M95</f>
        <v>17788.954109589042</v>
      </c>
      <c r="D95" s="292">
        <v>294704</v>
      </c>
      <c r="E95" s="315">
        <v>40016</v>
      </c>
      <c r="F95" s="292">
        <v>51488</v>
      </c>
      <c r="G95" s="315">
        <f t="shared" si="13"/>
        <v>386208</v>
      </c>
      <c r="H95" s="292">
        <f t="shared" si="14"/>
        <v>142311.63287671233</v>
      </c>
      <c r="I95" s="10">
        <f t="shared" si="15"/>
        <v>243896.36712328767</v>
      </c>
      <c r="J95" s="312">
        <f t="shared" si="10"/>
        <v>-163286.33679095961</v>
      </c>
      <c r="K95" s="14">
        <v>63448</v>
      </c>
      <c r="L95" s="10">
        <f t="shared" si="11"/>
        <v>17788.954109589042</v>
      </c>
      <c r="M95" s="14">
        <f t="shared" si="8"/>
        <v>45659.045890410955</v>
      </c>
      <c r="N95" s="2">
        <f t="shared" si="12"/>
        <v>-30568.304205395681</v>
      </c>
      <c r="O95" s="135">
        <f t="shared" si="9"/>
        <v>-193854.6409963553</v>
      </c>
      <c r="P95" s="34">
        <f>O95/'D) Ecrêtage'!C95</f>
        <v>-10.897472656464888</v>
      </c>
    </row>
    <row r="96" spans="1:16" x14ac:dyDescent="0.25">
      <c r="A96" s="50">
        <f>+'A) Base RI'!A98</f>
        <v>5553</v>
      </c>
      <c r="B96" s="301" t="str">
        <f>+'A) Base RI'!B98</f>
        <v>Champagne</v>
      </c>
      <c r="C96" s="315">
        <f>+'D) Ecrêtage'!M96</f>
        <v>38605.988461538451</v>
      </c>
      <c r="D96" s="292">
        <v>481561</v>
      </c>
      <c r="E96" s="315">
        <v>63520</v>
      </c>
      <c r="F96" s="292">
        <v>168057</v>
      </c>
      <c r="G96" s="315">
        <f t="shared" si="13"/>
        <v>713138</v>
      </c>
      <c r="H96" s="292">
        <f t="shared" si="14"/>
        <v>308847.90769230761</v>
      </c>
      <c r="I96" s="10">
        <f t="shared" si="15"/>
        <v>404290.09230769239</v>
      </c>
      <c r="J96" s="312">
        <f t="shared" si="10"/>
        <v>-270668.43574767938</v>
      </c>
      <c r="K96" s="14">
        <v>33898</v>
      </c>
      <c r="L96" s="10">
        <f t="shared" si="11"/>
        <v>38605.988461538451</v>
      </c>
      <c r="M96" s="14">
        <f t="shared" si="8"/>
        <v>0</v>
      </c>
      <c r="N96" s="2">
        <f t="shared" si="12"/>
        <v>0</v>
      </c>
      <c r="O96" s="135">
        <f t="shared" si="9"/>
        <v>-270668.43574767938</v>
      </c>
      <c r="P96" s="34">
        <f>O96/'D) Ecrêtage'!C96</f>
        <v>-7.0110479367037879</v>
      </c>
    </row>
    <row r="97" spans="1:16" x14ac:dyDescent="0.25">
      <c r="A97" s="50">
        <f>+'A) Base RI'!A99</f>
        <v>5554</v>
      </c>
      <c r="B97" s="301" t="str">
        <f>+'A) Base RI'!B99</f>
        <v>Concise</v>
      </c>
      <c r="C97" s="315">
        <f>+'D) Ecrêtage'!M97</f>
        <v>29879.816133333334</v>
      </c>
      <c r="D97" s="292">
        <v>195838</v>
      </c>
      <c r="E97" s="315">
        <v>79911</v>
      </c>
      <c r="F97" s="292">
        <v>146399</v>
      </c>
      <c r="G97" s="315">
        <f t="shared" si="13"/>
        <v>422148</v>
      </c>
      <c r="H97" s="292">
        <f t="shared" si="14"/>
        <v>239038.52906666667</v>
      </c>
      <c r="I97" s="10">
        <f t="shared" si="15"/>
        <v>183109.47093333333</v>
      </c>
      <c r="J97" s="312">
        <f t="shared" si="10"/>
        <v>-122590.07829059155</v>
      </c>
      <c r="K97" s="14">
        <v>25993</v>
      </c>
      <c r="L97" s="10">
        <f t="shared" si="11"/>
        <v>29879.816133333334</v>
      </c>
      <c r="M97" s="14">
        <f t="shared" si="8"/>
        <v>0</v>
      </c>
      <c r="N97" s="2">
        <f t="shared" si="12"/>
        <v>0</v>
      </c>
      <c r="O97" s="135">
        <f t="shared" si="9"/>
        <v>-122590.07829059155</v>
      </c>
      <c r="P97" s="34">
        <f>O97/'D) Ecrêtage'!C97</f>
        <v>-4.1027721771631818</v>
      </c>
    </row>
    <row r="98" spans="1:16" x14ac:dyDescent="0.25">
      <c r="A98" s="50">
        <f>+'A) Base RI'!A100</f>
        <v>5555</v>
      </c>
      <c r="B98" s="301" t="str">
        <f>+'A) Base RI'!B100</f>
        <v>Corcelles-près-Concise</v>
      </c>
      <c r="C98" s="315">
        <f>+'D) Ecrêtage'!M98</f>
        <v>13019.29676056338</v>
      </c>
      <c r="D98" s="292">
        <v>211816</v>
      </c>
      <c r="E98" s="315">
        <v>23318</v>
      </c>
      <c r="F98" s="292">
        <v>55741</v>
      </c>
      <c r="G98" s="315">
        <f t="shared" si="13"/>
        <v>290875</v>
      </c>
      <c r="H98" s="292">
        <f t="shared" si="14"/>
        <v>104154.37408450704</v>
      </c>
      <c r="I98" s="10">
        <f t="shared" si="15"/>
        <v>186720.62591549294</v>
      </c>
      <c r="J98" s="312">
        <f t="shared" si="10"/>
        <v>-125007.71277845255</v>
      </c>
      <c r="K98" s="14">
        <v>41579</v>
      </c>
      <c r="L98" s="10">
        <f t="shared" si="11"/>
        <v>13019.29676056338</v>
      </c>
      <c r="M98" s="14">
        <f t="shared" si="8"/>
        <v>28559.703239436618</v>
      </c>
      <c r="N98" s="2">
        <f t="shared" si="12"/>
        <v>-19120.454219177409</v>
      </c>
      <c r="O98" s="135">
        <f t="shared" si="9"/>
        <v>-144128.16699762997</v>
      </c>
      <c r="P98" s="34">
        <f>O98/'D) Ecrêtage'!C98</f>
        <v>-11.070349623967951</v>
      </c>
    </row>
    <row r="99" spans="1:16" x14ac:dyDescent="0.25">
      <c r="A99" s="50">
        <f>+'A) Base RI'!A101</f>
        <v>5556</v>
      </c>
      <c r="B99" s="301" t="str">
        <f>+'A) Base RI'!B101</f>
        <v>Fiez</v>
      </c>
      <c r="C99" s="315">
        <f>+'D) Ecrêtage'!M99</f>
        <v>12683.231642512079</v>
      </c>
      <c r="D99" s="292">
        <v>53965</v>
      </c>
      <c r="E99" s="315">
        <v>17524</v>
      </c>
      <c r="F99" s="292">
        <v>77189</v>
      </c>
      <c r="G99" s="315">
        <f t="shared" si="13"/>
        <v>148678</v>
      </c>
      <c r="H99" s="292">
        <f t="shared" si="14"/>
        <v>101465.85314009663</v>
      </c>
      <c r="I99" s="10">
        <f t="shared" si="15"/>
        <v>47212.146859903369</v>
      </c>
      <c r="J99" s="312">
        <f t="shared" si="10"/>
        <v>-31608.090779365895</v>
      </c>
      <c r="K99" s="14">
        <v>-5990</v>
      </c>
      <c r="L99" s="10">
        <f t="shared" si="11"/>
        <v>12683.231642512079</v>
      </c>
      <c r="M99" s="14">
        <f t="shared" si="8"/>
        <v>0</v>
      </c>
      <c r="N99" s="2">
        <f t="shared" si="12"/>
        <v>0</v>
      </c>
      <c r="O99" s="135">
        <f t="shared" si="9"/>
        <v>-31608.090779365895</v>
      </c>
      <c r="P99" s="34">
        <f>O99/'D) Ecrêtage'!C99</f>
        <v>-2.4921164944603582</v>
      </c>
    </row>
    <row r="100" spans="1:16" x14ac:dyDescent="0.25">
      <c r="A100" s="50">
        <f>+'A) Base RI'!A102</f>
        <v>5557</v>
      </c>
      <c r="B100" s="301" t="str">
        <f>+'A) Base RI'!B102</f>
        <v>Fontaines-sur-Grandson</v>
      </c>
      <c r="C100" s="315">
        <f>+'D) Ecrêtage'!M100</f>
        <v>5551.0404347826088</v>
      </c>
      <c r="D100" s="292">
        <v>46730</v>
      </c>
      <c r="E100" s="315">
        <v>8660</v>
      </c>
      <c r="F100" s="292">
        <v>34240</v>
      </c>
      <c r="G100" s="315">
        <f t="shared" si="13"/>
        <v>89630</v>
      </c>
      <c r="H100" s="292">
        <f t="shared" si="14"/>
        <v>44408.323478260871</v>
      </c>
      <c r="I100" s="10">
        <f t="shared" si="15"/>
        <v>45221.676521739129</v>
      </c>
      <c r="J100" s="312">
        <f t="shared" si="10"/>
        <v>-30275.48950349036</v>
      </c>
      <c r="K100" s="14">
        <v>39806</v>
      </c>
      <c r="L100" s="10">
        <f t="shared" si="11"/>
        <v>5551.0404347826088</v>
      </c>
      <c r="M100" s="14">
        <f t="shared" si="8"/>
        <v>34254.959565217388</v>
      </c>
      <c r="N100" s="2">
        <f t="shared" si="12"/>
        <v>-22933.375065399756</v>
      </c>
      <c r="O100" s="135">
        <f t="shared" si="9"/>
        <v>-53208.864568890116</v>
      </c>
      <c r="P100" s="34">
        <f>O100/'D) Ecrêtage'!C100</f>
        <v>-9.5853858738778754</v>
      </c>
    </row>
    <row r="101" spans="1:16" x14ac:dyDescent="0.25">
      <c r="A101" s="50">
        <f>+'A) Base RI'!A103</f>
        <v>5559</v>
      </c>
      <c r="B101" s="301" t="str">
        <f>+'A) Base RI'!B103</f>
        <v>Giez</v>
      </c>
      <c r="C101" s="315">
        <f>+'D) Ecrêtage'!M101</f>
        <v>20477.299090909091</v>
      </c>
      <c r="D101" s="292">
        <v>99539</v>
      </c>
      <c r="E101" s="315">
        <v>17359</v>
      </c>
      <c r="F101" s="292">
        <v>57466</v>
      </c>
      <c r="G101" s="315">
        <f t="shared" si="13"/>
        <v>174364</v>
      </c>
      <c r="H101" s="292">
        <f t="shared" si="14"/>
        <v>163818.39272727273</v>
      </c>
      <c r="I101" s="10">
        <f t="shared" si="15"/>
        <v>10545.607272727269</v>
      </c>
      <c r="J101" s="312">
        <f t="shared" si="10"/>
        <v>-7060.1854431448101</v>
      </c>
      <c r="K101" s="14">
        <v>13385</v>
      </c>
      <c r="L101" s="10">
        <f t="shared" si="11"/>
        <v>20477.299090909091</v>
      </c>
      <c r="M101" s="14">
        <f t="shared" si="8"/>
        <v>0</v>
      </c>
      <c r="N101" s="2">
        <f t="shared" si="12"/>
        <v>0</v>
      </c>
      <c r="O101" s="135">
        <f t="shared" si="9"/>
        <v>-7060.1854431448101</v>
      </c>
      <c r="P101" s="34">
        <f>O101/'D) Ecrêtage'!C101</f>
        <v>-0.3447810871834745</v>
      </c>
    </row>
    <row r="102" spans="1:16" x14ac:dyDescent="0.25">
      <c r="A102" s="50">
        <f>+'A) Base RI'!A104</f>
        <v>5560</v>
      </c>
      <c r="B102" s="301" t="str">
        <f>+'A) Base RI'!B104</f>
        <v>Grandevent</v>
      </c>
      <c r="C102" s="315">
        <f>+'D) Ecrêtage'!M102</f>
        <v>7465.4854411764709</v>
      </c>
      <c r="D102" s="292">
        <v>31352</v>
      </c>
      <c r="E102" s="315">
        <v>9442</v>
      </c>
      <c r="F102" s="292">
        <v>32989</v>
      </c>
      <c r="G102" s="315">
        <f t="shared" si="13"/>
        <v>73783</v>
      </c>
      <c r="H102" s="292">
        <f t="shared" si="14"/>
        <v>59723.883529411767</v>
      </c>
      <c r="I102" s="10">
        <f t="shared" si="15"/>
        <v>14059.116470588233</v>
      </c>
      <c r="J102" s="312">
        <f t="shared" si="10"/>
        <v>-9412.4469916329635</v>
      </c>
      <c r="K102" s="14">
        <v>32196</v>
      </c>
      <c r="L102" s="10">
        <f t="shared" si="11"/>
        <v>7465.4854411764709</v>
      </c>
      <c r="M102" s="14">
        <f t="shared" si="8"/>
        <v>24730.514558823528</v>
      </c>
      <c r="N102" s="2">
        <f t="shared" si="12"/>
        <v>-16556.848209323813</v>
      </c>
      <c r="O102" s="135">
        <f t="shared" si="9"/>
        <v>-25969.295200956774</v>
      </c>
      <c r="P102" s="34">
        <f>O102/'D) Ecrêtage'!C102</f>
        <v>-3.4785809182241638</v>
      </c>
    </row>
    <row r="103" spans="1:16" x14ac:dyDescent="0.25">
      <c r="A103" s="50">
        <f>+'A) Base RI'!A105</f>
        <v>5561</v>
      </c>
      <c r="B103" s="301" t="str">
        <f>+'A) Base RI'!B105</f>
        <v>Grandson</v>
      </c>
      <c r="C103" s="315">
        <f>+'D) Ecrêtage'!M103</f>
        <v>124296.34985507248</v>
      </c>
      <c r="D103" s="292">
        <v>1265168</v>
      </c>
      <c r="E103" s="315">
        <v>338527</v>
      </c>
      <c r="F103" s="292">
        <v>468754</v>
      </c>
      <c r="G103" s="315">
        <f t="shared" si="13"/>
        <v>2072449</v>
      </c>
      <c r="H103" s="292">
        <f t="shared" si="14"/>
        <v>994370.79884057981</v>
      </c>
      <c r="I103" s="10">
        <f t="shared" si="15"/>
        <v>1078078.2011594202</v>
      </c>
      <c r="J103" s="312">
        <f t="shared" si="10"/>
        <v>-721763.2731385642</v>
      </c>
      <c r="K103" s="14">
        <v>70237</v>
      </c>
      <c r="L103" s="10">
        <f t="shared" si="11"/>
        <v>124296.34985507248</v>
      </c>
      <c r="M103" s="14">
        <f t="shared" si="8"/>
        <v>0</v>
      </c>
      <c r="N103" s="2">
        <f t="shared" si="12"/>
        <v>0</v>
      </c>
      <c r="O103" s="135">
        <f t="shared" si="9"/>
        <v>-721763.2731385642</v>
      </c>
      <c r="P103" s="34">
        <f>O103/'D) Ecrêtage'!C103</f>
        <v>-5.8067937954745128</v>
      </c>
    </row>
    <row r="104" spans="1:16" x14ac:dyDescent="0.25">
      <c r="A104" s="50">
        <f>+'A) Base RI'!A106</f>
        <v>5562</v>
      </c>
      <c r="B104" s="301" t="str">
        <f>+'A) Base RI'!B106</f>
        <v>Mauborget</v>
      </c>
      <c r="C104" s="315">
        <f>+'D) Ecrêtage'!M104</f>
        <v>5288.8125476190471</v>
      </c>
      <c r="D104" s="292">
        <v>40663</v>
      </c>
      <c r="E104" s="315">
        <v>4907</v>
      </c>
      <c r="F104" s="292">
        <v>7859</v>
      </c>
      <c r="G104" s="315">
        <f t="shared" si="13"/>
        <v>53429</v>
      </c>
      <c r="H104" s="292">
        <f t="shared" si="14"/>
        <v>42310.500380952377</v>
      </c>
      <c r="I104" s="10">
        <f t="shared" si="15"/>
        <v>11118.499619047623</v>
      </c>
      <c r="J104" s="312">
        <f t="shared" si="10"/>
        <v>-7443.7315111308981</v>
      </c>
      <c r="K104" s="14">
        <v>15680</v>
      </c>
      <c r="L104" s="10">
        <f t="shared" si="11"/>
        <v>5288.8125476190471</v>
      </c>
      <c r="M104" s="14">
        <f t="shared" si="8"/>
        <v>10391.187452380953</v>
      </c>
      <c r="N104" s="2">
        <f t="shared" si="12"/>
        <v>-6956.8028176072912</v>
      </c>
      <c r="O104" s="135">
        <f t="shared" si="9"/>
        <v>-14400.534328738189</v>
      </c>
      <c r="P104" s="34">
        <f>O104/'D) Ecrêtage'!C104</f>
        <v>-2.7228294062381013</v>
      </c>
    </row>
    <row r="105" spans="1:16" x14ac:dyDescent="0.25">
      <c r="A105" s="50">
        <f>+'A) Base RI'!A107</f>
        <v>5563</v>
      </c>
      <c r="B105" s="301" t="str">
        <f>+'A) Base RI'!B107</f>
        <v>Mutrux</v>
      </c>
      <c r="C105" s="315">
        <f>+'D) Ecrêtage'!M105</f>
        <v>3325.060127388535</v>
      </c>
      <c r="D105" s="292">
        <v>28582</v>
      </c>
      <c r="E105" s="315">
        <v>6721</v>
      </c>
      <c r="F105" s="292">
        <v>25469</v>
      </c>
      <c r="G105" s="315">
        <f t="shared" si="13"/>
        <v>60772</v>
      </c>
      <c r="H105" s="292">
        <f t="shared" si="14"/>
        <v>26600.48101910828</v>
      </c>
      <c r="I105" s="10">
        <f t="shared" si="15"/>
        <v>34171.51898089172</v>
      </c>
      <c r="J105" s="312">
        <f t="shared" si="10"/>
        <v>-22877.51237455718</v>
      </c>
      <c r="K105" s="14">
        <v>10405</v>
      </c>
      <c r="L105" s="10">
        <f t="shared" si="11"/>
        <v>3325.060127388535</v>
      </c>
      <c r="M105" s="14">
        <f t="shared" si="8"/>
        <v>7079.939872611465</v>
      </c>
      <c r="N105" s="2">
        <f t="shared" si="12"/>
        <v>-4739.9535308150025</v>
      </c>
      <c r="O105" s="135">
        <f t="shared" si="9"/>
        <v>-27617.465905372184</v>
      </c>
      <c r="P105" s="34">
        <f>O105/'D) Ecrêtage'!C105</f>
        <v>-8.3058545852711045</v>
      </c>
    </row>
    <row r="106" spans="1:16" x14ac:dyDescent="0.25">
      <c r="A106" s="50">
        <f>+'A) Base RI'!A108</f>
        <v>5564</v>
      </c>
      <c r="B106" s="301" t="str">
        <f>+'A) Base RI'!B108</f>
        <v>Novalles</v>
      </c>
      <c r="C106" s="315">
        <f>+'D) Ecrêtage'!M106</f>
        <v>2879.4712828947363</v>
      </c>
      <c r="D106" s="292">
        <v>6666</v>
      </c>
      <c r="E106" s="315">
        <v>4165</v>
      </c>
      <c r="F106" s="292">
        <v>16059</v>
      </c>
      <c r="G106" s="315">
        <f t="shared" si="13"/>
        <v>26890</v>
      </c>
      <c r="H106" s="292">
        <f t="shared" si="14"/>
        <v>23035.77026315789</v>
      </c>
      <c r="I106" s="10">
        <f t="shared" si="15"/>
        <v>3854.2297368421096</v>
      </c>
      <c r="J106" s="312">
        <f t="shared" si="10"/>
        <v>-2580.3707628068296</v>
      </c>
      <c r="K106" s="14">
        <v>15444</v>
      </c>
      <c r="L106" s="10">
        <f t="shared" si="11"/>
        <v>2879.4712828947363</v>
      </c>
      <c r="M106" s="14">
        <f t="shared" si="8"/>
        <v>12564.528717105264</v>
      </c>
      <c r="N106" s="2">
        <f t="shared" si="12"/>
        <v>-8411.8344685464654</v>
      </c>
      <c r="O106" s="135">
        <f t="shared" si="9"/>
        <v>-10992.205231353295</v>
      </c>
      <c r="P106" s="34">
        <f>O106/'D) Ecrêtage'!C106</f>
        <v>-3.8174387418452795</v>
      </c>
    </row>
    <row r="107" spans="1:16" x14ac:dyDescent="0.25">
      <c r="A107" s="50">
        <f>+'A) Base RI'!A109</f>
        <v>5565</v>
      </c>
      <c r="B107" s="301" t="str">
        <f>+'A) Base RI'!B109</f>
        <v>Onnens</v>
      </c>
      <c r="C107" s="315">
        <f>+'D) Ecrêtage'!M107</f>
        <v>21859.350153846153</v>
      </c>
      <c r="D107" s="292">
        <v>161748</v>
      </c>
      <c r="E107" s="315">
        <v>29503</v>
      </c>
      <c r="F107" s="292">
        <v>71416</v>
      </c>
      <c r="G107" s="315">
        <f t="shared" si="13"/>
        <v>262667</v>
      </c>
      <c r="H107" s="292">
        <f t="shared" si="14"/>
        <v>174874.80123076923</v>
      </c>
      <c r="I107" s="10">
        <f t="shared" si="15"/>
        <v>87792.198769230774</v>
      </c>
      <c r="J107" s="312">
        <f t="shared" si="10"/>
        <v>-58776.056014828311</v>
      </c>
      <c r="K107" s="14">
        <v>54860</v>
      </c>
      <c r="L107" s="10">
        <f t="shared" si="11"/>
        <v>21859.350153846153</v>
      </c>
      <c r="M107" s="14">
        <f t="shared" si="8"/>
        <v>33000.649846153843</v>
      </c>
      <c r="N107" s="2">
        <f t="shared" si="12"/>
        <v>-22093.626439198804</v>
      </c>
      <c r="O107" s="135">
        <f t="shared" si="9"/>
        <v>-80869.682454027119</v>
      </c>
      <c r="P107" s="34">
        <f>O107/'D) Ecrêtage'!C107</f>
        <v>-3.69954650457887</v>
      </c>
    </row>
    <row r="108" spans="1:16" x14ac:dyDescent="0.25">
      <c r="A108" s="50">
        <f>+'A) Base RI'!A110</f>
        <v>5566</v>
      </c>
      <c r="B108" s="301" t="str">
        <f>+'A) Base RI'!B110</f>
        <v>Provence</v>
      </c>
      <c r="C108" s="315">
        <f>+'D) Ecrêtage'!M108</f>
        <v>8283.9104526748961</v>
      </c>
      <c r="D108" s="292">
        <v>173912</v>
      </c>
      <c r="E108" s="315">
        <v>15999</v>
      </c>
      <c r="F108" s="292">
        <v>40727</v>
      </c>
      <c r="G108" s="315">
        <f t="shared" si="13"/>
        <v>230638</v>
      </c>
      <c r="H108" s="292">
        <f t="shared" si="14"/>
        <v>66271.283621399169</v>
      </c>
      <c r="I108" s="10">
        <f t="shared" si="15"/>
        <v>164366.71637860083</v>
      </c>
      <c r="J108" s="312">
        <f t="shared" si="10"/>
        <v>-110041.97940452937</v>
      </c>
      <c r="K108" s="14">
        <v>13641</v>
      </c>
      <c r="L108" s="10">
        <f t="shared" si="11"/>
        <v>8283.9104526748961</v>
      </c>
      <c r="M108" s="14">
        <f t="shared" si="8"/>
        <v>5357.0895473251039</v>
      </c>
      <c r="N108" s="2">
        <f t="shared" si="12"/>
        <v>-3586.5213506918799</v>
      </c>
      <c r="O108" s="135">
        <f t="shared" si="9"/>
        <v>-113628.50075522125</v>
      </c>
      <c r="P108" s="34">
        <f>O108/'D) Ecrêtage'!C108</f>
        <v>-13.71677076959835</v>
      </c>
    </row>
    <row r="109" spans="1:16" x14ac:dyDescent="0.25">
      <c r="A109" s="50">
        <f>+'A) Base RI'!A111</f>
        <v>5568</v>
      </c>
      <c r="B109" s="301" t="str">
        <f>+'A) Base RI'!B111</f>
        <v>Sainte-Croix</v>
      </c>
      <c r="C109" s="315">
        <f>+'D) Ecrêtage'!M109</f>
        <v>103146.8182857143</v>
      </c>
      <c r="D109" s="292">
        <v>1626877</v>
      </c>
      <c r="E109" s="315">
        <v>507069</v>
      </c>
      <c r="F109" s="292">
        <v>156555</v>
      </c>
      <c r="G109" s="315">
        <f t="shared" si="13"/>
        <v>2290501</v>
      </c>
      <c r="H109" s="292">
        <f t="shared" si="14"/>
        <v>825174.54628571437</v>
      </c>
      <c r="I109" s="10">
        <f t="shared" si="15"/>
        <v>1465326.4537142855</v>
      </c>
      <c r="J109" s="312">
        <f t="shared" si="10"/>
        <v>-981022.35655254906</v>
      </c>
      <c r="K109" s="14">
        <v>80616</v>
      </c>
      <c r="L109" s="10">
        <f t="shared" si="11"/>
        <v>103146.8182857143</v>
      </c>
      <c r="M109" s="14">
        <f t="shared" si="8"/>
        <v>0</v>
      </c>
      <c r="N109" s="2">
        <f t="shared" si="12"/>
        <v>0</v>
      </c>
      <c r="O109" s="135">
        <f t="shared" si="9"/>
        <v>-981022.35655254906</v>
      </c>
      <c r="P109" s="34">
        <f>O109/'D) Ecrêtage'!C109</f>
        <v>-9.5109318237537863</v>
      </c>
    </row>
    <row r="110" spans="1:16" x14ac:dyDescent="0.25">
      <c r="A110" s="50">
        <f>+'A) Base RI'!A112</f>
        <v>5571</v>
      </c>
      <c r="B110" s="301" t="str">
        <f>+'A) Base RI'!B112</f>
        <v>Tévenon</v>
      </c>
      <c r="C110" s="315">
        <f>+'D) Ecrêtage'!M110</f>
        <v>22505.207716894973</v>
      </c>
      <c r="D110" s="292">
        <v>167957</v>
      </c>
      <c r="E110" s="315">
        <v>34760</v>
      </c>
      <c r="F110" s="292">
        <v>130349</v>
      </c>
      <c r="G110" s="315">
        <f t="shared" si="13"/>
        <v>333066</v>
      </c>
      <c r="H110" s="292">
        <f t="shared" si="14"/>
        <v>180041.66173515978</v>
      </c>
      <c r="I110" s="10">
        <f t="shared" si="15"/>
        <v>153024.33826484022</v>
      </c>
      <c r="J110" s="312">
        <f t="shared" si="10"/>
        <v>-102448.36333497256</v>
      </c>
      <c r="K110" s="14">
        <v>30995</v>
      </c>
      <c r="L110" s="10">
        <f t="shared" si="11"/>
        <v>22505.207716894973</v>
      </c>
      <c r="M110" s="14">
        <f t="shared" si="8"/>
        <v>8489.7922831050273</v>
      </c>
      <c r="N110" s="2">
        <f t="shared" si="12"/>
        <v>-5683.8365342425559</v>
      </c>
      <c r="O110" s="135">
        <f t="shared" si="9"/>
        <v>-108132.19986921511</v>
      </c>
      <c r="P110" s="34">
        <f>O110/'D) Ecrêtage'!C110</f>
        <v>-4.804763467614598</v>
      </c>
    </row>
    <row r="111" spans="1:16" x14ac:dyDescent="0.25">
      <c r="A111" s="50">
        <f>+'A) Base RI'!A113</f>
        <v>5581</v>
      </c>
      <c r="B111" s="301" t="str">
        <f>+'A) Base RI'!B113</f>
        <v>Belmont-sur-Lausanne</v>
      </c>
      <c r="C111" s="315">
        <f>+'D) Ecrêtage'!M111</f>
        <v>187970.76781774583</v>
      </c>
      <c r="D111" s="292">
        <v>1093791</v>
      </c>
      <c r="E111" s="315">
        <v>1232408</v>
      </c>
      <c r="F111" s="292">
        <v>228277</v>
      </c>
      <c r="G111" s="315">
        <f t="shared" si="13"/>
        <v>2554476</v>
      </c>
      <c r="H111" s="292">
        <f t="shared" si="14"/>
        <v>1503766.1425419666</v>
      </c>
      <c r="I111" s="10">
        <f t="shared" si="15"/>
        <v>1050709.8574580334</v>
      </c>
      <c r="J111" s="312">
        <f t="shared" si="10"/>
        <v>-703440.42298812955</v>
      </c>
      <c r="K111" s="14">
        <v>-201</v>
      </c>
      <c r="L111" s="10">
        <f t="shared" si="11"/>
        <v>187970.76781774583</v>
      </c>
      <c r="M111" s="14">
        <f t="shared" si="8"/>
        <v>0</v>
      </c>
      <c r="N111" s="2">
        <f t="shared" si="12"/>
        <v>0</v>
      </c>
      <c r="O111" s="135">
        <f t="shared" si="9"/>
        <v>-703440.42298812955</v>
      </c>
      <c r="P111" s="34">
        <f>O111/'D) Ecrêtage'!C111</f>
        <v>-3.7422862669272958</v>
      </c>
    </row>
    <row r="112" spans="1:16" x14ac:dyDescent="0.25">
      <c r="A112" s="50">
        <f>+'A) Base RI'!A114</f>
        <v>5582</v>
      </c>
      <c r="B112" s="301" t="str">
        <f>+'A) Base RI'!B114</f>
        <v>Cheseaux-sur-Lausanne</v>
      </c>
      <c r="C112" s="315">
        <f>+'D) Ecrêtage'!M112</f>
        <v>177854.9614765101</v>
      </c>
      <c r="D112" s="292">
        <v>1160388</v>
      </c>
      <c r="E112" s="315">
        <v>392327</v>
      </c>
      <c r="F112" s="292">
        <v>199210</v>
      </c>
      <c r="G112" s="315">
        <f t="shared" si="13"/>
        <v>1751925</v>
      </c>
      <c r="H112" s="292">
        <f t="shared" si="14"/>
        <v>1422839.6918120808</v>
      </c>
      <c r="I112" s="10">
        <f t="shared" si="15"/>
        <v>329085.3081879192</v>
      </c>
      <c r="J112" s="312">
        <f t="shared" si="10"/>
        <v>-220319.53611907075</v>
      </c>
      <c r="K112" s="14">
        <v>69080</v>
      </c>
      <c r="L112" s="10">
        <f t="shared" si="11"/>
        <v>177854.9614765101</v>
      </c>
      <c r="M112" s="14">
        <f t="shared" si="8"/>
        <v>0</v>
      </c>
      <c r="N112" s="2">
        <f t="shared" si="12"/>
        <v>0</v>
      </c>
      <c r="O112" s="135">
        <f t="shared" si="9"/>
        <v>-220319.53611907075</v>
      </c>
      <c r="P112" s="34">
        <f>O112/'D) Ecrêtage'!C112</f>
        <v>-1.2387595729128371</v>
      </c>
    </row>
    <row r="113" spans="1:16" x14ac:dyDescent="0.25">
      <c r="A113" s="50">
        <f>+'A) Base RI'!A115</f>
        <v>5583</v>
      </c>
      <c r="B113" s="301" t="str">
        <f>+'A) Base RI'!B115</f>
        <v>Crissier</v>
      </c>
      <c r="C113" s="315">
        <f>+'D) Ecrêtage'!M113</f>
        <v>343062.59507692308</v>
      </c>
      <c r="D113" s="292">
        <v>2121797</v>
      </c>
      <c r="E113" s="315">
        <v>3242449</v>
      </c>
      <c r="F113" s="292">
        <v>301679</v>
      </c>
      <c r="G113" s="315">
        <f t="shared" si="13"/>
        <v>5665925</v>
      </c>
      <c r="H113" s="292">
        <f t="shared" si="14"/>
        <v>2744500.7606153847</v>
      </c>
      <c r="I113" s="10">
        <f t="shared" si="15"/>
        <v>2921424.2393846153</v>
      </c>
      <c r="J113" s="312">
        <f t="shared" si="10"/>
        <v>-1955866.2061591723</v>
      </c>
      <c r="K113" s="14">
        <v>81302</v>
      </c>
      <c r="L113" s="10">
        <f t="shared" si="11"/>
        <v>343062.59507692308</v>
      </c>
      <c r="M113" s="14">
        <f t="shared" si="8"/>
        <v>0</v>
      </c>
      <c r="N113" s="2">
        <f t="shared" si="12"/>
        <v>0</v>
      </c>
      <c r="O113" s="135">
        <f t="shared" si="9"/>
        <v>-1955866.2061591723</v>
      </c>
      <c r="P113" s="34">
        <f>O113/'D) Ecrêtage'!C113</f>
        <v>-5.7011934096767938</v>
      </c>
    </row>
    <row r="114" spans="1:16" x14ac:dyDescent="0.25">
      <c r="A114" s="50">
        <f>+'A) Base RI'!A116</f>
        <v>5584</v>
      </c>
      <c r="B114" s="301" t="str">
        <f>+'A) Base RI'!B116</f>
        <v>Epalinges</v>
      </c>
      <c r="C114" s="315">
        <f>+'D) Ecrêtage'!M114</f>
        <v>468635.24666666664</v>
      </c>
      <c r="D114" s="292">
        <v>4076678</v>
      </c>
      <c r="E114" s="315">
        <v>3569317</v>
      </c>
      <c r="F114" s="292">
        <v>721367</v>
      </c>
      <c r="G114" s="315">
        <f t="shared" si="13"/>
        <v>8367362</v>
      </c>
      <c r="H114" s="292">
        <f t="shared" si="14"/>
        <v>3749081.9733333332</v>
      </c>
      <c r="I114" s="10">
        <f t="shared" si="15"/>
        <v>4618280.0266666673</v>
      </c>
      <c r="J114" s="312">
        <f t="shared" si="10"/>
        <v>-3091895.286197776</v>
      </c>
      <c r="K114" s="14">
        <v>354961</v>
      </c>
      <c r="L114" s="10">
        <f t="shared" si="11"/>
        <v>468635.24666666664</v>
      </c>
      <c r="M114" s="14">
        <f t="shared" si="8"/>
        <v>0</v>
      </c>
      <c r="N114" s="2">
        <f t="shared" si="12"/>
        <v>0</v>
      </c>
      <c r="O114" s="135">
        <f t="shared" si="9"/>
        <v>-3091895.286197776</v>
      </c>
      <c r="P114" s="34">
        <f>O114/'D) Ecrêtage'!C114</f>
        <v>-6.5976584309224942</v>
      </c>
    </row>
    <row r="115" spans="1:16" x14ac:dyDescent="0.25">
      <c r="A115" s="50">
        <f>+'A) Base RI'!A117</f>
        <v>5585</v>
      </c>
      <c r="B115" s="301" t="str">
        <f>+'A) Base RI'!B117</f>
        <v>Jouxtens-Mézery</v>
      </c>
      <c r="C115" s="315">
        <f>+'D) Ecrêtage'!M115</f>
        <v>185821.49079664846</v>
      </c>
      <c r="D115" s="292">
        <v>348876</v>
      </c>
      <c r="E115" s="315">
        <v>112451</v>
      </c>
      <c r="F115" s="292">
        <v>42880</v>
      </c>
      <c r="G115" s="315">
        <f t="shared" si="13"/>
        <v>504207</v>
      </c>
      <c r="H115" s="292">
        <f t="shared" si="14"/>
        <v>1486571.9263731877</v>
      </c>
      <c r="I115" s="10">
        <f t="shared" si="15"/>
        <v>0</v>
      </c>
      <c r="J115" s="312">
        <f t="shared" si="10"/>
        <v>0</v>
      </c>
      <c r="K115" s="14">
        <v>18163</v>
      </c>
      <c r="L115" s="10">
        <f t="shared" si="11"/>
        <v>185821.49079664846</v>
      </c>
      <c r="M115" s="14">
        <f t="shared" ref="M115:M165" si="16">IF(K115&gt;L115,K115-L115,0)</f>
        <v>0</v>
      </c>
      <c r="N115" s="2">
        <f t="shared" si="12"/>
        <v>0</v>
      </c>
      <c r="O115" s="135">
        <f t="shared" ref="O115:O165" si="17">N115+J115</f>
        <v>0</v>
      </c>
      <c r="P115" s="34">
        <f>O115/'D) Ecrêtage'!C115</f>
        <v>0</v>
      </c>
    </row>
    <row r="116" spans="1:16" x14ac:dyDescent="0.25">
      <c r="A116" s="50">
        <f>+'A) Base RI'!A118</f>
        <v>5586</v>
      </c>
      <c r="B116" s="301" t="str">
        <f>+'A) Base RI'!B118</f>
        <v>Lausanne</v>
      </c>
      <c r="C116" s="315">
        <f>+'D) Ecrêtage'!M116</f>
        <v>5998569.406244725</v>
      </c>
      <c r="D116" s="292">
        <v>61788658</v>
      </c>
      <c r="E116" s="315">
        <v>55212587</v>
      </c>
      <c r="F116" s="292">
        <v>1343430</v>
      </c>
      <c r="G116" s="315">
        <f t="shared" si="13"/>
        <v>118344675</v>
      </c>
      <c r="H116" s="292">
        <f t="shared" si="14"/>
        <v>47988555.2499578</v>
      </c>
      <c r="I116" s="10">
        <f t="shared" si="15"/>
        <v>70356119.7500422</v>
      </c>
      <c r="J116" s="312">
        <f t="shared" si="10"/>
        <v>-47102764.179358549</v>
      </c>
      <c r="K116" s="14">
        <v>2088819</v>
      </c>
      <c r="L116" s="10">
        <f t="shared" si="11"/>
        <v>5998569.406244725</v>
      </c>
      <c r="M116" s="14">
        <f t="shared" si="16"/>
        <v>0</v>
      </c>
      <c r="N116" s="2">
        <f t="shared" si="12"/>
        <v>0</v>
      </c>
      <c r="O116" s="135">
        <f t="shared" si="17"/>
        <v>-47102764.179358549</v>
      </c>
      <c r="P116" s="34">
        <f>O116/'D) Ecrêtage'!C116</f>
        <v>-7.852332946305979</v>
      </c>
    </row>
    <row r="117" spans="1:16" x14ac:dyDescent="0.25">
      <c r="A117" s="50">
        <f>+'A) Base RI'!A119</f>
        <v>5587</v>
      </c>
      <c r="B117" s="301" t="str">
        <f>+'A) Base RI'!B119</f>
        <v>Le Mont-sur-Lausanne</v>
      </c>
      <c r="C117" s="315">
        <f>+'D) Ecrêtage'!M117</f>
        <v>426789.42020000005</v>
      </c>
      <c r="D117" s="292">
        <v>3705556</v>
      </c>
      <c r="E117" s="315">
        <v>2273284</v>
      </c>
      <c r="F117" s="292">
        <v>665193</v>
      </c>
      <c r="G117" s="315">
        <f t="shared" si="13"/>
        <v>6644033</v>
      </c>
      <c r="H117" s="292">
        <f t="shared" si="14"/>
        <v>3414315.3616000004</v>
      </c>
      <c r="I117" s="10">
        <f t="shared" si="15"/>
        <v>3229717.6383999996</v>
      </c>
      <c r="J117" s="312">
        <f t="shared" si="10"/>
        <v>-2162265.7535399222</v>
      </c>
      <c r="K117" s="14">
        <v>29114</v>
      </c>
      <c r="L117" s="10">
        <f t="shared" si="11"/>
        <v>426789.42020000005</v>
      </c>
      <c r="M117" s="14">
        <f t="shared" si="16"/>
        <v>0</v>
      </c>
      <c r="N117" s="2">
        <f t="shared" si="12"/>
        <v>0</v>
      </c>
      <c r="O117" s="135">
        <f t="shared" si="17"/>
        <v>-2162265.7535399222</v>
      </c>
      <c r="P117" s="34">
        <f>O117/'D) Ecrêtage'!C117</f>
        <v>-5.0663527519652467</v>
      </c>
    </row>
    <row r="118" spans="1:16" x14ac:dyDescent="0.25">
      <c r="A118" s="50">
        <f>+'A) Base RI'!A120</f>
        <v>5588</v>
      </c>
      <c r="B118" s="301" t="str">
        <f>+'A) Base RI'!B120</f>
        <v>Paudex</v>
      </c>
      <c r="C118" s="315">
        <f>+'D) Ecrêtage'!M118</f>
        <v>115234.85166339125</v>
      </c>
      <c r="D118" s="292">
        <v>147079</v>
      </c>
      <c r="E118" s="315">
        <v>577088</v>
      </c>
      <c r="F118" s="292">
        <v>32173</v>
      </c>
      <c r="G118" s="315">
        <f t="shared" si="13"/>
        <v>756340</v>
      </c>
      <c r="H118" s="292">
        <f t="shared" si="14"/>
        <v>921878.81330713001</v>
      </c>
      <c r="I118" s="10">
        <f t="shared" si="15"/>
        <v>0</v>
      </c>
      <c r="J118" s="312">
        <f t="shared" si="10"/>
        <v>0</v>
      </c>
      <c r="K118" s="14">
        <v>639</v>
      </c>
      <c r="L118" s="10">
        <f t="shared" si="11"/>
        <v>115234.85166339125</v>
      </c>
      <c r="M118" s="14">
        <f t="shared" si="16"/>
        <v>0</v>
      </c>
      <c r="N118" s="2">
        <f t="shared" si="12"/>
        <v>0</v>
      </c>
      <c r="O118" s="135">
        <f t="shared" si="17"/>
        <v>0</v>
      </c>
      <c r="P118" s="34">
        <f>O118/'D) Ecrêtage'!C118</f>
        <v>0</v>
      </c>
    </row>
    <row r="119" spans="1:16" x14ac:dyDescent="0.25">
      <c r="A119" s="50">
        <f>+'A) Base RI'!A121</f>
        <v>5589</v>
      </c>
      <c r="B119" s="301" t="str">
        <f>+'A) Base RI'!B121</f>
        <v>Prilly</v>
      </c>
      <c r="C119" s="315">
        <f>+'D) Ecrêtage'!M119</f>
        <v>426033.15632653062</v>
      </c>
      <c r="D119" s="292">
        <v>2933747</v>
      </c>
      <c r="E119" s="315">
        <v>3633828</v>
      </c>
      <c r="F119" s="292">
        <v>143148</v>
      </c>
      <c r="G119" s="315">
        <f t="shared" si="13"/>
        <v>6710723</v>
      </c>
      <c r="H119" s="292">
        <f t="shared" si="14"/>
        <v>3408265.2506122449</v>
      </c>
      <c r="I119" s="10">
        <f t="shared" si="15"/>
        <v>3302457.7493877551</v>
      </c>
      <c r="J119" s="312">
        <f t="shared" si="10"/>
        <v>-2210964.5775570688</v>
      </c>
      <c r="K119" s="14">
        <v>22821</v>
      </c>
      <c r="L119" s="10">
        <f t="shared" si="11"/>
        <v>426033.15632653062</v>
      </c>
      <c r="M119" s="14">
        <f t="shared" si="16"/>
        <v>0</v>
      </c>
      <c r="N119" s="2">
        <f t="shared" si="12"/>
        <v>0</v>
      </c>
      <c r="O119" s="135">
        <f t="shared" si="17"/>
        <v>-2210964.5775570688</v>
      </c>
      <c r="P119" s="34">
        <f>O119/'D) Ecrêtage'!C119</f>
        <v>-5.18965377394826</v>
      </c>
    </row>
    <row r="120" spans="1:16" x14ac:dyDescent="0.25">
      <c r="A120" s="50">
        <f>+'A) Base RI'!A122</f>
        <v>5590</v>
      </c>
      <c r="B120" s="301" t="str">
        <f>+'A) Base RI'!B122</f>
        <v>Pully</v>
      </c>
      <c r="C120" s="315">
        <f>+'D) Ecrêtage'!M120</f>
        <v>1328575.6928938658</v>
      </c>
      <c r="D120" s="292">
        <v>5585621</v>
      </c>
      <c r="E120" s="315">
        <v>8339666</v>
      </c>
      <c r="F120" s="292">
        <v>337527</v>
      </c>
      <c r="G120" s="315">
        <f t="shared" si="13"/>
        <v>14262814</v>
      </c>
      <c r="H120" s="292">
        <f t="shared" si="14"/>
        <v>10628605.543150926</v>
      </c>
      <c r="I120" s="10">
        <f t="shared" si="15"/>
        <v>3634208.456849074</v>
      </c>
      <c r="J120" s="312">
        <f t="shared" si="10"/>
        <v>-2433068.5735620004</v>
      </c>
      <c r="K120" s="14">
        <v>566177</v>
      </c>
      <c r="L120" s="10">
        <f t="shared" si="11"/>
        <v>1328575.6928938658</v>
      </c>
      <c r="M120" s="14">
        <f t="shared" si="16"/>
        <v>0</v>
      </c>
      <c r="N120" s="2">
        <f t="shared" si="12"/>
        <v>0</v>
      </c>
      <c r="O120" s="135">
        <f t="shared" si="17"/>
        <v>-2433068.5735620004</v>
      </c>
      <c r="P120" s="34">
        <f>O120/'D) Ecrêtage'!C120</f>
        <v>-1.731917547136522</v>
      </c>
    </row>
    <row r="121" spans="1:16" x14ac:dyDescent="0.25">
      <c r="A121" s="50">
        <f>+'A) Base RI'!A123</f>
        <v>5591</v>
      </c>
      <c r="B121" s="301" t="str">
        <f>+'A) Base RI'!B123</f>
        <v>Renens</v>
      </c>
      <c r="C121" s="315">
        <f>+'D) Ecrêtage'!M121</f>
        <v>580334.81221110106</v>
      </c>
      <c r="D121" s="292">
        <v>4271712</v>
      </c>
      <c r="E121" s="315">
        <v>8019219</v>
      </c>
      <c r="F121" s="292">
        <v>171497</v>
      </c>
      <c r="G121" s="315">
        <f t="shared" si="13"/>
        <v>12462428</v>
      </c>
      <c r="H121" s="292">
        <f t="shared" si="14"/>
        <v>4642678.4976888085</v>
      </c>
      <c r="I121" s="10">
        <f t="shared" si="15"/>
        <v>7819749.5023111915</v>
      </c>
      <c r="J121" s="312">
        <f t="shared" si="10"/>
        <v>-5235249.1589589044</v>
      </c>
      <c r="K121" s="14">
        <v>29280</v>
      </c>
      <c r="L121" s="10">
        <f t="shared" si="11"/>
        <v>580334.81221110106</v>
      </c>
      <c r="M121" s="14">
        <f t="shared" si="16"/>
        <v>0</v>
      </c>
      <c r="N121" s="2">
        <f t="shared" si="12"/>
        <v>0</v>
      </c>
      <c r="O121" s="135">
        <f t="shared" si="17"/>
        <v>-5235249.1589589044</v>
      </c>
      <c r="P121" s="34">
        <f>O121/'D) Ecrêtage'!C121</f>
        <v>-9.0210841204103822</v>
      </c>
    </row>
    <row r="122" spans="1:16" x14ac:dyDescent="0.25">
      <c r="A122" s="50">
        <f>+'A) Base RI'!A124</f>
        <v>5592</v>
      </c>
      <c r="B122" s="301" t="str">
        <f>+'A) Base RI'!B124</f>
        <v>Romanel-sur-Lausanne</v>
      </c>
      <c r="C122" s="315">
        <f>+'D) Ecrêtage'!M122</f>
        <v>113924.20114285716</v>
      </c>
      <c r="D122" s="292">
        <v>949810</v>
      </c>
      <c r="E122" s="315">
        <v>252612</v>
      </c>
      <c r="F122" s="292">
        <v>31662</v>
      </c>
      <c r="G122" s="315">
        <f t="shared" si="13"/>
        <v>1234084</v>
      </c>
      <c r="H122" s="292">
        <f t="shared" si="14"/>
        <v>911393.60914285725</v>
      </c>
      <c r="I122" s="10">
        <f t="shared" si="15"/>
        <v>322690.39085714275</v>
      </c>
      <c r="J122" s="312">
        <f t="shared" si="10"/>
        <v>-216038.19877346087</v>
      </c>
      <c r="K122" s="14">
        <v>9069</v>
      </c>
      <c r="L122" s="10">
        <f t="shared" si="11"/>
        <v>113924.20114285716</v>
      </c>
      <c r="M122" s="14">
        <f t="shared" si="16"/>
        <v>0</v>
      </c>
      <c r="N122" s="2">
        <f t="shared" si="12"/>
        <v>0</v>
      </c>
      <c r="O122" s="135">
        <f t="shared" si="17"/>
        <v>-216038.19877346087</v>
      </c>
      <c r="P122" s="34">
        <f>O122/'D) Ecrêtage'!C122</f>
        <v>-1.896332795018296</v>
      </c>
    </row>
    <row r="123" spans="1:16" x14ac:dyDescent="0.25">
      <c r="A123" s="50">
        <f>+'A) Base RI'!A125</f>
        <v>5601</v>
      </c>
      <c r="B123" s="301" t="str">
        <f>+'A) Base RI'!B125</f>
        <v>Chexbres</v>
      </c>
      <c r="C123" s="315">
        <f>+'D) Ecrêtage'!M123</f>
        <v>102834.27275362321</v>
      </c>
      <c r="D123" s="292">
        <v>686084</v>
      </c>
      <c r="E123" s="315">
        <v>152906</v>
      </c>
      <c r="F123" s="292">
        <v>294344</v>
      </c>
      <c r="G123" s="315">
        <f t="shared" si="13"/>
        <v>1133334</v>
      </c>
      <c r="H123" s="292">
        <f t="shared" si="14"/>
        <v>822674.1820289857</v>
      </c>
      <c r="I123" s="10">
        <f t="shared" si="15"/>
        <v>310659.8179710143</v>
      </c>
      <c r="J123" s="312">
        <f t="shared" si="10"/>
        <v>-207983.84274002493</v>
      </c>
      <c r="K123" s="14">
        <v>22302</v>
      </c>
      <c r="L123" s="10">
        <f t="shared" si="11"/>
        <v>102834.27275362321</v>
      </c>
      <c r="M123" s="14">
        <f t="shared" si="16"/>
        <v>0</v>
      </c>
      <c r="N123" s="2">
        <f t="shared" si="12"/>
        <v>0</v>
      </c>
      <c r="O123" s="135">
        <f t="shared" si="17"/>
        <v>-207983.84274002493</v>
      </c>
      <c r="P123" s="34">
        <f>O123/'D) Ecrêtage'!C123</f>
        <v>-2.0225148403424376</v>
      </c>
    </row>
    <row r="124" spans="1:16" x14ac:dyDescent="0.25">
      <c r="A124" s="50">
        <f>+'A) Base RI'!A126</f>
        <v>5604</v>
      </c>
      <c r="B124" s="301" t="str">
        <f>+'A) Base RI'!B126</f>
        <v>Forel (Lavaux)</v>
      </c>
      <c r="C124" s="315">
        <f>+'D) Ecrêtage'!M124</f>
        <v>76415.868285714285</v>
      </c>
      <c r="D124" s="292">
        <v>672515</v>
      </c>
      <c r="E124" s="315">
        <v>95717</v>
      </c>
      <c r="F124" s="292">
        <v>259597</v>
      </c>
      <c r="G124" s="315">
        <f t="shared" si="13"/>
        <v>1027829</v>
      </c>
      <c r="H124" s="292">
        <f t="shared" si="14"/>
        <v>611326.94628571428</v>
      </c>
      <c r="I124" s="10">
        <f t="shared" si="15"/>
        <v>416502.05371428572</v>
      </c>
      <c r="J124" s="312">
        <f t="shared" si="10"/>
        <v>-278844.22969916218</v>
      </c>
      <c r="K124" s="14">
        <v>65459</v>
      </c>
      <c r="L124" s="10">
        <f t="shared" si="11"/>
        <v>76415.868285714285</v>
      </c>
      <c r="M124" s="14">
        <f t="shared" si="16"/>
        <v>0</v>
      </c>
      <c r="N124" s="2">
        <f t="shared" si="12"/>
        <v>0</v>
      </c>
      <c r="O124" s="135">
        <f t="shared" si="17"/>
        <v>-278844.22969916218</v>
      </c>
      <c r="P124" s="34">
        <f>O124/'D) Ecrêtage'!C124</f>
        <v>-3.6490356774666299</v>
      </c>
    </row>
    <row r="125" spans="1:16" x14ac:dyDescent="0.25">
      <c r="A125" s="50">
        <f>+'A) Base RI'!A127</f>
        <v>5606</v>
      </c>
      <c r="B125" s="301" t="str">
        <f>+'A) Base RI'!B127</f>
        <v>Lutry</v>
      </c>
      <c r="C125" s="315">
        <f>+'D) Ecrêtage'!M125</f>
        <v>780480.77736579673</v>
      </c>
      <c r="D125" s="292">
        <v>4646251</v>
      </c>
      <c r="E125" s="315">
        <v>3119835</v>
      </c>
      <c r="F125" s="292">
        <v>1630882</v>
      </c>
      <c r="G125" s="315">
        <f t="shared" si="13"/>
        <v>9396968</v>
      </c>
      <c r="H125" s="292">
        <f t="shared" si="14"/>
        <v>6243846.2189263739</v>
      </c>
      <c r="I125" s="10">
        <f t="shared" si="15"/>
        <v>3153121.7810736261</v>
      </c>
      <c r="J125" s="312">
        <f t="shared" si="10"/>
        <v>-2110985.5434092632</v>
      </c>
      <c r="K125" s="14">
        <v>317312</v>
      </c>
      <c r="L125" s="10">
        <f t="shared" si="11"/>
        <v>780480.77736579673</v>
      </c>
      <c r="M125" s="14">
        <f t="shared" si="16"/>
        <v>0</v>
      </c>
      <c r="N125" s="2">
        <f t="shared" si="12"/>
        <v>0</v>
      </c>
      <c r="O125" s="135">
        <f t="shared" si="17"/>
        <v>-2110985.5434092632</v>
      </c>
      <c r="P125" s="34">
        <f>O125/'D) Ecrêtage'!C125</f>
        <v>-2.5317921953365303</v>
      </c>
    </row>
    <row r="126" spans="1:16" x14ac:dyDescent="0.25">
      <c r="A126" s="50">
        <f>+'A) Base RI'!A128</f>
        <v>5607</v>
      </c>
      <c r="B126" s="301" t="str">
        <f>+'A) Base RI'!B128</f>
        <v>Puidoux</v>
      </c>
      <c r="C126" s="315">
        <f>+'D) Ecrêtage'!M126</f>
        <v>111751.15780124225</v>
      </c>
      <c r="D126" s="292">
        <v>1254625</v>
      </c>
      <c r="E126" s="315">
        <v>246688</v>
      </c>
      <c r="F126" s="292">
        <v>420410</v>
      </c>
      <c r="G126" s="315">
        <f t="shared" si="13"/>
        <v>1921723</v>
      </c>
      <c r="H126" s="292">
        <f t="shared" si="14"/>
        <v>894009.26240993803</v>
      </c>
      <c r="I126" s="10">
        <f t="shared" si="15"/>
        <v>1027713.737590062</v>
      </c>
      <c r="J126" s="312">
        <f t="shared" si="10"/>
        <v>-688044.73580370843</v>
      </c>
      <c r="K126" s="14">
        <v>12879</v>
      </c>
      <c r="L126" s="10">
        <f t="shared" si="11"/>
        <v>111751.15780124225</v>
      </c>
      <c r="M126" s="14">
        <f t="shared" si="16"/>
        <v>0</v>
      </c>
      <c r="N126" s="2">
        <f t="shared" si="12"/>
        <v>0</v>
      </c>
      <c r="O126" s="135">
        <f t="shared" si="17"/>
        <v>-688044.73580370843</v>
      </c>
      <c r="P126" s="34">
        <f>O126/'D) Ecrêtage'!C126</f>
        <v>-6.1569360831808755</v>
      </c>
    </row>
    <row r="127" spans="1:16" x14ac:dyDescent="0.25">
      <c r="A127" s="50">
        <f>+'A) Base RI'!A129</f>
        <v>5609</v>
      </c>
      <c r="B127" s="301" t="str">
        <f>+'A) Base RI'!B129</f>
        <v>Rivaz</v>
      </c>
      <c r="C127" s="315">
        <f>+'D) Ecrêtage'!M127</f>
        <v>13518.908661417323</v>
      </c>
      <c r="D127" s="292">
        <v>74100</v>
      </c>
      <c r="E127" s="315">
        <v>29817</v>
      </c>
      <c r="F127" s="292">
        <v>44438</v>
      </c>
      <c r="G127" s="315">
        <f t="shared" si="13"/>
        <v>148355</v>
      </c>
      <c r="H127" s="292">
        <f t="shared" si="14"/>
        <v>108151.26929133858</v>
      </c>
      <c r="I127" s="10">
        <f t="shared" si="15"/>
        <v>40203.730708661416</v>
      </c>
      <c r="J127" s="312">
        <f t="shared" si="10"/>
        <v>-26916.021711094698</v>
      </c>
      <c r="K127" s="14">
        <v>8120</v>
      </c>
      <c r="L127" s="10">
        <f t="shared" si="11"/>
        <v>13518.908661417323</v>
      </c>
      <c r="M127" s="14">
        <f t="shared" si="16"/>
        <v>0</v>
      </c>
      <c r="N127" s="2">
        <f t="shared" si="12"/>
        <v>0</v>
      </c>
      <c r="O127" s="135">
        <f t="shared" si="17"/>
        <v>-26916.021711094698</v>
      </c>
      <c r="P127" s="34">
        <f>O127/'D) Ecrêtage'!C127</f>
        <v>-1.9909907216040634</v>
      </c>
    </row>
    <row r="128" spans="1:16" x14ac:dyDescent="0.25">
      <c r="A128" s="50">
        <f>+'A) Base RI'!A130</f>
        <v>5610</v>
      </c>
      <c r="B128" s="301" t="str">
        <f>+'A) Base RI'!B130</f>
        <v>St-Saphorin (Lavaux)</v>
      </c>
      <c r="C128" s="315">
        <f>+'D) Ecrêtage'!M128</f>
        <v>21494.070428571435</v>
      </c>
      <c r="D128" s="292">
        <v>129630</v>
      </c>
      <c r="E128" s="315">
        <v>33045</v>
      </c>
      <c r="F128" s="292">
        <v>43148</v>
      </c>
      <c r="G128" s="315">
        <f t="shared" si="13"/>
        <v>205823</v>
      </c>
      <c r="H128" s="292">
        <f t="shared" si="14"/>
        <v>171952.56342857148</v>
      </c>
      <c r="I128" s="10">
        <f t="shared" si="15"/>
        <v>33870.436571428523</v>
      </c>
      <c r="J128" s="312">
        <f t="shared" si="10"/>
        <v>-22675.940517242103</v>
      </c>
      <c r="K128" s="14">
        <v>1629</v>
      </c>
      <c r="L128" s="10">
        <f t="shared" si="11"/>
        <v>21494.070428571435</v>
      </c>
      <c r="M128" s="14">
        <f t="shared" si="16"/>
        <v>0</v>
      </c>
      <c r="N128" s="2">
        <f t="shared" si="12"/>
        <v>0</v>
      </c>
      <c r="O128" s="135">
        <f t="shared" si="17"/>
        <v>-22675.940517242103</v>
      </c>
      <c r="P128" s="34">
        <f>O128/'D) Ecrêtage'!C128</f>
        <v>-1.054985866571817</v>
      </c>
    </row>
    <row r="129" spans="1:16" x14ac:dyDescent="0.25">
      <c r="A129" s="50">
        <f>+'A) Base RI'!A131</f>
        <v>5611</v>
      </c>
      <c r="B129" s="301" t="str">
        <f>+'A) Base RI'!B131</f>
        <v>Savigny</v>
      </c>
      <c r="C129" s="315">
        <f>+'D) Ecrêtage'!M129</f>
        <v>137747.50487922705</v>
      </c>
      <c r="D129" s="292">
        <v>1126920</v>
      </c>
      <c r="E129" s="315">
        <v>153956</v>
      </c>
      <c r="F129" s="292">
        <v>397366</v>
      </c>
      <c r="G129" s="315">
        <f t="shared" si="13"/>
        <v>1678242</v>
      </c>
      <c r="H129" s="292">
        <f t="shared" si="14"/>
        <v>1101980.0390338164</v>
      </c>
      <c r="I129" s="10">
        <f t="shared" si="15"/>
        <v>576261.96096618357</v>
      </c>
      <c r="J129" s="312">
        <f t="shared" si="10"/>
        <v>-385801.99347773986</v>
      </c>
      <c r="K129" s="14">
        <v>57947</v>
      </c>
      <c r="L129" s="10">
        <f t="shared" si="11"/>
        <v>137747.50487922705</v>
      </c>
      <c r="M129" s="14">
        <f t="shared" si="16"/>
        <v>0</v>
      </c>
      <c r="N129" s="2">
        <f t="shared" si="12"/>
        <v>0</v>
      </c>
      <c r="O129" s="135">
        <f t="shared" si="17"/>
        <v>-385801.99347773986</v>
      </c>
      <c r="P129" s="34">
        <f>O129/'D) Ecrêtage'!C129</f>
        <v>-2.8007911563697627</v>
      </c>
    </row>
    <row r="130" spans="1:16" x14ac:dyDescent="0.25">
      <c r="A130" s="50">
        <f>+'A) Base RI'!A132</f>
        <v>5613</v>
      </c>
      <c r="B130" s="301" t="str">
        <f>+'A) Base RI'!B132</f>
        <v>Bourg-en-Lavaux</v>
      </c>
      <c r="C130" s="315">
        <f>+'D) Ecrêtage'!M130</f>
        <v>293991.54098360648</v>
      </c>
      <c r="D130" s="292">
        <v>1384160</v>
      </c>
      <c r="E130" s="315">
        <v>404792</v>
      </c>
      <c r="F130" s="292">
        <v>663663</v>
      </c>
      <c r="G130" s="315">
        <f t="shared" si="13"/>
        <v>2452615</v>
      </c>
      <c r="H130" s="292">
        <f t="shared" si="14"/>
        <v>2351932.3278688518</v>
      </c>
      <c r="I130" s="10">
        <f t="shared" si="15"/>
        <v>100682.67213114817</v>
      </c>
      <c r="J130" s="312">
        <f t="shared" si="10"/>
        <v>-67406.107374736268</v>
      </c>
      <c r="K130" s="14">
        <v>185219</v>
      </c>
      <c r="L130" s="10">
        <f t="shared" si="11"/>
        <v>293991.54098360648</v>
      </c>
      <c r="M130" s="14">
        <f t="shared" si="16"/>
        <v>0</v>
      </c>
      <c r="N130" s="2">
        <f t="shared" si="12"/>
        <v>0</v>
      </c>
      <c r="O130" s="135">
        <f t="shared" si="17"/>
        <v>-67406.107374736268</v>
      </c>
      <c r="P130" s="34">
        <f>O130/'D) Ecrêtage'!C130</f>
        <v>-0.22927907091889749</v>
      </c>
    </row>
    <row r="131" spans="1:16" x14ac:dyDescent="0.25">
      <c r="A131" s="50">
        <f>+'A) Base RI'!A133</f>
        <v>5621</v>
      </c>
      <c r="B131" s="301" t="str">
        <f>+'A) Base RI'!B133</f>
        <v>Aclens</v>
      </c>
      <c r="C131" s="315">
        <f>+'D) Ecrêtage'!M131</f>
        <v>37690.385795317372</v>
      </c>
      <c r="D131" s="292">
        <v>281388</v>
      </c>
      <c r="E131" s="315">
        <v>18996</v>
      </c>
      <c r="F131" s="292">
        <v>48592</v>
      </c>
      <c r="G131" s="315">
        <f t="shared" si="13"/>
        <v>348976</v>
      </c>
      <c r="H131" s="292">
        <f t="shared" si="14"/>
        <v>301523.08636253898</v>
      </c>
      <c r="I131" s="10">
        <f t="shared" si="15"/>
        <v>47452.913637461024</v>
      </c>
      <c r="J131" s="312">
        <f t="shared" si="10"/>
        <v>-31769.281885211603</v>
      </c>
      <c r="K131" s="14">
        <v>36445</v>
      </c>
      <c r="L131" s="10">
        <f t="shared" si="11"/>
        <v>37690.385795317372</v>
      </c>
      <c r="M131" s="14">
        <f t="shared" si="16"/>
        <v>0</v>
      </c>
      <c r="N131" s="2">
        <f t="shared" si="12"/>
        <v>0</v>
      </c>
      <c r="O131" s="135">
        <f t="shared" si="17"/>
        <v>-31769.281885211603</v>
      </c>
      <c r="P131" s="34">
        <f>O131/'D) Ecrêtage'!C131</f>
        <v>-0.8023610662127677</v>
      </c>
    </row>
    <row r="132" spans="1:16" x14ac:dyDescent="0.25">
      <c r="A132" s="50">
        <f>+'A) Base RI'!A134</f>
        <v>5622</v>
      </c>
      <c r="B132" s="301" t="str">
        <f>+'A) Base RI'!B134</f>
        <v>Bremblens</v>
      </c>
      <c r="C132" s="315">
        <f>+'D) Ecrêtage'!M132</f>
        <v>25350.281363636361</v>
      </c>
      <c r="D132" s="292">
        <v>124946</v>
      </c>
      <c r="E132" s="315">
        <v>19066</v>
      </c>
      <c r="F132" s="292">
        <v>45609</v>
      </c>
      <c r="G132" s="315">
        <f t="shared" si="13"/>
        <v>189621</v>
      </c>
      <c r="H132" s="292">
        <f t="shared" si="14"/>
        <v>202802.25090909089</v>
      </c>
      <c r="I132" s="10">
        <f t="shared" si="15"/>
        <v>0</v>
      </c>
      <c r="J132" s="312">
        <f t="shared" si="10"/>
        <v>0</v>
      </c>
      <c r="K132" s="14">
        <v>33074</v>
      </c>
      <c r="L132" s="10">
        <f t="shared" si="11"/>
        <v>25350.281363636361</v>
      </c>
      <c r="M132" s="14">
        <f t="shared" si="16"/>
        <v>7723.7186363636392</v>
      </c>
      <c r="N132" s="2">
        <f t="shared" si="12"/>
        <v>-5170.9573923188827</v>
      </c>
      <c r="O132" s="135">
        <f t="shared" si="17"/>
        <v>-5170.9573923188827</v>
      </c>
      <c r="P132" s="34">
        <f>O132/'D) Ecrêtage'!C132</f>
        <v>-0.20398027612176123</v>
      </c>
    </row>
    <row r="133" spans="1:16" x14ac:dyDescent="0.25">
      <c r="A133" s="50">
        <f>+'A) Base RI'!A135</f>
        <v>5623</v>
      </c>
      <c r="B133" s="301" t="str">
        <f>+'A) Base RI'!B135</f>
        <v>Buchillon</v>
      </c>
      <c r="C133" s="315">
        <f>+'D) Ecrêtage'!M133</f>
        <v>95555.278269668168</v>
      </c>
      <c r="D133" s="292">
        <v>114241</v>
      </c>
      <c r="E133" s="315">
        <v>62608</v>
      </c>
      <c r="F133" s="292">
        <v>64346</v>
      </c>
      <c r="G133" s="315">
        <f t="shared" si="13"/>
        <v>241195</v>
      </c>
      <c r="H133" s="292">
        <f t="shared" si="14"/>
        <v>764442.22615734534</v>
      </c>
      <c r="I133" s="10">
        <f t="shared" si="15"/>
        <v>0</v>
      </c>
      <c r="J133" s="312">
        <f t="shared" ref="J133:J191" si="18">-I133*J$4</f>
        <v>0</v>
      </c>
      <c r="K133" s="14">
        <v>9511</v>
      </c>
      <c r="L133" s="10">
        <f t="shared" ref="L133:L191" si="19">C133*M$4</f>
        <v>95555.278269668168</v>
      </c>
      <c r="M133" s="14">
        <f t="shared" si="16"/>
        <v>0</v>
      </c>
      <c r="N133" s="2">
        <f t="shared" ref="N133:N191" si="20">-M133*N$4</f>
        <v>0</v>
      </c>
      <c r="O133" s="135">
        <f t="shared" si="17"/>
        <v>0</v>
      </c>
      <c r="P133" s="34">
        <f>O133/'D) Ecrêtage'!C133</f>
        <v>0</v>
      </c>
    </row>
    <row r="134" spans="1:16" x14ac:dyDescent="0.25">
      <c r="A134" s="50">
        <f>+'A) Base RI'!A136</f>
        <v>5624</v>
      </c>
      <c r="B134" s="301" t="str">
        <f>+'A) Base RI'!B136</f>
        <v>Bussigny</v>
      </c>
      <c r="C134" s="315">
        <f>+'D) Ecrêtage'!M134</f>
        <v>383784.23111111118</v>
      </c>
      <c r="D134" s="292">
        <v>1748030</v>
      </c>
      <c r="E134" s="315">
        <v>2659835</v>
      </c>
      <c r="F134" s="292">
        <v>260312</v>
      </c>
      <c r="G134" s="315">
        <f t="shared" ref="G134:G197" si="21">SUM(D134:F134)</f>
        <v>4668177</v>
      </c>
      <c r="H134" s="292">
        <f t="shared" ref="H134:H197" si="22">+C134*$I$4</f>
        <v>3070273.8488888894</v>
      </c>
      <c r="I134" s="10">
        <f t="shared" ref="I134:I197" si="23">IF(G134&gt;H134,G134-H134,0)</f>
        <v>1597903.1511111106</v>
      </c>
      <c r="J134" s="312">
        <f t="shared" si="18"/>
        <v>-1069781.2155593676</v>
      </c>
      <c r="K134" s="14">
        <v>206376</v>
      </c>
      <c r="L134" s="10">
        <f t="shared" si="19"/>
        <v>383784.23111111118</v>
      </c>
      <c r="M134" s="14">
        <f t="shared" si="16"/>
        <v>0</v>
      </c>
      <c r="N134" s="2">
        <f t="shared" si="20"/>
        <v>0</v>
      </c>
      <c r="O134" s="135">
        <f t="shared" si="17"/>
        <v>-1069781.2155593676</v>
      </c>
      <c r="P134" s="34">
        <f>O134/'D) Ecrêtage'!C134</f>
        <v>-2.7874548479029357</v>
      </c>
    </row>
    <row r="135" spans="1:16" x14ac:dyDescent="0.25">
      <c r="A135" s="50">
        <f>+'A) Base RI'!A137</f>
        <v>5625</v>
      </c>
      <c r="B135" s="301" t="str">
        <f>+'A) Base RI'!B137</f>
        <v>Bussy-Chardonney</v>
      </c>
      <c r="C135" s="315">
        <f>+'D) Ecrêtage'!M135</f>
        <v>13516.350747863249</v>
      </c>
      <c r="D135" s="292">
        <v>123978</v>
      </c>
      <c r="E135" s="315">
        <v>32328</v>
      </c>
      <c r="F135" s="292">
        <v>44442</v>
      </c>
      <c r="G135" s="315">
        <f t="shared" si="21"/>
        <v>200748</v>
      </c>
      <c r="H135" s="292">
        <f t="shared" si="22"/>
        <v>108130.80598290599</v>
      </c>
      <c r="I135" s="10">
        <f t="shared" si="23"/>
        <v>92617.194017094007</v>
      </c>
      <c r="J135" s="312">
        <f t="shared" si="18"/>
        <v>-62006.345208349267</v>
      </c>
      <c r="K135" s="14">
        <v>-113</v>
      </c>
      <c r="L135" s="10">
        <f t="shared" si="19"/>
        <v>13516.350747863249</v>
      </c>
      <c r="M135" s="14">
        <f t="shared" si="16"/>
        <v>0</v>
      </c>
      <c r="N135" s="2">
        <f t="shared" si="20"/>
        <v>0</v>
      </c>
      <c r="O135" s="135">
        <f t="shared" si="17"/>
        <v>-62006.345208349267</v>
      </c>
      <c r="P135" s="34">
        <f>O135/'D) Ecrêtage'!C135</f>
        <v>-4.5875063739487247</v>
      </c>
    </row>
    <row r="136" spans="1:16" x14ac:dyDescent="0.25">
      <c r="A136" s="50">
        <f>+'A) Base RI'!A138</f>
        <v>5627</v>
      </c>
      <c r="B136" s="301" t="str">
        <f>+'A) Base RI'!B138</f>
        <v>Chavannes-près-Renens</v>
      </c>
      <c r="C136" s="315">
        <f>+'D) Ecrêtage'!M136</f>
        <v>182156.43953586498</v>
      </c>
      <c r="D136" s="292">
        <v>825935</v>
      </c>
      <c r="E136" s="315">
        <v>2500426</v>
      </c>
      <c r="F136" s="292">
        <v>1872</v>
      </c>
      <c r="G136" s="315">
        <f t="shared" si="21"/>
        <v>3328233</v>
      </c>
      <c r="H136" s="292">
        <f t="shared" si="22"/>
        <v>1457251.5162869198</v>
      </c>
      <c r="I136" s="10">
        <f t="shared" si="23"/>
        <v>1870981.4837130802</v>
      </c>
      <c r="J136" s="312">
        <f t="shared" si="18"/>
        <v>-1252604.6053190806</v>
      </c>
      <c r="K136" s="14">
        <v>11026</v>
      </c>
      <c r="L136" s="10">
        <f t="shared" si="19"/>
        <v>182156.43953586498</v>
      </c>
      <c r="M136" s="14">
        <f t="shared" si="16"/>
        <v>0</v>
      </c>
      <c r="N136" s="2">
        <f t="shared" si="20"/>
        <v>0</v>
      </c>
      <c r="O136" s="135">
        <f t="shared" si="17"/>
        <v>-1252604.6053190806</v>
      </c>
      <c r="P136" s="34">
        <f>O136/'D) Ecrêtage'!C136</f>
        <v>-6.8765321089428406</v>
      </c>
    </row>
    <row r="137" spans="1:16" x14ac:dyDescent="0.25">
      <c r="A137" s="50">
        <f>+'A) Base RI'!A139</f>
        <v>5628</v>
      </c>
      <c r="B137" s="301" t="str">
        <f>+'A) Base RI'!B139</f>
        <v>Chigny</v>
      </c>
      <c r="C137" s="315">
        <f>+'D) Ecrêtage'!M137</f>
        <v>25716.856589278395</v>
      </c>
      <c r="D137" s="292">
        <v>41558</v>
      </c>
      <c r="E137" s="315">
        <v>29463</v>
      </c>
      <c r="F137" s="292">
        <v>32441</v>
      </c>
      <c r="G137" s="315">
        <f t="shared" si="21"/>
        <v>103462</v>
      </c>
      <c r="H137" s="292">
        <f t="shared" si="22"/>
        <v>205734.85271422716</v>
      </c>
      <c r="I137" s="10">
        <f t="shared" si="23"/>
        <v>0</v>
      </c>
      <c r="J137" s="312">
        <f t="shared" si="18"/>
        <v>0</v>
      </c>
      <c r="K137" s="14">
        <v>4489</v>
      </c>
      <c r="L137" s="10">
        <f t="shared" si="19"/>
        <v>25716.856589278395</v>
      </c>
      <c r="M137" s="14">
        <f t="shared" si="16"/>
        <v>0</v>
      </c>
      <c r="N137" s="2">
        <f t="shared" si="20"/>
        <v>0</v>
      </c>
      <c r="O137" s="135">
        <f t="shared" si="17"/>
        <v>0</v>
      </c>
      <c r="P137" s="34">
        <f>O137/'D) Ecrêtage'!C137</f>
        <v>0</v>
      </c>
    </row>
    <row r="138" spans="1:16" x14ac:dyDescent="0.25">
      <c r="A138" s="50">
        <f>+'A) Base RI'!A140</f>
        <v>5629</v>
      </c>
      <c r="B138" s="301" t="str">
        <f>+'A) Base RI'!B140</f>
        <v>Clarmont</v>
      </c>
      <c r="C138" s="315">
        <f>+'D) Ecrêtage'!M138</f>
        <v>6960.0919999999987</v>
      </c>
      <c r="D138" s="292">
        <v>85276</v>
      </c>
      <c r="E138" s="315">
        <v>6588</v>
      </c>
      <c r="F138" s="292">
        <v>20907</v>
      </c>
      <c r="G138" s="315">
        <f t="shared" si="21"/>
        <v>112771</v>
      </c>
      <c r="H138" s="292">
        <f t="shared" si="22"/>
        <v>55680.73599999999</v>
      </c>
      <c r="I138" s="10">
        <f t="shared" si="23"/>
        <v>57090.26400000001</v>
      </c>
      <c r="J138" s="312">
        <f t="shared" si="18"/>
        <v>-38221.397821299128</v>
      </c>
      <c r="K138" s="14">
        <v>232</v>
      </c>
      <c r="L138" s="10">
        <f t="shared" si="19"/>
        <v>6960.0919999999987</v>
      </c>
      <c r="M138" s="14">
        <f t="shared" si="16"/>
        <v>0</v>
      </c>
      <c r="N138" s="2">
        <f t="shared" si="20"/>
        <v>0</v>
      </c>
      <c r="O138" s="135">
        <f t="shared" si="17"/>
        <v>-38221.397821299128</v>
      </c>
      <c r="P138" s="34">
        <f>O138/'D) Ecrêtage'!C138</f>
        <v>-5.4915075578453756</v>
      </c>
    </row>
    <row r="139" spans="1:16" x14ac:dyDescent="0.25">
      <c r="A139" s="50">
        <f>+'A) Base RI'!A141</f>
        <v>5631</v>
      </c>
      <c r="B139" s="301" t="str">
        <f>+'A) Base RI'!B141</f>
        <v>Denens</v>
      </c>
      <c r="C139" s="315">
        <f>+'D) Ecrêtage'!M139</f>
        <v>43469.932701404548</v>
      </c>
      <c r="D139" s="292">
        <v>-9731</v>
      </c>
      <c r="E139" s="315">
        <v>26978</v>
      </c>
      <c r="F139" s="292">
        <v>69811</v>
      </c>
      <c r="G139" s="315">
        <f t="shared" si="21"/>
        <v>87058</v>
      </c>
      <c r="H139" s="292">
        <f t="shared" si="22"/>
        <v>347759.46161123639</v>
      </c>
      <c r="I139" s="10">
        <f t="shared" si="23"/>
        <v>0</v>
      </c>
      <c r="J139" s="312">
        <f t="shared" si="18"/>
        <v>0</v>
      </c>
      <c r="K139" s="14">
        <v>3861</v>
      </c>
      <c r="L139" s="10">
        <f t="shared" si="19"/>
        <v>43469.932701404548</v>
      </c>
      <c r="M139" s="14">
        <f t="shared" si="16"/>
        <v>0</v>
      </c>
      <c r="N139" s="2">
        <f t="shared" si="20"/>
        <v>0</v>
      </c>
      <c r="O139" s="135">
        <f t="shared" si="17"/>
        <v>0</v>
      </c>
      <c r="P139" s="34">
        <f>O139/'D) Ecrêtage'!C139</f>
        <v>0</v>
      </c>
    </row>
    <row r="140" spans="1:16" x14ac:dyDescent="0.25">
      <c r="A140" s="50">
        <f>+'A) Base RI'!A142</f>
        <v>5632</v>
      </c>
      <c r="B140" s="301" t="str">
        <f>+'A) Base RI'!B142</f>
        <v>Denges</v>
      </c>
      <c r="C140" s="315">
        <f>+'D) Ecrêtage'!M140</f>
        <v>69010.195161290321</v>
      </c>
      <c r="D140" s="292">
        <v>159082</v>
      </c>
      <c r="E140" s="315">
        <v>461032</v>
      </c>
      <c r="F140" s="292">
        <v>52383</v>
      </c>
      <c r="G140" s="315">
        <f t="shared" si="21"/>
        <v>672497</v>
      </c>
      <c r="H140" s="292">
        <f t="shared" si="22"/>
        <v>552081.56129032257</v>
      </c>
      <c r="I140" s="10">
        <f t="shared" si="23"/>
        <v>120415.43870967743</v>
      </c>
      <c r="J140" s="312">
        <f t="shared" si="18"/>
        <v>-80617.010051816236</v>
      </c>
      <c r="K140" s="14">
        <v>1397</v>
      </c>
      <c r="L140" s="10">
        <f t="shared" si="19"/>
        <v>69010.195161290321</v>
      </c>
      <c r="M140" s="14">
        <f t="shared" si="16"/>
        <v>0</v>
      </c>
      <c r="N140" s="2">
        <f t="shared" si="20"/>
        <v>0</v>
      </c>
      <c r="O140" s="135">
        <f t="shared" si="17"/>
        <v>-80617.010051816236</v>
      </c>
      <c r="P140" s="34">
        <f>O140/'D) Ecrêtage'!C140</f>
        <v>-1.1681898575043661</v>
      </c>
    </row>
    <row r="141" spans="1:16" x14ac:dyDescent="0.25">
      <c r="A141" s="50">
        <f>+'A) Base RI'!A143</f>
        <v>5633</v>
      </c>
      <c r="B141" s="301" t="str">
        <f>+'A) Base RI'!B143</f>
        <v>Echandens</v>
      </c>
      <c r="C141" s="315">
        <f>+'D) Ecrêtage'!M141</f>
        <v>138978.74822580643</v>
      </c>
      <c r="D141" s="292">
        <v>850262</v>
      </c>
      <c r="E141" s="315">
        <v>832565</v>
      </c>
      <c r="F141" s="292">
        <v>157132</v>
      </c>
      <c r="G141" s="315">
        <f t="shared" si="21"/>
        <v>1839959</v>
      </c>
      <c r="H141" s="292">
        <f t="shared" si="22"/>
        <v>1111829.9858064514</v>
      </c>
      <c r="I141" s="10">
        <f t="shared" si="23"/>
        <v>728129.01419354859</v>
      </c>
      <c r="J141" s="312">
        <f t="shared" si="18"/>
        <v>-487475.56530342851</v>
      </c>
      <c r="K141" s="14">
        <v>5136</v>
      </c>
      <c r="L141" s="10">
        <f t="shared" si="19"/>
        <v>138978.74822580643</v>
      </c>
      <c r="M141" s="14">
        <f t="shared" si="16"/>
        <v>0</v>
      </c>
      <c r="N141" s="2">
        <f t="shared" si="20"/>
        <v>0</v>
      </c>
      <c r="O141" s="135">
        <f t="shared" si="17"/>
        <v>-487475.56530342851</v>
      </c>
      <c r="P141" s="34">
        <f>O141/'D) Ecrêtage'!C141</f>
        <v>-3.5075547270824465</v>
      </c>
    </row>
    <row r="142" spans="1:16" x14ac:dyDescent="0.25">
      <c r="A142" s="50">
        <f>+'A) Base RI'!A144</f>
        <v>5634</v>
      </c>
      <c r="B142" s="301" t="str">
        <f>+'A) Base RI'!B144</f>
        <v>Echichens</v>
      </c>
      <c r="C142" s="315">
        <f>+'D) Ecrêtage'!M142</f>
        <v>172606.73271860249</v>
      </c>
      <c r="D142" s="292">
        <v>333519</v>
      </c>
      <c r="E142" s="315">
        <v>549263</v>
      </c>
      <c r="F142" s="292">
        <v>212355</v>
      </c>
      <c r="G142" s="315">
        <f t="shared" si="21"/>
        <v>1095137</v>
      </c>
      <c r="H142" s="292">
        <f t="shared" si="22"/>
        <v>1380853.8617488199</v>
      </c>
      <c r="I142" s="10">
        <f t="shared" si="23"/>
        <v>0</v>
      </c>
      <c r="J142" s="312">
        <f t="shared" si="18"/>
        <v>0</v>
      </c>
      <c r="K142" s="14">
        <v>7251</v>
      </c>
      <c r="L142" s="10">
        <f t="shared" si="19"/>
        <v>172606.73271860249</v>
      </c>
      <c r="M142" s="14">
        <f t="shared" si="16"/>
        <v>0</v>
      </c>
      <c r="N142" s="2">
        <f t="shared" si="20"/>
        <v>0</v>
      </c>
      <c r="O142" s="135">
        <f t="shared" si="17"/>
        <v>0</v>
      </c>
      <c r="P142" s="34">
        <f>O142/'D) Ecrêtage'!C142</f>
        <v>0</v>
      </c>
    </row>
    <row r="143" spans="1:16" x14ac:dyDescent="0.25">
      <c r="A143" s="50">
        <f>+'A) Base RI'!A145</f>
        <v>5635</v>
      </c>
      <c r="B143" s="301" t="str">
        <f>+'A) Base RI'!B145</f>
        <v>Ecublens</v>
      </c>
      <c r="C143" s="315">
        <f>+'D) Ecrêtage'!M143</f>
        <v>437106.29065104178</v>
      </c>
      <c r="D143" s="292">
        <v>3542638</v>
      </c>
      <c r="E143" s="315">
        <v>3943528</v>
      </c>
      <c r="F143" s="292">
        <v>121602</v>
      </c>
      <c r="G143" s="315">
        <f t="shared" si="21"/>
        <v>7607768</v>
      </c>
      <c r="H143" s="292">
        <f t="shared" si="22"/>
        <v>3496850.3252083343</v>
      </c>
      <c r="I143" s="10">
        <f t="shared" si="23"/>
        <v>4110917.6747916657</v>
      </c>
      <c r="J143" s="312">
        <f t="shared" si="18"/>
        <v>-2752220.9366350491</v>
      </c>
      <c r="K143" s="14">
        <v>145770</v>
      </c>
      <c r="L143" s="10">
        <f t="shared" si="19"/>
        <v>437106.29065104178</v>
      </c>
      <c r="M143" s="14">
        <f t="shared" si="16"/>
        <v>0</v>
      </c>
      <c r="N143" s="2">
        <f t="shared" si="20"/>
        <v>0</v>
      </c>
      <c r="O143" s="135">
        <f t="shared" si="17"/>
        <v>-2752220.9366350491</v>
      </c>
      <c r="P143" s="34">
        <f>O143/'D) Ecrêtage'!C143</f>
        <v>-6.2964569385075482</v>
      </c>
    </row>
    <row r="144" spans="1:16" x14ac:dyDescent="0.25">
      <c r="A144" s="50">
        <f>+'A) Base RI'!A146</f>
        <v>5636</v>
      </c>
      <c r="B144" s="301" t="str">
        <f>+'A) Base RI'!B146</f>
        <v>Etoy</v>
      </c>
      <c r="C144" s="315">
        <f>+'D) Ecrêtage'!M144</f>
        <v>183083.99333260235</v>
      </c>
      <c r="D144" s="292">
        <v>335900</v>
      </c>
      <c r="E144" s="315">
        <v>338074</v>
      </c>
      <c r="F144" s="292">
        <v>339716</v>
      </c>
      <c r="G144" s="315">
        <f t="shared" si="21"/>
        <v>1013690</v>
      </c>
      <c r="H144" s="292">
        <f t="shared" si="22"/>
        <v>1464671.9466608188</v>
      </c>
      <c r="I144" s="10">
        <f t="shared" si="23"/>
        <v>0</v>
      </c>
      <c r="J144" s="312">
        <f t="shared" si="18"/>
        <v>0</v>
      </c>
      <c r="K144" s="14">
        <v>8176</v>
      </c>
      <c r="L144" s="10">
        <f t="shared" si="19"/>
        <v>183083.99333260235</v>
      </c>
      <c r="M144" s="14">
        <f t="shared" si="16"/>
        <v>0</v>
      </c>
      <c r="N144" s="2">
        <f t="shared" si="20"/>
        <v>0</v>
      </c>
      <c r="O144" s="135">
        <f t="shared" si="17"/>
        <v>0</v>
      </c>
      <c r="P144" s="34">
        <f>O144/'D) Ecrêtage'!C144</f>
        <v>0</v>
      </c>
    </row>
    <row r="145" spans="1:16" x14ac:dyDescent="0.25">
      <c r="A145" s="50">
        <f>+'A) Base RI'!A147</f>
        <v>5637</v>
      </c>
      <c r="B145" s="301" t="str">
        <f>+'A) Base RI'!B147</f>
        <v>Lavigny</v>
      </c>
      <c r="C145" s="315">
        <f>+'D) Ecrêtage'!M145</f>
        <v>35857.018299776282</v>
      </c>
      <c r="D145" s="292">
        <v>388754</v>
      </c>
      <c r="E145" s="315">
        <v>65053</v>
      </c>
      <c r="F145" s="292">
        <v>125310</v>
      </c>
      <c r="G145" s="315">
        <f t="shared" si="21"/>
        <v>579117</v>
      </c>
      <c r="H145" s="292">
        <f t="shared" si="22"/>
        <v>286856.14639821026</v>
      </c>
      <c r="I145" s="10">
        <f t="shared" si="23"/>
        <v>292260.85360178974</v>
      </c>
      <c r="J145" s="312">
        <f t="shared" si="18"/>
        <v>-195665.90816792278</v>
      </c>
      <c r="K145" s="14">
        <v>0</v>
      </c>
      <c r="L145" s="10">
        <f t="shared" si="19"/>
        <v>35857.018299776282</v>
      </c>
      <c r="M145" s="14">
        <f t="shared" si="16"/>
        <v>0</v>
      </c>
      <c r="N145" s="2">
        <f t="shared" si="20"/>
        <v>0</v>
      </c>
      <c r="O145" s="135">
        <f t="shared" si="17"/>
        <v>-195665.90816792278</v>
      </c>
      <c r="P145" s="34">
        <f>O145/'D) Ecrêtage'!C145</f>
        <v>-5.4568371115549104</v>
      </c>
    </row>
    <row r="146" spans="1:16" x14ac:dyDescent="0.25">
      <c r="A146" s="50">
        <f>+'A) Base RI'!A148</f>
        <v>5638</v>
      </c>
      <c r="B146" s="301" t="str">
        <f>+'A) Base RI'!B148</f>
        <v>Lonay</v>
      </c>
      <c r="C146" s="315">
        <f>+'D) Ecrêtage'!M146</f>
        <v>163818.58469948487</v>
      </c>
      <c r="D146" s="292">
        <v>785961</v>
      </c>
      <c r="E146" s="315">
        <v>901924</v>
      </c>
      <c r="F146" s="292">
        <v>97585</v>
      </c>
      <c r="G146" s="315">
        <f t="shared" si="21"/>
        <v>1785470</v>
      </c>
      <c r="H146" s="292">
        <f t="shared" si="22"/>
        <v>1310548.677595879</v>
      </c>
      <c r="I146" s="10">
        <f t="shared" si="23"/>
        <v>474921.32240412105</v>
      </c>
      <c r="J146" s="312">
        <f t="shared" si="18"/>
        <v>-317955.3837310223</v>
      </c>
      <c r="K146" s="14">
        <v>1709</v>
      </c>
      <c r="L146" s="10">
        <f t="shared" si="19"/>
        <v>163818.58469948487</v>
      </c>
      <c r="M146" s="14">
        <f t="shared" si="16"/>
        <v>0</v>
      </c>
      <c r="N146" s="2">
        <f t="shared" si="20"/>
        <v>0</v>
      </c>
      <c r="O146" s="135">
        <f t="shared" si="17"/>
        <v>-317955.3837310223</v>
      </c>
      <c r="P146" s="34">
        <f>O146/'D) Ecrêtage'!C146</f>
        <v>-1.8905698488566425</v>
      </c>
    </row>
    <row r="147" spans="1:16" x14ac:dyDescent="0.25">
      <c r="A147" s="50">
        <f>+'A) Base RI'!A149</f>
        <v>5639</v>
      </c>
      <c r="B147" s="301" t="str">
        <f>+'A) Base RI'!B149</f>
        <v>Lully</v>
      </c>
      <c r="C147" s="315">
        <f>+'D) Ecrêtage'!M147</f>
        <v>46238.537920854986</v>
      </c>
      <c r="D147" s="292">
        <v>26888</v>
      </c>
      <c r="E147" s="315">
        <v>142912</v>
      </c>
      <c r="F147" s="292">
        <v>17754</v>
      </c>
      <c r="G147" s="315">
        <f t="shared" si="21"/>
        <v>187554</v>
      </c>
      <c r="H147" s="292">
        <f t="shared" si="22"/>
        <v>369908.30336683989</v>
      </c>
      <c r="I147" s="10">
        <f t="shared" si="23"/>
        <v>0</v>
      </c>
      <c r="J147" s="312">
        <f t="shared" si="18"/>
        <v>0</v>
      </c>
      <c r="K147" s="14">
        <v>7909</v>
      </c>
      <c r="L147" s="10">
        <f t="shared" si="19"/>
        <v>46238.537920854986</v>
      </c>
      <c r="M147" s="14">
        <f t="shared" si="16"/>
        <v>0</v>
      </c>
      <c r="N147" s="2">
        <f t="shared" si="20"/>
        <v>0</v>
      </c>
      <c r="O147" s="135">
        <f t="shared" si="17"/>
        <v>0</v>
      </c>
      <c r="P147" s="34">
        <f>O147/'D) Ecrêtage'!C147</f>
        <v>0</v>
      </c>
    </row>
    <row r="148" spans="1:16" x14ac:dyDescent="0.25">
      <c r="A148" s="50">
        <f>+'A) Base RI'!A150</f>
        <v>5640</v>
      </c>
      <c r="B148" s="301" t="str">
        <f>+'A) Base RI'!B150</f>
        <v>Lussy-sur-Morges</v>
      </c>
      <c r="C148" s="315">
        <f>+'D) Ecrêtage'!M148</f>
        <v>50080.591536998734</v>
      </c>
      <c r="D148" s="292">
        <v>154858</v>
      </c>
      <c r="E148" s="315">
        <v>115991</v>
      </c>
      <c r="F148" s="292">
        <v>80556</v>
      </c>
      <c r="G148" s="315">
        <f t="shared" si="21"/>
        <v>351405</v>
      </c>
      <c r="H148" s="292">
        <f t="shared" si="22"/>
        <v>400644.73229598987</v>
      </c>
      <c r="I148" s="10">
        <f t="shared" si="23"/>
        <v>0</v>
      </c>
      <c r="J148" s="312">
        <f t="shared" si="18"/>
        <v>0</v>
      </c>
      <c r="K148" s="14">
        <v>3174</v>
      </c>
      <c r="L148" s="10">
        <f t="shared" si="19"/>
        <v>50080.591536998734</v>
      </c>
      <c r="M148" s="14">
        <f t="shared" si="16"/>
        <v>0</v>
      </c>
      <c r="N148" s="2">
        <f t="shared" si="20"/>
        <v>0</v>
      </c>
      <c r="O148" s="135">
        <f t="shared" si="17"/>
        <v>0</v>
      </c>
      <c r="P148" s="34">
        <f>O148/'D) Ecrêtage'!C148</f>
        <v>0</v>
      </c>
    </row>
    <row r="149" spans="1:16" x14ac:dyDescent="0.25">
      <c r="A149" s="50">
        <f>+'A) Base RI'!A151</f>
        <v>5642</v>
      </c>
      <c r="B149" s="301" t="str">
        <f>+'A) Base RI'!B151</f>
        <v>Morges</v>
      </c>
      <c r="C149" s="315">
        <f>+'D) Ecrêtage'!M149</f>
        <v>759222.5945985401</v>
      </c>
      <c r="D149" s="292">
        <v>3338033</v>
      </c>
      <c r="E149" s="315">
        <v>4524849</v>
      </c>
      <c r="F149" s="292">
        <v>89205</v>
      </c>
      <c r="G149" s="315">
        <f t="shared" si="21"/>
        <v>7952087</v>
      </c>
      <c r="H149" s="292">
        <f t="shared" si="22"/>
        <v>6073780.7567883208</v>
      </c>
      <c r="I149" s="10">
        <f t="shared" si="23"/>
        <v>1878306.2432116792</v>
      </c>
      <c r="J149" s="312">
        <f t="shared" si="18"/>
        <v>-1257508.4632998616</v>
      </c>
      <c r="K149" s="14">
        <v>19485</v>
      </c>
      <c r="L149" s="10">
        <f t="shared" si="19"/>
        <v>759222.5945985401</v>
      </c>
      <c r="M149" s="14">
        <f t="shared" si="16"/>
        <v>0</v>
      </c>
      <c r="N149" s="2">
        <f t="shared" si="20"/>
        <v>0</v>
      </c>
      <c r="O149" s="135">
        <f t="shared" si="17"/>
        <v>-1257508.4632998616</v>
      </c>
      <c r="P149" s="34">
        <f>O149/'D) Ecrêtage'!C149</f>
        <v>-1.656310642289043</v>
      </c>
    </row>
    <row r="150" spans="1:16" x14ac:dyDescent="0.25">
      <c r="A150" s="50">
        <f>+'A) Base RI'!A152</f>
        <v>5643</v>
      </c>
      <c r="B150" s="301" t="str">
        <f>+'A) Base RI'!B152</f>
        <v>Préverenges</v>
      </c>
      <c r="C150" s="315">
        <f>+'D) Ecrêtage'!M150</f>
        <v>260053.614375</v>
      </c>
      <c r="D150" s="292">
        <v>171924</v>
      </c>
      <c r="E150" s="315">
        <v>1142506</v>
      </c>
      <c r="F150" s="292">
        <v>116053</v>
      </c>
      <c r="G150" s="315">
        <f t="shared" si="21"/>
        <v>1430483</v>
      </c>
      <c r="H150" s="292">
        <f t="shared" si="22"/>
        <v>2080428.915</v>
      </c>
      <c r="I150" s="10">
        <f t="shared" si="23"/>
        <v>0</v>
      </c>
      <c r="J150" s="312">
        <f t="shared" si="18"/>
        <v>0</v>
      </c>
      <c r="K150" s="14">
        <v>150</v>
      </c>
      <c r="L150" s="10">
        <f t="shared" si="19"/>
        <v>260053.614375</v>
      </c>
      <c r="M150" s="14">
        <f t="shared" si="16"/>
        <v>0</v>
      </c>
      <c r="N150" s="2">
        <f t="shared" si="20"/>
        <v>0</v>
      </c>
      <c r="O150" s="135">
        <f t="shared" si="17"/>
        <v>0</v>
      </c>
      <c r="P150" s="34">
        <f>O150/'D) Ecrêtage'!C150</f>
        <v>0</v>
      </c>
    </row>
    <row r="151" spans="1:16" x14ac:dyDescent="0.25">
      <c r="A151" s="50">
        <f>+'A) Base RI'!A153</f>
        <v>5644</v>
      </c>
      <c r="B151" s="301" t="str">
        <f>+'A) Base RI'!B153</f>
        <v>Reverolle</v>
      </c>
      <c r="C151" s="315">
        <f>+'D) Ecrêtage'!M151</f>
        <v>13341.614868421055</v>
      </c>
      <c r="D151" s="292">
        <v>109051</v>
      </c>
      <c r="E151" s="315">
        <v>26629</v>
      </c>
      <c r="F151" s="292">
        <v>49717</v>
      </c>
      <c r="G151" s="315">
        <f t="shared" si="21"/>
        <v>185397</v>
      </c>
      <c r="H151" s="292">
        <f t="shared" si="22"/>
        <v>106732.91894736844</v>
      </c>
      <c r="I151" s="10">
        <f t="shared" si="23"/>
        <v>78664.081052631562</v>
      </c>
      <c r="J151" s="312">
        <f t="shared" si="18"/>
        <v>-52664.866572688283</v>
      </c>
      <c r="K151" s="14">
        <v>5921</v>
      </c>
      <c r="L151" s="10">
        <f t="shared" si="19"/>
        <v>13341.614868421055</v>
      </c>
      <c r="M151" s="14">
        <f t="shared" si="16"/>
        <v>0</v>
      </c>
      <c r="N151" s="2">
        <f t="shared" si="20"/>
        <v>0</v>
      </c>
      <c r="O151" s="135">
        <f t="shared" si="17"/>
        <v>-52664.866572688283</v>
      </c>
      <c r="P151" s="34">
        <f>O151/'D) Ecrêtage'!C151</f>
        <v>-3.9474131948856828</v>
      </c>
    </row>
    <row r="152" spans="1:16" x14ac:dyDescent="0.25">
      <c r="A152" s="50">
        <f>+'A) Base RI'!A154</f>
        <v>5645</v>
      </c>
      <c r="B152" s="301" t="str">
        <f>+'A) Base RI'!B154</f>
        <v>Romanel-sur-Morges</v>
      </c>
      <c r="C152" s="315">
        <f>+'D) Ecrêtage'!M152</f>
        <v>26400.132083680532</v>
      </c>
      <c r="D152" s="292">
        <v>69897</v>
      </c>
      <c r="E152" s="315">
        <v>16382</v>
      </c>
      <c r="F152" s="292">
        <v>37878</v>
      </c>
      <c r="G152" s="315">
        <f t="shared" si="21"/>
        <v>124157</v>
      </c>
      <c r="H152" s="292">
        <f t="shared" si="22"/>
        <v>211201.05666944425</v>
      </c>
      <c r="I152" s="10">
        <f t="shared" si="23"/>
        <v>0</v>
      </c>
      <c r="J152" s="312">
        <f t="shared" si="18"/>
        <v>0</v>
      </c>
      <c r="K152" s="14">
        <v>29713</v>
      </c>
      <c r="L152" s="10">
        <f t="shared" si="19"/>
        <v>26400.132083680532</v>
      </c>
      <c r="M152" s="14">
        <f t="shared" si="16"/>
        <v>3312.8679163194683</v>
      </c>
      <c r="N152" s="2">
        <f t="shared" si="20"/>
        <v>-2217.9340869585867</v>
      </c>
      <c r="O152" s="135">
        <f t="shared" si="17"/>
        <v>-2217.9340869585867</v>
      </c>
      <c r="P152" s="34">
        <f>O152/'D) Ecrêtage'!C152</f>
        <v>-8.3337269207297338E-2</v>
      </c>
    </row>
    <row r="153" spans="1:16" x14ac:dyDescent="0.25">
      <c r="A153" s="50">
        <f>+'A) Base RI'!A155</f>
        <v>5646</v>
      </c>
      <c r="B153" s="301" t="str">
        <f>+'A) Base RI'!B155</f>
        <v>Saint-Prex</v>
      </c>
      <c r="C153" s="315">
        <f>+'D) Ecrêtage'!M153</f>
        <v>465295.81777053984</v>
      </c>
      <c r="D153" s="292">
        <v>1050635</v>
      </c>
      <c r="E153" s="315">
        <v>496250</v>
      </c>
      <c r="F153" s="292">
        <v>109387</v>
      </c>
      <c r="G153" s="315">
        <f t="shared" si="21"/>
        <v>1656272</v>
      </c>
      <c r="H153" s="292">
        <f t="shared" si="22"/>
        <v>3722366.5421643187</v>
      </c>
      <c r="I153" s="10">
        <f t="shared" si="23"/>
        <v>0</v>
      </c>
      <c r="J153" s="312">
        <f t="shared" si="18"/>
        <v>0</v>
      </c>
      <c r="K153" s="14">
        <v>-3250</v>
      </c>
      <c r="L153" s="10">
        <f t="shared" si="19"/>
        <v>465295.81777053984</v>
      </c>
      <c r="M153" s="14">
        <f t="shared" si="16"/>
        <v>0</v>
      </c>
      <c r="N153" s="2">
        <f t="shared" si="20"/>
        <v>0</v>
      </c>
      <c r="O153" s="135">
        <f t="shared" si="17"/>
        <v>0</v>
      </c>
      <c r="P153" s="34">
        <f>O153/'D) Ecrêtage'!C153</f>
        <v>0</v>
      </c>
    </row>
    <row r="154" spans="1:16" x14ac:dyDescent="0.25">
      <c r="A154" s="50">
        <f>+'A) Base RI'!A156</f>
        <v>5648</v>
      </c>
      <c r="B154" s="301" t="str">
        <f>+'A) Base RI'!B156</f>
        <v>Saint-Sulpice</v>
      </c>
      <c r="C154" s="315">
        <f>+'D) Ecrêtage'!M154</f>
        <v>272390.15842991677</v>
      </c>
      <c r="D154" s="292">
        <v>808360</v>
      </c>
      <c r="E154" s="315">
        <v>2023994</v>
      </c>
      <c r="F154" s="292">
        <v>56643</v>
      </c>
      <c r="G154" s="315">
        <f t="shared" si="21"/>
        <v>2888997</v>
      </c>
      <c r="H154" s="292">
        <f t="shared" si="22"/>
        <v>2179121.2674393342</v>
      </c>
      <c r="I154" s="10">
        <f t="shared" si="23"/>
        <v>709875.73256066581</v>
      </c>
      <c r="J154" s="312">
        <f t="shared" si="18"/>
        <v>-475255.16396083485</v>
      </c>
      <c r="K154" s="14">
        <v>36511</v>
      </c>
      <c r="L154" s="10">
        <f t="shared" si="19"/>
        <v>272390.15842991677</v>
      </c>
      <c r="M154" s="14">
        <f t="shared" si="16"/>
        <v>0</v>
      </c>
      <c r="N154" s="2">
        <f t="shared" si="20"/>
        <v>0</v>
      </c>
      <c r="O154" s="135">
        <f t="shared" si="17"/>
        <v>-475255.16396083485</v>
      </c>
      <c r="P154" s="34">
        <f>O154/'D) Ecrêtage'!C154</f>
        <v>-1.7264099732137821</v>
      </c>
    </row>
    <row r="155" spans="1:16" x14ac:dyDescent="0.25">
      <c r="A155" s="50">
        <f>+'A) Base RI'!A157</f>
        <v>5649</v>
      </c>
      <c r="B155" s="301" t="str">
        <f>+'A) Base RI'!B157</f>
        <v>Tolochenaz</v>
      </c>
      <c r="C155" s="315">
        <f>+'D) Ecrêtage'!M155</f>
        <v>129535.13347447779</v>
      </c>
      <c r="D155" s="292">
        <v>321257</v>
      </c>
      <c r="E155" s="315">
        <v>645595</v>
      </c>
      <c r="F155" s="292">
        <v>33681</v>
      </c>
      <c r="G155" s="315">
        <f t="shared" si="21"/>
        <v>1000533</v>
      </c>
      <c r="H155" s="292">
        <f t="shared" si="22"/>
        <v>1036281.0677958223</v>
      </c>
      <c r="I155" s="10">
        <f t="shared" si="23"/>
        <v>0</v>
      </c>
      <c r="J155" s="312">
        <f t="shared" si="18"/>
        <v>0</v>
      </c>
      <c r="K155" s="14">
        <v>11234</v>
      </c>
      <c r="L155" s="10">
        <f t="shared" si="19"/>
        <v>129535.13347447779</v>
      </c>
      <c r="M155" s="14">
        <f t="shared" si="16"/>
        <v>0</v>
      </c>
      <c r="N155" s="2">
        <f t="shared" si="20"/>
        <v>0</v>
      </c>
      <c r="O155" s="135">
        <f t="shared" si="17"/>
        <v>0</v>
      </c>
      <c r="P155" s="34">
        <f>O155/'D) Ecrêtage'!C155</f>
        <v>0</v>
      </c>
    </row>
    <row r="156" spans="1:16" x14ac:dyDescent="0.25">
      <c r="A156" s="50">
        <f>+'A) Base RI'!A158</f>
        <v>5650</v>
      </c>
      <c r="B156" s="301" t="str">
        <f>+'A) Base RI'!B158</f>
        <v>Vaux-sur-Morges</v>
      </c>
      <c r="C156" s="315">
        <f>+'D) Ecrêtage'!M156</f>
        <v>128605.83258251277</v>
      </c>
      <c r="D156" s="292">
        <v>30314</v>
      </c>
      <c r="E156" s="315">
        <v>6936</v>
      </c>
      <c r="F156" s="292">
        <v>23058</v>
      </c>
      <c r="G156" s="315">
        <f t="shared" si="21"/>
        <v>60308</v>
      </c>
      <c r="H156" s="292">
        <f t="shared" si="22"/>
        <v>1028846.6606601021</v>
      </c>
      <c r="I156" s="10">
        <f t="shared" si="23"/>
        <v>0</v>
      </c>
      <c r="J156" s="312">
        <f t="shared" si="18"/>
        <v>0</v>
      </c>
      <c r="K156" s="14">
        <v>3841</v>
      </c>
      <c r="L156" s="10">
        <f t="shared" si="19"/>
        <v>128605.83258251277</v>
      </c>
      <c r="M156" s="14">
        <f t="shared" si="16"/>
        <v>0</v>
      </c>
      <c r="N156" s="2">
        <f t="shared" si="20"/>
        <v>0</v>
      </c>
      <c r="O156" s="135">
        <f t="shared" si="17"/>
        <v>0</v>
      </c>
      <c r="P156" s="34">
        <f>O156/'D) Ecrêtage'!C156</f>
        <v>0</v>
      </c>
    </row>
    <row r="157" spans="1:16" x14ac:dyDescent="0.25">
      <c r="A157" s="50">
        <f>+'A) Base RI'!A159</f>
        <v>5651</v>
      </c>
      <c r="B157" s="301" t="str">
        <f>+'A) Base RI'!B159</f>
        <v>Villars-Sainte-Croix</v>
      </c>
      <c r="C157" s="315">
        <f>+'D) Ecrêtage'!M157</f>
        <v>57258.584311335449</v>
      </c>
      <c r="D157" s="292">
        <v>151267</v>
      </c>
      <c r="E157" s="315">
        <v>124807</v>
      </c>
      <c r="F157" s="292">
        <v>22723</v>
      </c>
      <c r="G157" s="315">
        <f t="shared" si="21"/>
        <v>298797</v>
      </c>
      <c r="H157" s="292">
        <f t="shared" si="22"/>
        <v>458068.6744906836</v>
      </c>
      <c r="I157" s="10">
        <f t="shared" si="23"/>
        <v>0</v>
      </c>
      <c r="J157" s="312">
        <f t="shared" si="18"/>
        <v>0</v>
      </c>
      <c r="K157" s="14">
        <v>16678</v>
      </c>
      <c r="L157" s="10">
        <f t="shared" si="19"/>
        <v>57258.584311335449</v>
      </c>
      <c r="M157" s="14">
        <f t="shared" si="16"/>
        <v>0</v>
      </c>
      <c r="N157" s="2">
        <f t="shared" si="20"/>
        <v>0</v>
      </c>
      <c r="O157" s="135">
        <f t="shared" si="17"/>
        <v>0</v>
      </c>
      <c r="P157" s="34">
        <f>O157/'D) Ecrêtage'!C157</f>
        <v>0</v>
      </c>
    </row>
    <row r="158" spans="1:16" x14ac:dyDescent="0.25">
      <c r="A158" s="50">
        <f>+'A) Base RI'!A160</f>
        <v>5652</v>
      </c>
      <c r="B158" s="301" t="str">
        <f>+'A) Base RI'!B160</f>
        <v>Villars-sous-Yens</v>
      </c>
      <c r="C158" s="315">
        <f>+'D) Ecrêtage'!M158</f>
        <v>29800.949188596489</v>
      </c>
      <c r="D158" s="292">
        <v>91276</v>
      </c>
      <c r="E158" s="315">
        <v>42802</v>
      </c>
      <c r="F158" s="292">
        <v>65232</v>
      </c>
      <c r="G158" s="315">
        <f t="shared" si="21"/>
        <v>199310</v>
      </c>
      <c r="H158" s="292">
        <f t="shared" si="22"/>
        <v>238407.59350877191</v>
      </c>
      <c r="I158" s="10">
        <f t="shared" si="23"/>
        <v>0</v>
      </c>
      <c r="J158" s="312">
        <f t="shared" si="18"/>
        <v>0</v>
      </c>
      <c r="K158" s="14">
        <v>6355</v>
      </c>
      <c r="L158" s="10">
        <f t="shared" si="19"/>
        <v>29800.949188596489</v>
      </c>
      <c r="M158" s="14">
        <f t="shared" si="16"/>
        <v>0</v>
      </c>
      <c r="N158" s="2">
        <f t="shared" si="20"/>
        <v>0</v>
      </c>
      <c r="O158" s="135">
        <f t="shared" si="17"/>
        <v>0</v>
      </c>
      <c r="P158" s="34">
        <f>O158/'D) Ecrêtage'!C158</f>
        <v>0</v>
      </c>
    </row>
    <row r="159" spans="1:16" x14ac:dyDescent="0.25">
      <c r="A159" s="50">
        <f>+'A) Base RI'!A161</f>
        <v>5653</v>
      </c>
      <c r="B159" s="301" t="str">
        <f>+'A) Base RI'!B161</f>
        <v>Vufflens-le-Château</v>
      </c>
      <c r="C159" s="315">
        <f>+'D) Ecrêtage'!M159</f>
        <v>59637.912560059514</v>
      </c>
      <c r="D159" s="292">
        <v>107157</v>
      </c>
      <c r="E159" s="315">
        <v>77030</v>
      </c>
      <c r="F159" s="292">
        <v>9735</v>
      </c>
      <c r="G159" s="315">
        <f t="shared" si="21"/>
        <v>193922</v>
      </c>
      <c r="H159" s="292">
        <f t="shared" si="22"/>
        <v>477103.30048047611</v>
      </c>
      <c r="I159" s="10">
        <f t="shared" si="23"/>
        <v>0</v>
      </c>
      <c r="J159" s="312">
        <f t="shared" si="18"/>
        <v>0</v>
      </c>
      <c r="K159" s="14">
        <v>4436</v>
      </c>
      <c r="L159" s="10">
        <f t="shared" si="19"/>
        <v>59637.912560059514</v>
      </c>
      <c r="M159" s="14">
        <f t="shared" si="16"/>
        <v>0</v>
      </c>
      <c r="N159" s="2">
        <f t="shared" si="20"/>
        <v>0</v>
      </c>
      <c r="O159" s="135">
        <f t="shared" si="17"/>
        <v>0</v>
      </c>
      <c r="P159" s="34">
        <f>O159/'D) Ecrêtage'!C159</f>
        <v>0</v>
      </c>
    </row>
    <row r="160" spans="1:16" x14ac:dyDescent="0.25">
      <c r="A160" s="50">
        <f>+'A) Base RI'!A162</f>
        <v>5654</v>
      </c>
      <c r="B160" s="301" t="str">
        <f>+'A) Base RI'!B162</f>
        <v>Vullierens</v>
      </c>
      <c r="C160" s="315">
        <f>+'D) Ecrêtage'!M160</f>
        <v>19280.901315789473</v>
      </c>
      <c r="D160" s="292">
        <v>71897</v>
      </c>
      <c r="E160" s="315">
        <v>17393</v>
      </c>
      <c r="F160" s="292">
        <v>35882</v>
      </c>
      <c r="G160" s="315">
        <f t="shared" si="21"/>
        <v>125172</v>
      </c>
      <c r="H160" s="292">
        <f t="shared" si="22"/>
        <v>154247.21052631579</v>
      </c>
      <c r="I160" s="10">
        <f t="shared" si="23"/>
        <v>0</v>
      </c>
      <c r="J160" s="312">
        <f t="shared" si="18"/>
        <v>0</v>
      </c>
      <c r="K160" s="14">
        <v>8818</v>
      </c>
      <c r="L160" s="10">
        <f t="shared" si="19"/>
        <v>19280.901315789473</v>
      </c>
      <c r="M160" s="14">
        <f t="shared" si="16"/>
        <v>0</v>
      </c>
      <c r="N160" s="2">
        <f t="shared" si="20"/>
        <v>0</v>
      </c>
      <c r="O160" s="135">
        <f t="shared" si="17"/>
        <v>0</v>
      </c>
      <c r="P160" s="34">
        <f>O160/'D) Ecrêtage'!C160</f>
        <v>0</v>
      </c>
    </row>
    <row r="161" spans="1:16" x14ac:dyDescent="0.25">
      <c r="A161" s="50">
        <f>+'A) Base RI'!A163</f>
        <v>5655</v>
      </c>
      <c r="B161" s="301" t="str">
        <f>+'A) Base RI'!B163</f>
        <v>Yens</v>
      </c>
      <c r="C161" s="315">
        <f>+'D) Ecrêtage'!M161</f>
        <v>85859.778494703729</v>
      </c>
      <c r="D161" s="292">
        <v>353216</v>
      </c>
      <c r="E161" s="315">
        <v>121557</v>
      </c>
      <c r="F161" s="292">
        <v>169901</v>
      </c>
      <c r="G161" s="315">
        <f t="shared" si="21"/>
        <v>644674</v>
      </c>
      <c r="H161" s="292">
        <f t="shared" si="22"/>
        <v>686878.22795762983</v>
      </c>
      <c r="I161" s="10">
        <f t="shared" si="23"/>
        <v>0</v>
      </c>
      <c r="J161" s="312">
        <f t="shared" si="18"/>
        <v>0</v>
      </c>
      <c r="K161" s="14">
        <v>6742</v>
      </c>
      <c r="L161" s="10">
        <f t="shared" si="19"/>
        <v>85859.778494703729</v>
      </c>
      <c r="M161" s="14">
        <f t="shared" si="16"/>
        <v>0</v>
      </c>
      <c r="N161" s="2">
        <f t="shared" si="20"/>
        <v>0</v>
      </c>
      <c r="O161" s="135">
        <f t="shared" si="17"/>
        <v>0</v>
      </c>
      <c r="P161" s="34">
        <f>O161/'D) Ecrêtage'!C161</f>
        <v>0</v>
      </c>
    </row>
    <row r="162" spans="1:16" x14ac:dyDescent="0.25">
      <c r="A162" s="50">
        <f>+'A) Base RI'!A164</f>
        <v>5661</v>
      </c>
      <c r="B162" s="301" t="str">
        <f>+'A) Base RI'!B164</f>
        <v>Boulens</v>
      </c>
      <c r="C162" s="315">
        <f>+'D) Ecrêtage'!M162</f>
        <v>10339.57164556962</v>
      </c>
      <c r="D162" s="292">
        <v>16916</v>
      </c>
      <c r="E162" s="315">
        <v>12555</v>
      </c>
      <c r="F162" s="292">
        <v>34560</v>
      </c>
      <c r="G162" s="315">
        <f t="shared" si="21"/>
        <v>64031</v>
      </c>
      <c r="H162" s="292">
        <f t="shared" si="22"/>
        <v>82716.573164556961</v>
      </c>
      <c r="I162" s="10">
        <f t="shared" si="23"/>
        <v>0</v>
      </c>
      <c r="J162" s="312">
        <f t="shared" si="18"/>
        <v>0</v>
      </c>
      <c r="K162" s="14">
        <v>30446</v>
      </c>
      <c r="L162" s="10">
        <f t="shared" si="19"/>
        <v>10339.57164556962</v>
      </c>
      <c r="M162" s="14">
        <f t="shared" si="16"/>
        <v>20106.42835443038</v>
      </c>
      <c r="N162" s="2">
        <f t="shared" si="20"/>
        <v>-13461.065741439419</v>
      </c>
      <c r="O162" s="135">
        <f t="shared" si="17"/>
        <v>-13461.065741439419</v>
      </c>
      <c r="P162" s="34">
        <f>O162/'D) Ecrêtage'!C162</f>
        <v>-1.3018978157772445</v>
      </c>
    </row>
    <row r="163" spans="1:16" x14ac:dyDescent="0.25">
      <c r="A163" s="50">
        <f>+'A) Base RI'!A165</f>
        <v>5663</v>
      </c>
      <c r="B163" s="301" t="str">
        <f>+'A) Base RI'!B165</f>
        <v>Bussy-sur-Moudon</v>
      </c>
      <c r="C163" s="315">
        <f>+'D) Ecrêtage'!M163</f>
        <v>5294.5642500000013</v>
      </c>
      <c r="D163" s="292">
        <v>97795</v>
      </c>
      <c r="E163" s="315">
        <v>6960</v>
      </c>
      <c r="F163" s="292">
        <v>12884</v>
      </c>
      <c r="G163" s="315">
        <f t="shared" si="21"/>
        <v>117639</v>
      </c>
      <c r="H163" s="292">
        <f t="shared" si="22"/>
        <v>42356.51400000001</v>
      </c>
      <c r="I163" s="10">
        <f t="shared" si="23"/>
        <v>75282.48599999999</v>
      </c>
      <c r="J163" s="312">
        <f t="shared" si="18"/>
        <v>-50400.920310727255</v>
      </c>
      <c r="K163" s="14">
        <v>25316</v>
      </c>
      <c r="L163" s="10">
        <f t="shared" si="19"/>
        <v>5294.5642500000013</v>
      </c>
      <c r="M163" s="14">
        <f t="shared" si="16"/>
        <v>20021.435749999997</v>
      </c>
      <c r="N163" s="2">
        <f t="shared" si="20"/>
        <v>-13404.163987651733</v>
      </c>
      <c r="O163" s="135">
        <f t="shared" si="17"/>
        <v>-63805.084298378992</v>
      </c>
      <c r="P163" s="34">
        <f>O163/'D) Ecrêtage'!C163</f>
        <v>-12.051054871678812</v>
      </c>
    </row>
    <row r="164" spans="1:16" x14ac:dyDescent="0.25">
      <c r="A164" s="50">
        <f>+'A) Base RI'!A166</f>
        <v>5665</v>
      </c>
      <c r="B164" s="301" t="str">
        <f>+'A) Base RI'!B166</f>
        <v>Chavannes-sur-Moudon</v>
      </c>
      <c r="C164" s="315">
        <f>+'D) Ecrêtage'!M164</f>
        <v>4618.4299999999994</v>
      </c>
      <c r="D164" s="292">
        <v>30419</v>
      </c>
      <c r="E164" s="315">
        <v>7327</v>
      </c>
      <c r="F164" s="292">
        <v>13168</v>
      </c>
      <c r="G164" s="315">
        <f t="shared" si="21"/>
        <v>50914</v>
      </c>
      <c r="H164" s="292">
        <f t="shared" si="22"/>
        <v>36947.439999999995</v>
      </c>
      <c r="I164" s="10">
        <f t="shared" si="23"/>
        <v>13966.560000000005</v>
      </c>
      <c r="J164" s="312">
        <f t="shared" si="18"/>
        <v>-9350.4813001923339</v>
      </c>
      <c r="K164" s="14">
        <v>-13519</v>
      </c>
      <c r="L164" s="10">
        <f t="shared" si="19"/>
        <v>4618.4299999999994</v>
      </c>
      <c r="M164" s="14">
        <f t="shared" si="16"/>
        <v>0</v>
      </c>
      <c r="N164" s="2">
        <f t="shared" si="20"/>
        <v>0</v>
      </c>
      <c r="O164" s="135">
        <f t="shared" si="17"/>
        <v>-9350.4813001923339</v>
      </c>
      <c r="P164" s="34">
        <f>O164/'D) Ecrêtage'!C164</f>
        <v>-2.0246017153431652</v>
      </c>
    </row>
    <row r="165" spans="1:16" x14ac:dyDescent="0.25">
      <c r="A165" s="50">
        <f>+'A) Base RI'!A167</f>
        <v>5669</v>
      </c>
      <c r="B165" s="301" t="str">
        <f>+'A) Base RI'!B167</f>
        <v>Curtilles</v>
      </c>
      <c r="C165" s="315">
        <f>+'D) Ecrêtage'!M165</f>
        <v>7795.8649333333315</v>
      </c>
      <c r="D165" s="292">
        <v>48836</v>
      </c>
      <c r="E165" s="315">
        <v>21181</v>
      </c>
      <c r="F165" s="292">
        <v>17967</v>
      </c>
      <c r="G165" s="315">
        <f t="shared" si="21"/>
        <v>87984</v>
      </c>
      <c r="H165" s="292">
        <f t="shared" si="22"/>
        <v>62366.919466666652</v>
      </c>
      <c r="I165" s="10">
        <f t="shared" si="23"/>
        <v>25617.080533333348</v>
      </c>
      <c r="J165" s="312">
        <f t="shared" si="18"/>
        <v>-17150.395837805048</v>
      </c>
      <c r="K165" s="14">
        <v>267</v>
      </c>
      <c r="L165" s="10">
        <f t="shared" si="19"/>
        <v>7795.8649333333315</v>
      </c>
      <c r="M165" s="14">
        <f t="shared" si="16"/>
        <v>0</v>
      </c>
      <c r="N165" s="2">
        <f t="shared" si="20"/>
        <v>0</v>
      </c>
      <c r="O165" s="135">
        <f t="shared" si="17"/>
        <v>-17150.395837805048</v>
      </c>
      <c r="P165" s="34">
        <f>O165/'D) Ecrêtage'!C165</f>
        <v>-2.1999349635309722</v>
      </c>
    </row>
    <row r="166" spans="1:16" x14ac:dyDescent="0.25">
      <c r="A166" s="50">
        <f>+'A) Base RI'!A168</f>
        <v>5671</v>
      </c>
      <c r="B166" s="301" t="str">
        <f>+'A) Base RI'!B168</f>
        <v>Dompierre</v>
      </c>
      <c r="C166" s="315">
        <f>+'D) Ecrêtage'!M166</f>
        <v>6158.8938749999998</v>
      </c>
      <c r="D166" s="292">
        <v>104655</v>
      </c>
      <c r="E166" s="315">
        <v>8625</v>
      </c>
      <c r="F166" s="292">
        <v>30913</v>
      </c>
      <c r="G166" s="315">
        <f t="shared" si="21"/>
        <v>144193</v>
      </c>
      <c r="H166" s="292">
        <f t="shared" si="22"/>
        <v>49271.150999999998</v>
      </c>
      <c r="I166" s="10">
        <f t="shared" si="23"/>
        <v>94921.849000000002</v>
      </c>
      <c r="J166" s="312">
        <f t="shared" si="18"/>
        <v>-63549.290165522514</v>
      </c>
      <c r="K166" s="14">
        <v>6222</v>
      </c>
      <c r="L166" s="10">
        <f t="shared" si="19"/>
        <v>6158.8938749999998</v>
      </c>
      <c r="M166" s="14">
        <f t="shared" ref="M166:M218" si="24">IF(K166&gt;L166,K166-L166,0)</f>
        <v>63.106125000000247</v>
      </c>
      <c r="N166" s="2">
        <f t="shared" si="20"/>
        <v>-42.248960498512311</v>
      </c>
      <c r="O166" s="135">
        <f t="shared" ref="O166:O218" si="25">N166+J166</f>
        <v>-63591.539126021024</v>
      </c>
      <c r="P166" s="34">
        <f>O166/'D) Ecrêtage'!C166</f>
        <v>-10.325155850492882</v>
      </c>
    </row>
    <row r="167" spans="1:16" x14ac:dyDescent="0.25">
      <c r="A167" s="50">
        <f>+'A) Base RI'!A169</f>
        <v>5673</v>
      </c>
      <c r="B167" s="301" t="str">
        <f>+'A) Base RI'!B169</f>
        <v>Hermenches</v>
      </c>
      <c r="C167" s="315">
        <f>+'D) Ecrêtage'!M167</f>
        <v>9293.9345333333331</v>
      </c>
      <c r="D167" s="292">
        <v>259178</v>
      </c>
      <c r="E167" s="315">
        <v>12622</v>
      </c>
      <c r="F167" s="292">
        <v>21997</v>
      </c>
      <c r="G167" s="315">
        <f t="shared" si="21"/>
        <v>293797</v>
      </c>
      <c r="H167" s="292">
        <f t="shared" si="22"/>
        <v>74351.476266666665</v>
      </c>
      <c r="I167" s="10">
        <f t="shared" si="23"/>
        <v>219445.52373333334</v>
      </c>
      <c r="J167" s="312">
        <f t="shared" si="18"/>
        <v>-146916.72581361808</v>
      </c>
      <c r="K167" s="14">
        <v>42639</v>
      </c>
      <c r="L167" s="10">
        <f t="shared" si="19"/>
        <v>9293.9345333333331</v>
      </c>
      <c r="M167" s="14">
        <f t="shared" si="24"/>
        <v>33345.065466666667</v>
      </c>
      <c r="N167" s="2">
        <f t="shared" si="20"/>
        <v>-22324.209476045336</v>
      </c>
      <c r="O167" s="135">
        <f t="shared" si="25"/>
        <v>-169240.93528966341</v>
      </c>
      <c r="P167" s="34">
        <f>O167/'D) Ecrêtage'!C167</f>
        <v>-18.209826493039003</v>
      </c>
    </row>
    <row r="168" spans="1:16" x14ac:dyDescent="0.25">
      <c r="A168" s="50">
        <f>+'A) Base RI'!A170</f>
        <v>5674</v>
      </c>
      <c r="B168" s="301" t="str">
        <f>+'A) Base RI'!B170</f>
        <v>Lovatens</v>
      </c>
      <c r="C168" s="315">
        <f>+'D) Ecrêtage'!M168</f>
        <v>3277.031161904762</v>
      </c>
      <c r="D168" s="292">
        <v>38931</v>
      </c>
      <c r="E168" s="315">
        <v>4696</v>
      </c>
      <c r="F168" s="292">
        <v>7880</v>
      </c>
      <c r="G168" s="315">
        <f t="shared" si="21"/>
        <v>51507</v>
      </c>
      <c r="H168" s="292">
        <f t="shared" si="22"/>
        <v>26216.249295238096</v>
      </c>
      <c r="I168" s="10">
        <f t="shared" si="23"/>
        <v>25290.750704761904</v>
      </c>
      <c r="J168" s="312">
        <f t="shared" ref="J168" si="26">-I168*J$4</f>
        <v>-16931.921069519067</v>
      </c>
      <c r="K168" s="14">
        <v>-682</v>
      </c>
      <c r="L168" s="10">
        <f t="shared" ref="L168" si="27">C168*M$4</f>
        <v>3277.031161904762</v>
      </c>
      <c r="M168" s="14">
        <f t="shared" ref="M168" si="28">IF(K168&gt;L168,K168-L168,0)</f>
        <v>0</v>
      </c>
      <c r="N168" s="2">
        <f t="shared" ref="N168" si="29">-M168*N$4</f>
        <v>0</v>
      </c>
      <c r="O168" s="135">
        <f t="shared" ref="O168" si="30">N168+J168</f>
        <v>-16931.921069519067</v>
      </c>
      <c r="P168" s="34">
        <f>O168/'D) Ecrêtage'!C168</f>
        <v>-5.1668477451027508</v>
      </c>
    </row>
    <row r="169" spans="1:16" x14ac:dyDescent="0.25">
      <c r="A169" s="50">
        <f>+'A) Base RI'!A171</f>
        <v>5675</v>
      </c>
      <c r="B169" s="301" t="str">
        <f>+'A) Base RI'!B171</f>
        <v>Lucens</v>
      </c>
      <c r="C169" s="315">
        <f>+'D) Ecrêtage'!M169</f>
        <v>92142.722793148874</v>
      </c>
      <c r="D169" s="292">
        <v>765957</v>
      </c>
      <c r="E169" s="315">
        <v>346107</v>
      </c>
      <c r="F169" s="292">
        <v>253601</v>
      </c>
      <c r="G169" s="315">
        <f t="shared" si="21"/>
        <v>1365665</v>
      </c>
      <c r="H169" s="292">
        <f t="shared" si="22"/>
        <v>737141.78234519099</v>
      </c>
      <c r="I169" s="10">
        <f t="shared" si="23"/>
        <v>628523.21765480901</v>
      </c>
      <c r="J169" s="312">
        <f t="shared" si="18"/>
        <v>-420790.41606651933</v>
      </c>
      <c r="K169" s="14">
        <v>40058</v>
      </c>
      <c r="L169" s="10">
        <f t="shared" si="19"/>
        <v>92142.722793148874</v>
      </c>
      <c r="M169" s="14">
        <f t="shared" si="24"/>
        <v>0</v>
      </c>
      <c r="N169" s="2">
        <f t="shared" si="20"/>
        <v>0</v>
      </c>
      <c r="O169" s="135">
        <f t="shared" si="25"/>
        <v>-420790.41606651933</v>
      </c>
      <c r="P169" s="34">
        <f>O169/'D) Ecrêtage'!C169</f>
        <v>-4.5667243522980261</v>
      </c>
    </row>
    <row r="170" spans="1:16" x14ac:dyDescent="0.25">
      <c r="A170" s="50">
        <f>+'A) Base RI'!A172</f>
        <v>5678</v>
      </c>
      <c r="B170" s="301" t="str">
        <f>+'A) Base RI'!B172</f>
        <v>Moudon</v>
      </c>
      <c r="C170" s="315">
        <f>+'D) Ecrêtage'!M170</f>
        <v>119798.79359999999</v>
      </c>
      <c r="D170" s="292">
        <v>1616364</v>
      </c>
      <c r="E170" s="315">
        <v>514955</v>
      </c>
      <c r="F170" s="292">
        <v>398190</v>
      </c>
      <c r="G170" s="315">
        <f t="shared" si="21"/>
        <v>2529509</v>
      </c>
      <c r="H170" s="292">
        <f t="shared" si="22"/>
        <v>958390.34879999992</v>
      </c>
      <c r="I170" s="10">
        <f t="shared" si="23"/>
        <v>1571118.6512000002</v>
      </c>
      <c r="J170" s="312">
        <f t="shared" si="18"/>
        <v>-1051849.2433662261</v>
      </c>
      <c r="K170" s="14">
        <v>304124</v>
      </c>
      <c r="L170" s="10">
        <f t="shared" si="19"/>
        <v>119798.79359999999</v>
      </c>
      <c r="M170" s="14">
        <f t="shared" si="24"/>
        <v>184325.20640000002</v>
      </c>
      <c r="N170" s="2">
        <f t="shared" si="20"/>
        <v>-123404.00181557177</v>
      </c>
      <c r="O170" s="135">
        <f t="shared" si="25"/>
        <v>-1175253.2451817978</v>
      </c>
      <c r="P170" s="34">
        <f>O170/'D) Ecrêtage'!C170</f>
        <v>-9.8102260453964867</v>
      </c>
    </row>
    <row r="171" spans="1:16" x14ac:dyDescent="0.25">
      <c r="A171" s="50">
        <f>+'A) Base RI'!A173</f>
        <v>5680</v>
      </c>
      <c r="B171" s="301" t="str">
        <f>+'A) Base RI'!B173</f>
        <v>Ogens</v>
      </c>
      <c r="C171" s="315">
        <f>+'D) Ecrêtage'!M171</f>
        <v>6445.3270940170942</v>
      </c>
      <c r="D171" s="292">
        <v>21657</v>
      </c>
      <c r="E171" s="315">
        <v>12535</v>
      </c>
      <c r="F171" s="292">
        <v>27868</v>
      </c>
      <c r="G171" s="315">
        <f t="shared" si="21"/>
        <v>62060</v>
      </c>
      <c r="H171" s="292">
        <f t="shared" si="22"/>
        <v>51562.616752136753</v>
      </c>
      <c r="I171" s="10">
        <f t="shared" si="23"/>
        <v>10497.383247863247</v>
      </c>
      <c r="J171" s="312">
        <f t="shared" si="18"/>
        <v>-7027.8999095050985</v>
      </c>
      <c r="K171" s="14">
        <v>16975</v>
      </c>
      <c r="L171" s="10">
        <f t="shared" si="19"/>
        <v>6445.3270940170942</v>
      </c>
      <c r="M171" s="14">
        <f t="shared" si="24"/>
        <v>10529.672905982905</v>
      </c>
      <c r="N171" s="2">
        <f t="shared" si="20"/>
        <v>-7049.5175336328339</v>
      </c>
      <c r="O171" s="135">
        <f t="shared" si="25"/>
        <v>-14077.417443137932</v>
      </c>
      <c r="P171" s="34">
        <f>O171/'D) Ecrêtage'!C171</f>
        <v>-2.1841277002381094</v>
      </c>
    </row>
    <row r="172" spans="1:16" x14ac:dyDescent="0.25">
      <c r="A172" s="50">
        <f>+'A) Base RI'!A174</f>
        <v>5683</v>
      </c>
      <c r="B172" s="301" t="str">
        <f>+'A) Base RI'!B174</f>
        <v>Prévonloup</v>
      </c>
      <c r="C172" s="315">
        <f>+'D) Ecrêtage'!M172</f>
        <v>3724.6422972972978</v>
      </c>
      <c r="D172" s="292">
        <v>36225</v>
      </c>
      <c r="E172" s="315">
        <v>5329</v>
      </c>
      <c r="F172" s="292">
        <v>9952</v>
      </c>
      <c r="G172" s="315">
        <f t="shared" si="21"/>
        <v>51506</v>
      </c>
      <c r="H172" s="292">
        <f t="shared" si="22"/>
        <v>29797.138378378382</v>
      </c>
      <c r="I172" s="10">
        <f t="shared" si="23"/>
        <v>21708.861621621618</v>
      </c>
      <c r="J172" s="312">
        <f t="shared" si="18"/>
        <v>-14533.879827347313</v>
      </c>
      <c r="K172" s="14">
        <v>-1686</v>
      </c>
      <c r="L172" s="10">
        <f t="shared" si="19"/>
        <v>3724.6422972972978</v>
      </c>
      <c r="M172" s="14">
        <f t="shared" si="24"/>
        <v>0</v>
      </c>
      <c r="N172" s="2">
        <f t="shared" si="20"/>
        <v>0</v>
      </c>
      <c r="O172" s="135">
        <f t="shared" si="25"/>
        <v>-14533.879827347313</v>
      </c>
      <c r="P172" s="34">
        <f>O172/'D) Ecrêtage'!C172</f>
        <v>-3.9020874133050287</v>
      </c>
    </row>
    <row r="173" spans="1:16" x14ac:dyDescent="0.25">
      <c r="A173" s="50">
        <f>+'A) Base RI'!A175</f>
        <v>5684</v>
      </c>
      <c r="B173" s="301" t="str">
        <f>+'A) Base RI'!B175</f>
        <v>Rossenges</v>
      </c>
      <c r="C173" s="315">
        <f>+'D) Ecrêtage'!M173</f>
        <v>1951.4436666666666</v>
      </c>
      <c r="D173" s="292">
        <v>1868</v>
      </c>
      <c r="E173" s="315">
        <v>2098</v>
      </c>
      <c r="F173" s="292">
        <v>3357</v>
      </c>
      <c r="G173" s="315">
        <f t="shared" si="21"/>
        <v>7323</v>
      </c>
      <c r="H173" s="292">
        <f t="shared" si="22"/>
        <v>15611.549333333332</v>
      </c>
      <c r="I173" s="10">
        <f t="shared" si="23"/>
        <v>0</v>
      </c>
      <c r="J173" s="312">
        <f t="shared" si="18"/>
        <v>0</v>
      </c>
      <c r="K173" s="14">
        <v>241</v>
      </c>
      <c r="L173" s="10">
        <f t="shared" si="19"/>
        <v>1951.4436666666666</v>
      </c>
      <c r="M173" s="14">
        <f t="shared" si="24"/>
        <v>0</v>
      </c>
      <c r="N173" s="2">
        <f t="shared" si="20"/>
        <v>0</v>
      </c>
      <c r="O173" s="135">
        <f t="shared" si="25"/>
        <v>0</v>
      </c>
      <c r="P173" s="34">
        <f>O173/'D) Ecrêtage'!C173</f>
        <v>0</v>
      </c>
    </row>
    <row r="174" spans="1:16" x14ac:dyDescent="0.25">
      <c r="A174" s="50">
        <f>+'A) Base RI'!A176</f>
        <v>5688</v>
      </c>
      <c r="B174" s="301" t="str">
        <f>+'A) Base RI'!B176</f>
        <v>Syens</v>
      </c>
      <c r="C174" s="315">
        <f>+'D) Ecrêtage'!M174</f>
        <v>3966.9414021164025</v>
      </c>
      <c r="D174" s="292">
        <v>49770</v>
      </c>
      <c r="E174" s="315">
        <v>7493</v>
      </c>
      <c r="F174" s="292">
        <v>21820</v>
      </c>
      <c r="G174" s="315">
        <f t="shared" si="21"/>
        <v>79083</v>
      </c>
      <c r="H174" s="292">
        <f t="shared" si="22"/>
        <v>31735.53121693122</v>
      </c>
      <c r="I174" s="10">
        <f t="shared" si="23"/>
        <v>47347.468783068776</v>
      </c>
      <c r="J174" s="312">
        <f t="shared" si="18"/>
        <v>-31698.687541350537</v>
      </c>
      <c r="K174" s="14">
        <v>2612</v>
      </c>
      <c r="L174" s="10">
        <f t="shared" si="19"/>
        <v>3966.9414021164025</v>
      </c>
      <c r="M174" s="14">
        <f t="shared" si="24"/>
        <v>0</v>
      </c>
      <c r="N174" s="2">
        <f t="shared" si="20"/>
        <v>0</v>
      </c>
      <c r="O174" s="135">
        <f t="shared" si="25"/>
        <v>-31698.687541350537</v>
      </c>
      <c r="P174" s="34">
        <f>O174/'D) Ecrêtage'!C174</f>
        <v>-7.9907123216992755</v>
      </c>
    </row>
    <row r="175" spans="1:16" x14ac:dyDescent="0.25">
      <c r="A175" s="50">
        <f>+'A) Base RI'!A177</f>
        <v>5690</v>
      </c>
      <c r="B175" s="301" t="str">
        <f>+'A) Base RI'!B177</f>
        <v>Villars-le-Comte</v>
      </c>
      <c r="C175" s="315">
        <f>+'D) Ecrêtage'!M175</f>
        <v>4059.4070238095242</v>
      </c>
      <c r="D175" s="292">
        <v>11936</v>
      </c>
      <c r="E175" s="315">
        <v>4729</v>
      </c>
      <c r="F175" s="292">
        <v>7443</v>
      </c>
      <c r="G175" s="315">
        <f t="shared" si="21"/>
        <v>24108</v>
      </c>
      <c r="H175" s="292">
        <f t="shared" si="22"/>
        <v>32475.256190476193</v>
      </c>
      <c r="I175" s="10">
        <f t="shared" si="23"/>
        <v>0</v>
      </c>
      <c r="J175" s="312">
        <f t="shared" si="18"/>
        <v>0</v>
      </c>
      <c r="K175" s="14">
        <v>-257</v>
      </c>
      <c r="L175" s="10">
        <f t="shared" si="19"/>
        <v>4059.4070238095242</v>
      </c>
      <c r="M175" s="14">
        <f t="shared" si="24"/>
        <v>0</v>
      </c>
      <c r="N175" s="2">
        <f t="shared" si="20"/>
        <v>0</v>
      </c>
      <c r="O175" s="135">
        <f t="shared" si="25"/>
        <v>0</v>
      </c>
      <c r="P175" s="34">
        <f>O175/'D) Ecrêtage'!C175</f>
        <v>0</v>
      </c>
    </row>
    <row r="176" spans="1:16" x14ac:dyDescent="0.25">
      <c r="A176" s="50">
        <f>+'A) Base RI'!A178</f>
        <v>5692</v>
      </c>
      <c r="B176" s="301" t="str">
        <f>+'A) Base RI'!B178</f>
        <v>Vucherens</v>
      </c>
      <c r="C176" s="315">
        <f>+'D) Ecrêtage'!M176</f>
        <v>16205.612531645571</v>
      </c>
      <c r="D176" s="292">
        <v>127833</v>
      </c>
      <c r="E176" s="315">
        <v>29124</v>
      </c>
      <c r="F176" s="292">
        <v>77141</v>
      </c>
      <c r="G176" s="315">
        <f t="shared" si="21"/>
        <v>234098</v>
      </c>
      <c r="H176" s="292">
        <f t="shared" si="22"/>
        <v>129644.90025316457</v>
      </c>
      <c r="I176" s="10">
        <f t="shared" si="23"/>
        <v>104453.09974683543</v>
      </c>
      <c r="J176" s="312">
        <f t="shared" si="18"/>
        <v>-69930.373401174598</v>
      </c>
      <c r="K176" s="14">
        <v>18434</v>
      </c>
      <c r="L176" s="10">
        <f t="shared" si="19"/>
        <v>16205.612531645571</v>
      </c>
      <c r="M176" s="14">
        <f>IF(K176&gt;L176,K176-L176,0)</f>
        <v>2228.3874683544291</v>
      </c>
      <c r="N176" s="2">
        <f t="shared" si="20"/>
        <v>-1491.8845694595534</v>
      </c>
      <c r="O176" s="135">
        <f>N176+J176</f>
        <v>-71422.257970634149</v>
      </c>
      <c r="P176" s="34">
        <f>O176/'D) Ecrêtage'!C176</f>
        <v>-4.4072544515774439</v>
      </c>
    </row>
    <row r="177" spans="1:16" x14ac:dyDescent="0.25">
      <c r="A177" s="50">
        <f>+'A) Base RI'!A179</f>
        <v>5693</v>
      </c>
      <c r="B177" s="301" t="str">
        <f>+'A) Base RI'!B179</f>
        <v>Montanaire</v>
      </c>
      <c r="C177" s="315">
        <f>+'D) Ecrêtage'!M177</f>
        <v>69929.896527777775</v>
      </c>
      <c r="D177" s="292">
        <v>915633</v>
      </c>
      <c r="E177" s="315">
        <v>130183</v>
      </c>
      <c r="F177" s="292">
        <v>238892</v>
      </c>
      <c r="G177" s="315">
        <f t="shared" si="21"/>
        <v>1284708</v>
      </c>
      <c r="H177" s="292">
        <f t="shared" si="22"/>
        <v>559439.1722222222</v>
      </c>
      <c r="I177" s="10">
        <f t="shared" si="23"/>
        <v>725268.8277777778</v>
      </c>
      <c r="J177" s="312">
        <f t="shared" si="18"/>
        <v>-485560.69724746275</v>
      </c>
      <c r="K177" s="14">
        <v>186710</v>
      </c>
      <c r="L177" s="10">
        <f t="shared" si="19"/>
        <v>69929.896527777775</v>
      </c>
      <c r="M177" s="14">
        <f t="shared" si="24"/>
        <v>116780.10347222222</v>
      </c>
      <c r="N177" s="2">
        <f t="shared" si="20"/>
        <v>-78183.187109176448</v>
      </c>
      <c r="O177" s="135">
        <f t="shared" si="25"/>
        <v>-563743.88435663923</v>
      </c>
      <c r="P177" s="34">
        <f>O177/'D) Ecrêtage'!C177</f>
        <v>-8.0615575361634786</v>
      </c>
    </row>
    <row r="178" spans="1:16" x14ac:dyDescent="0.25">
      <c r="A178" s="50">
        <f>+'A) Base RI'!A180</f>
        <v>5701</v>
      </c>
      <c r="B178" s="301" t="str">
        <f>+'A) Base RI'!B180</f>
        <v>Arnex-sur-Nyon</v>
      </c>
      <c r="C178" s="315">
        <f>+'D) Ecrêtage'!M178</f>
        <v>13420.011118625067</v>
      </c>
      <c r="D178" s="292">
        <v>6694</v>
      </c>
      <c r="E178" s="315">
        <v>9064</v>
      </c>
      <c r="F178" s="292">
        <v>43701</v>
      </c>
      <c r="G178" s="315">
        <f t="shared" si="21"/>
        <v>59459</v>
      </c>
      <c r="H178" s="292">
        <f t="shared" si="22"/>
        <v>107360.08894900054</v>
      </c>
      <c r="I178" s="10">
        <f t="shared" si="23"/>
        <v>0</v>
      </c>
      <c r="J178" s="312">
        <f t="shared" si="18"/>
        <v>0</v>
      </c>
      <c r="K178" s="14">
        <v>1995</v>
      </c>
      <c r="L178" s="10">
        <f t="shared" si="19"/>
        <v>13420.011118625067</v>
      </c>
      <c r="M178" s="14">
        <f t="shared" si="24"/>
        <v>0</v>
      </c>
      <c r="N178" s="2">
        <f t="shared" si="20"/>
        <v>0</v>
      </c>
      <c r="O178" s="135">
        <f t="shared" si="25"/>
        <v>0</v>
      </c>
      <c r="P178" s="34">
        <f>O178/'D) Ecrêtage'!C178</f>
        <v>0</v>
      </c>
    </row>
    <row r="179" spans="1:16" x14ac:dyDescent="0.25">
      <c r="A179" s="50">
        <f>+'A) Base RI'!A181</f>
        <v>5702</v>
      </c>
      <c r="B179" s="301" t="str">
        <f>+'A) Base RI'!B181</f>
        <v>Arzier-Le Muids</v>
      </c>
      <c r="C179" s="315">
        <f>+'D) Ecrêtage'!M179</f>
        <v>171329.69511301353</v>
      </c>
      <c r="D179" s="292">
        <v>552340</v>
      </c>
      <c r="E179" s="315">
        <v>181776</v>
      </c>
      <c r="F179" s="292">
        <v>131169</v>
      </c>
      <c r="G179" s="315">
        <f t="shared" si="21"/>
        <v>865285</v>
      </c>
      <c r="H179" s="292">
        <f t="shared" si="22"/>
        <v>1370637.5609041082</v>
      </c>
      <c r="I179" s="10">
        <f t="shared" si="23"/>
        <v>0</v>
      </c>
      <c r="J179" s="312">
        <f t="shared" si="18"/>
        <v>0</v>
      </c>
      <c r="K179" s="14">
        <v>545942</v>
      </c>
      <c r="L179" s="10">
        <f t="shared" si="19"/>
        <v>171329.69511301353</v>
      </c>
      <c r="M179" s="14">
        <f t="shared" si="24"/>
        <v>374612.3048869865</v>
      </c>
      <c r="N179" s="2">
        <f t="shared" si="20"/>
        <v>-250799.43462582878</v>
      </c>
      <c r="O179" s="135">
        <f t="shared" si="25"/>
        <v>-250799.43462582878</v>
      </c>
      <c r="P179" s="34">
        <f>O179/'D) Ecrêtage'!C179</f>
        <v>-1.4244127084633589</v>
      </c>
    </row>
    <row r="180" spans="1:16" x14ac:dyDescent="0.25">
      <c r="A180" s="50">
        <f>+'A) Base RI'!A182</f>
        <v>5703</v>
      </c>
      <c r="B180" s="301" t="str">
        <f>+'A) Base RI'!B182</f>
        <v>Bassins</v>
      </c>
      <c r="C180" s="315">
        <f>+'D) Ecrêtage'!M180</f>
        <v>55245.232548262546</v>
      </c>
      <c r="D180" s="292">
        <v>182916</v>
      </c>
      <c r="E180" s="315">
        <v>54872</v>
      </c>
      <c r="F180" s="292">
        <v>136874</v>
      </c>
      <c r="G180" s="315">
        <f t="shared" si="21"/>
        <v>374662</v>
      </c>
      <c r="H180" s="292">
        <f t="shared" si="22"/>
        <v>441961.86038610036</v>
      </c>
      <c r="I180" s="10">
        <f t="shared" si="23"/>
        <v>0</v>
      </c>
      <c r="J180" s="312">
        <f t="shared" si="18"/>
        <v>0</v>
      </c>
      <c r="K180" s="14">
        <v>335620</v>
      </c>
      <c r="L180" s="10">
        <f t="shared" si="19"/>
        <v>55245.232548262546</v>
      </c>
      <c r="M180" s="14">
        <f t="shared" si="24"/>
        <v>280374.76745173743</v>
      </c>
      <c r="N180" s="2">
        <f t="shared" si="20"/>
        <v>-187708.28465300289</v>
      </c>
      <c r="O180" s="135">
        <f t="shared" si="25"/>
        <v>-187708.28465300289</v>
      </c>
      <c r="P180" s="34">
        <f>O180/'D) Ecrêtage'!C180</f>
        <v>-3.397728201958782</v>
      </c>
    </row>
    <row r="181" spans="1:16" x14ac:dyDescent="0.25">
      <c r="A181" s="50">
        <f>+'A) Base RI'!A183</f>
        <v>5704</v>
      </c>
      <c r="B181" s="301" t="str">
        <f>+'A) Base RI'!B183</f>
        <v>Begnins</v>
      </c>
      <c r="C181" s="315">
        <f>+'D) Ecrêtage'!M181</f>
        <v>121073.1454283051</v>
      </c>
      <c r="D181" s="292">
        <v>520025</v>
      </c>
      <c r="E181" s="315">
        <v>77760</v>
      </c>
      <c r="F181" s="292">
        <v>186994</v>
      </c>
      <c r="G181" s="315">
        <f t="shared" si="21"/>
        <v>784779</v>
      </c>
      <c r="H181" s="292">
        <f t="shared" si="22"/>
        <v>968585.16342644079</v>
      </c>
      <c r="I181" s="10">
        <f t="shared" si="23"/>
        <v>0</v>
      </c>
      <c r="J181" s="312">
        <f t="shared" si="18"/>
        <v>0</v>
      </c>
      <c r="K181" s="14">
        <v>38410</v>
      </c>
      <c r="L181" s="10">
        <f t="shared" si="19"/>
        <v>121073.1454283051</v>
      </c>
      <c r="M181" s="14">
        <f t="shared" si="24"/>
        <v>0</v>
      </c>
      <c r="N181" s="2">
        <f t="shared" si="20"/>
        <v>0</v>
      </c>
      <c r="O181" s="135">
        <f t="shared" si="25"/>
        <v>0</v>
      </c>
      <c r="P181" s="34">
        <f>O181/'D) Ecrêtage'!C181</f>
        <v>0</v>
      </c>
    </row>
    <row r="182" spans="1:16" x14ac:dyDescent="0.25">
      <c r="A182" s="50">
        <f>+'A) Base RI'!A184</f>
        <v>5705</v>
      </c>
      <c r="B182" s="301" t="str">
        <f>+'A) Base RI'!B184</f>
        <v>Bogis-Bossey</v>
      </c>
      <c r="C182" s="315">
        <f>+'D) Ecrêtage'!M182</f>
        <v>49175.830567814912</v>
      </c>
      <c r="D182" s="292">
        <v>-149765</v>
      </c>
      <c r="E182" s="315">
        <v>43335</v>
      </c>
      <c r="F182" s="292">
        <v>55352</v>
      </c>
      <c r="G182" s="315">
        <f t="shared" si="21"/>
        <v>-51078</v>
      </c>
      <c r="H182" s="292">
        <f t="shared" si="22"/>
        <v>393406.64454251929</v>
      </c>
      <c r="I182" s="10">
        <f t="shared" si="23"/>
        <v>0</v>
      </c>
      <c r="J182" s="312">
        <f t="shared" si="18"/>
        <v>0</v>
      </c>
      <c r="K182" s="14">
        <v>-43425</v>
      </c>
      <c r="L182" s="10">
        <f t="shared" si="19"/>
        <v>49175.830567814912</v>
      </c>
      <c r="M182" s="14">
        <f t="shared" si="24"/>
        <v>0</v>
      </c>
      <c r="N182" s="2">
        <f t="shared" si="20"/>
        <v>0</v>
      </c>
      <c r="O182" s="135">
        <f t="shared" si="25"/>
        <v>0</v>
      </c>
      <c r="P182" s="34">
        <f>O182/'D) Ecrêtage'!C182</f>
        <v>0</v>
      </c>
    </row>
    <row r="183" spans="1:16" x14ac:dyDescent="0.25">
      <c r="A183" s="50">
        <f>+'A) Base RI'!A185</f>
        <v>5706</v>
      </c>
      <c r="B183" s="301" t="str">
        <f>+'A) Base RI'!B185</f>
        <v>Borex</v>
      </c>
      <c r="C183" s="315">
        <f>+'D) Ecrêtage'!M183</f>
        <v>69585.555817171087</v>
      </c>
      <c r="D183" s="292">
        <v>243425</v>
      </c>
      <c r="E183" s="315">
        <v>45564</v>
      </c>
      <c r="F183" s="292">
        <v>207541</v>
      </c>
      <c r="G183" s="315">
        <f t="shared" si="21"/>
        <v>496530</v>
      </c>
      <c r="H183" s="292">
        <f t="shared" si="22"/>
        <v>556684.4465373687</v>
      </c>
      <c r="I183" s="10">
        <f t="shared" si="23"/>
        <v>0</v>
      </c>
      <c r="J183" s="312">
        <f t="shared" si="18"/>
        <v>0</v>
      </c>
      <c r="K183" s="14">
        <v>1995</v>
      </c>
      <c r="L183" s="10">
        <f t="shared" si="19"/>
        <v>69585.555817171087</v>
      </c>
      <c r="M183" s="14">
        <f t="shared" si="24"/>
        <v>0</v>
      </c>
      <c r="N183" s="2">
        <f t="shared" si="20"/>
        <v>0</v>
      </c>
      <c r="O183" s="135">
        <f t="shared" si="25"/>
        <v>0</v>
      </c>
      <c r="P183" s="34">
        <f>O183/'D) Ecrêtage'!C183</f>
        <v>0</v>
      </c>
    </row>
    <row r="184" spans="1:16" x14ac:dyDescent="0.25">
      <c r="A184" s="50">
        <f>+'A) Base RI'!A186</f>
        <v>5707</v>
      </c>
      <c r="B184" s="301" t="str">
        <f>+'A) Base RI'!B186</f>
        <v>Chavannes-de-Bogis</v>
      </c>
      <c r="C184" s="315">
        <f>+'D) Ecrêtage'!M184</f>
        <v>76518.260728975889</v>
      </c>
      <c r="D184" s="292">
        <v>298315</v>
      </c>
      <c r="E184" s="315">
        <v>62485</v>
      </c>
      <c r="F184" s="292">
        <v>79602</v>
      </c>
      <c r="G184" s="315">
        <f t="shared" si="21"/>
        <v>440402</v>
      </c>
      <c r="H184" s="292">
        <f t="shared" si="22"/>
        <v>612146.08583180711</v>
      </c>
      <c r="I184" s="10">
        <f t="shared" si="23"/>
        <v>0</v>
      </c>
      <c r="J184" s="312">
        <f t="shared" si="18"/>
        <v>0</v>
      </c>
      <c r="K184" s="14">
        <v>-4676</v>
      </c>
      <c r="L184" s="10">
        <f t="shared" si="19"/>
        <v>76518.260728975889</v>
      </c>
      <c r="M184" s="14">
        <f t="shared" si="24"/>
        <v>0</v>
      </c>
      <c r="N184" s="2">
        <f t="shared" si="20"/>
        <v>0</v>
      </c>
      <c r="O184" s="135">
        <f t="shared" si="25"/>
        <v>0</v>
      </c>
      <c r="P184" s="34">
        <f>O184/'D) Ecrêtage'!C184</f>
        <v>0</v>
      </c>
    </row>
    <row r="185" spans="1:16" x14ac:dyDescent="0.25">
      <c r="A185" s="50">
        <f>+'A) Base RI'!A187</f>
        <v>5708</v>
      </c>
      <c r="B185" s="301" t="str">
        <f>+'A) Base RI'!B187</f>
        <v>Chavannes-des-Bois</v>
      </c>
      <c r="C185" s="315">
        <f>+'D) Ecrêtage'!M185</f>
        <v>56406.479638173878</v>
      </c>
      <c r="D185" s="292">
        <v>188899</v>
      </c>
      <c r="E185" s="315">
        <v>154184</v>
      </c>
      <c r="F185" s="292">
        <v>73637</v>
      </c>
      <c r="G185" s="315">
        <f t="shared" si="21"/>
        <v>416720</v>
      </c>
      <c r="H185" s="292">
        <f t="shared" si="22"/>
        <v>451251.83710539102</v>
      </c>
      <c r="I185" s="10">
        <f t="shared" si="23"/>
        <v>0</v>
      </c>
      <c r="J185" s="312">
        <f t="shared" si="18"/>
        <v>0</v>
      </c>
      <c r="K185" s="14">
        <v>0</v>
      </c>
      <c r="L185" s="10">
        <f t="shared" si="19"/>
        <v>56406.479638173878</v>
      </c>
      <c r="M185" s="14">
        <f t="shared" si="24"/>
        <v>0</v>
      </c>
      <c r="N185" s="2">
        <f t="shared" si="20"/>
        <v>0</v>
      </c>
      <c r="O185" s="135">
        <f t="shared" si="25"/>
        <v>0</v>
      </c>
      <c r="P185" s="34">
        <f>O185/'D) Ecrêtage'!C185</f>
        <v>0</v>
      </c>
    </row>
    <row r="186" spans="1:16" x14ac:dyDescent="0.25">
      <c r="A186" s="50">
        <f>+'A) Base RI'!A188</f>
        <v>5709</v>
      </c>
      <c r="B186" s="301" t="str">
        <f>+'A) Base RI'!B188</f>
        <v>Chéserex</v>
      </c>
      <c r="C186" s="315">
        <f>+'D) Ecrêtage'!M186</f>
        <v>100234.2316147745</v>
      </c>
      <c r="D186" s="292">
        <v>329494</v>
      </c>
      <c r="E186" s="315">
        <v>49328</v>
      </c>
      <c r="F186" s="292">
        <v>200391</v>
      </c>
      <c r="G186" s="315">
        <f t="shared" si="21"/>
        <v>579213</v>
      </c>
      <c r="H186" s="292">
        <f t="shared" si="22"/>
        <v>801873.852918196</v>
      </c>
      <c r="I186" s="10">
        <f t="shared" si="23"/>
        <v>0</v>
      </c>
      <c r="J186" s="312">
        <f t="shared" si="18"/>
        <v>0</v>
      </c>
      <c r="K186" s="14">
        <v>63014</v>
      </c>
      <c r="L186" s="10">
        <f t="shared" si="19"/>
        <v>100234.2316147745</v>
      </c>
      <c r="M186" s="14">
        <f t="shared" si="24"/>
        <v>0</v>
      </c>
      <c r="N186" s="2">
        <f t="shared" si="20"/>
        <v>0</v>
      </c>
      <c r="O186" s="135">
        <f t="shared" si="25"/>
        <v>0</v>
      </c>
      <c r="P186" s="34">
        <f>O186/'D) Ecrêtage'!C186</f>
        <v>0</v>
      </c>
    </row>
    <row r="187" spans="1:16" x14ac:dyDescent="0.25">
      <c r="A187" s="50">
        <f>+'A) Base RI'!A189</f>
        <v>5710</v>
      </c>
      <c r="B187" s="301" t="str">
        <f>+'A) Base RI'!B189</f>
        <v>Coinsins</v>
      </c>
      <c r="C187" s="315">
        <f>+'D) Ecrêtage'!M187</f>
        <v>95888.763306448789</v>
      </c>
      <c r="D187" s="292">
        <v>86872</v>
      </c>
      <c r="E187" s="315">
        <v>19585</v>
      </c>
      <c r="F187" s="292">
        <v>48831</v>
      </c>
      <c r="G187" s="315">
        <f t="shared" si="21"/>
        <v>155288</v>
      </c>
      <c r="H187" s="292">
        <f t="shared" si="22"/>
        <v>767110.10645159031</v>
      </c>
      <c r="I187" s="10">
        <f t="shared" si="23"/>
        <v>0</v>
      </c>
      <c r="J187" s="312">
        <f t="shared" si="18"/>
        <v>0</v>
      </c>
      <c r="K187" s="14">
        <v>4202</v>
      </c>
      <c r="L187" s="10">
        <f t="shared" si="19"/>
        <v>95888.763306448789</v>
      </c>
      <c r="M187" s="14">
        <f t="shared" si="24"/>
        <v>0</v>
      </c>
      <c r="N187" s="2">
        <f t="shared" si="20"/>
        <v>0</v>
      </c>
      <c r="O187" s="135">
        <f t="shared" si="25"/>
        <v>0</v>
      </c>
      <c r="P187" s="34">
        <f>O187/'D) Ecrêtage'!C187</f>
        <v>0</v>
      </c>
    </row>
    <row r="188" spans="1:16" x14ac:dyDescent="0.25">
      <c r="A188" s="50">
        <f>+'A) Base RI'!A190</f>
        <v>5711</v>
      </c>
      <c r="B188" s="301" t="str">
        <f>+'A) Base RI'!B190</f>
        <v>Commugny</v>
      </c>
      <c r="C188" s="315">
        <f>+'D) Ecrêtage'!M188</f>
        <v>252295.00727124591</v>
      </c>
      <c r="D188" s="292">
        <v>495704</v>
      </c>
      <c r="E188" s="315">
        <v>158637</v>
      </c>
      <c r="F188" s="292">
        <v>145616</v>
      </c>
      <c r="G188" s="315">
        <f t="shared" si="21"/>
        <v>799957</v>
      </c>
      <c r="H188" s="292">
        <f t="shared" si="22"/>
        <v>2018360.0581699673</v>
      </c>
      <c r="I188" s="10">
        <f t="shared" si="23"/>
        <v>0</v>
      </c>
      <c r="J188" s="312">
        <f t="shared" si="18"/>
        <v>0</v>
      </c>
      <c r="K188" s="14">
        <v>5489</v>
      </c>
      <c r="L188" s="10">
        <f t="shared" si="19"/>
        <v>252295.00727124591</v>
      </c>
      <c r="M188" s="14">
        <f t="shared" si="24"/>
        <v>0</v>
      </c>
      <c r="N188" s="2">
        <f t="shared" si="20"/>
        <v>0</v>
      </c>
      <c r="O188" s="135">
        <f t="shared" si="25"/>
        <v>0</v>
      </c>
      <c r="P188" s="34">
        <f>O188/'D) Ecrêtage'!C188</f>
        <v>0</v>
      </c>
    </row>
    <row r="189" spans="1:16" x14ac:dyDescent="0.25">
      <c r="A189" s="50">
        <f>+'A) Base RI'!A191</f>
        <v>5712</v>
      </c>
      <c r="B189" s="301" t="str">
        <f>+'A) Base RI'!B191</f>
        <v>Coppet</v>
      </c>
      <c r="C189" s="315">
        <f>+'D) Ecrêtage'!M189</f>
        <v>301281.02540606516</v>
      </c>
      <c r="D189" s="292">
        <v>616414</v>
      </c>
      <c r="E189" s="315">
        <v>263165</v>
      </c>
      <c r="F189" s="292">
        <v>193517</v>
      </c>
      <c r="G189" s="315">
        <f t="shared" si="21"/>
        <v>1073096</v>
      </c>
      <c r="H189" s="292">
        <f t="shared" si="22"/>
        <v>2410248.2032485213</v>
      </c>
      <c r="I189" s="10">
        <f t="shared" si="23"/>
        <v>0</v>
      </c>
      <c r="J189" s="312">
        <f t="shared" si="18"/>
        <v>0</v>
      </c>
      <c r="K189" s="14">
        <v>0</v>
      </c>
      <c r="L189" s="10">
        <f t="shared" si="19"/>
        <v>301281.02540606516</v>
      </c>
      <c r="M189" s="14">
        <f t="shared" si="24"/>
        <v>0</v>
      </c>
      <c r="N189" s="2">
        <f t="shared" si="20"/>
        <v>0</v>
      </c>
      <c r="O189" s="135">
        <f t="shared" si="25"/>
        <v>0</v>
      </c>
      <c r="P189" s="34">
        <f>O189/'D) Ecrêtage'!C189</f>
        <v>0</v>
      </c>
    </row>
    <row r="190" spans="1:16" x14ac:dyDescent="0.25">
      <c r="A190" s="50">
        <f>+'A) Base RI'!A192</f>
        <v>5713</v>
      </c>
      <c r="B190" s="301" t="str">
        <f>+'A) Base RI'!B192</f>
        <v>Crans-près-Céligny</v>
      </c>
      <c r="C190" s="315">
        <f>+'D) Ecrêtage'!M190</f>
        <v>236338.83782444469</v>
      </c>
      <c r="D190" s="292">
        <v>394151</v>
      </c>
      <c r="E190" s="315">
        <v>93507</v>
      </c>
      <c r="F190" s="292">
        <v>140115</v>
      </c>
      <c r="G190" s="315">
        <f t="shared" si="21"/>
        <v>627773</v>
      </c>
      <c r="H190" s="292">
        <f t="shared" si="22"/>
        <v>1890710.7025955576</v>
      </c>
      <c r="I190" s="10">
        <f t="shared" si="23"/>
        <v>0</v>
      </c>
      <c r="J190" s="312">
        <f t="shared" si="18"/>
        <v>0</v>
      </c>
      <c r="K190" s="14">
        <v>20768</v>
      </c>
      <c r="L190" s="10">
        <f t="shared" si="19"/>
        <v>236338.83782444469</v>
      </c>
      <c r="M190" s="14">
        <f t="shared" si="24"/>
        <v>0</v>
      </c>
      <c r="N190" s="2">
        <f t="shared" si="20"/>
        <v>0</v>
      </c>
      <c r="O190" s="135">
        <f t="shared" si="25"/>
        <v>0</v>
      </c>
      <c r="P190" s="34">
        <f>O190/'D) Ecrêtage'!C190</f>
        <v>0</v>
      </c>
    </row>
    <row r="191" spans="1:16" x14ac:dyDescent="0.25">
      <c r="A191" s="50">
        <f>+'A) Base RI'!A193</f>
        <v>5714</v>
      </c>
      <c r="B191" s="301" t="str">
        <f>+'A) Base RI'!B193</f>
        <v>Crassier</v>
      </c>
      <c r="C191" s="315">
        <f>+'D) Ecrêtage'!M191</f>
        <v>74882.292060089618</v>
      </c>
      <c r="D191" s="292">
        <v>149963</v>
      </c>
      <c r="E191" s="315">
        <v>46982</v>
      </c>
      <c r="F191" s="292">
        <v>225567</v>
      </c>
      <c r="G191" s="315">
        <f t="shared" si="21"/>
        <v>422512</v>
      </c>
      <c r="H191" s="292">
        <f t="shared" si="22"/>
        <v>599058.33648071694</v>
      </c>
      <c r="I191" s="10">
        <f t="shared" si="23"/>
        <v>0</v>
      </c>
      <c r="J191" s="312">
        <f t="shared" si="18"/>
        <v>0</v>
      </c>
      <c r="K191" s="14">
        <v>9679</v>
      </c>
      <c r="L191" s="10">
        <f t="shared" si="19"/>
        <v>74882.292060089618</v>
      </c>
      <c r="M191" s="14">
        <f t="shared" si="24"/>
        <v>0</v>
      </c>
      <c r="N191" s="2">
        <f t="shared" si="20"/>
        <v>0</v>
      </c>
      <c r="O191" s="135">
        <f t="shared" si="25"/>
        <v>0</v>
      </c>
      <c r="P191" s="34">
        <f>O191/'D) Ecrêtage'!C191</f>
        <v>0</v>
      </c>
    </row>
    <row r="192" spans="1:16" x14ac:dyDescent="0.25">
      <c r="A192" s="50">
        <f>+'A) Base RI'!A194</f>
        <v>5715</v>
      </c>
      <c r="B192" s="301" t="str">
        <f>+'A) Base RI'!B194</f>
        <v>Duillier</v>
      </c>
      <c r="C192" s="315">
        <f>+'D) Ecrêtage'!M192</f>
        <v>74237.315453120289</v>
      </c>
      <c r="D192" s="292">
        <v>125403</v>
      </c>
      <c r="E192" s="315">
        <v>43622</v>
      </c>
      <c r="F192" s="292">
        <v>103688</v>
      </c>
      <c r="G192" s="315">
        <f t="shared" si="21"/>
        <v>272713</v>
      </c>
      <c r="H192" s="292">
        <f t="shared" si="22"/>
        <v>593898.52362496231</v>
      </c>
      <c r="I192" s="10">
        <f t="shared" si="23"/>
        <v>0</v>
      </c>
      <c r="J192" s="312">
        <f t="shared" ref="J192:J253" si="31">-I192*J$4</f>
        <v>0</v>
      </c>
      <c r="K192" s="14">
        <v>1435</v>
      </c>
      <c r="L192" s="10">
        <f t="shared" ref="L192:L253" si="32">C192*M$4</f>
        <v>74237.315453120289</v>
      </c>
      <c r="M192" s="14">
        <f t="shared" si="24"/>
        <v>0</v>
      </c>
      <c r="N192" s="2">
        <f t="shared" ref="N192:N253" si="33">-M192*N$4</f>
        <v>0</v>
      </c>
      <c r="O192" s="135">
        <f t="shared" si="25"/>
        <v>0</v>
      </c>
      <c r="P192" s="34">
        <f>O192/'D) Ecrêtage'!C192</f>
        <v>0</v>
      </c>
    </row>
    <row r="193" spans="1:16" x14ac:dyDescent="0.25">
      <c r="A193" s="50">
        <f>+'A) Base RI'!A195</f>
        <v>5716</v>
      </c>
      <c r="B193" s="301" t="str">
        <f>+'A) Base RI'!B195</f>
        <v>Eysins</v>
      </c>
      <c r="C193" s="315">
        <f>+'D) Ecrêtage'!M193</f>
        <v>155930.77890890944</v>
      </c>
      <c r="D193" s="292">
        <v>193763</v>
      </c>
      <c r="E193" s="315">
        <v>64867</v>
      </c>
      <c r="F193" s="292">
        <v>317624</v>
      </c>
      <c r="G193" s="315">
        <f t="shared" si="21"/>
        <v>576254</v>
      </c>
      <c r="H193" s="292">
        <f t="shared" si="22"/>
        <v>1247446.2312712756</v>
      </c>
      <c r="I193" s="10">
        <f t="shared" si="23"/>
        <v>0</v>
      </c>
      <c r="J193" s="312">
        <f t="shared" si="31"/>
        <v>0</v>
      </c>
      <c r="K193" s="14">
        <v>3938</v>
      </c>
      <c r="L193" s="10">
        <f t="shared" si="32"/>
        <v>155930.77890890944</v>
      </c>
      <c r="M193" s="14">
        <f t="shared" si="24"/>
        <v>0</v>
      </c>
      <c r="N193" s="2">
        <f t="shared" si="33"/>
        <v>0</v>
      </c>
      <c r="O193" s="135">
        <f t="shared" si="25"/>
        <v>0</v>
      </c>
      <c r="P193" s="34">
        <f>O193/'D) Ecrêtage'!C193</f>
        <v>0</v>
      </c>
    </row>
    <row r="194" spans="1:16" x14ac:dyDescent="0.25">
      <c r="A194" s="50">
        <f>+'A) Base RI'!A196</f>
        <v>5717</v>
      </c>
      <c r="B194" s="301" t="str">
        <f>+'A) Base RI'!B196</f>
        <v>Founex</v>
      </c>
      <c r="C194" s="315">
        <f>+'D) Ecrêtage'!M194</f>
        <v>339272.20498613658</v>
      </c>
      <c r="D194" s="292">
        <v>1052126</v>
      </c>
      <c r="E194" s="315">
        <v>153284</v>
      </c>
      <c r="F194" s="292">
        <v>237197</v>
      </c>
      <c r="G194" s="315">
        <f t="shared" si="21"/>
        <v>1442607</v>
      </c>
      <c r="H194" s="292">
        <f t="shared" si="22"/>
        <v>2714177.6398890927</v>
      </c>
      <c r="I194" s="10">
        <f t="shared" si="23"/>
        <v>0</v>
      </c>
      <c r="J194" s="312">
        <f t="shared" si="31"/>
        <v>0</v>
      </c>
      <c r="K194" s="14">
        <v>11134</v>
      </c>
      <c r="L194" s="10">
        <f t="shared" si="32"/>
        <v>339272.20498613658</v>
      </c>
      <c r="M194" s="14">
        <f t="shared" si="24"/>
        <v>0</v>
      </c>
      <c r="N194" s="2">
        <f t="shared" si="33"/>
        <v>0</v>
      </c>
      <c r="O194" s="135">
        <f t="shared" si="25"/>
        <v>0</v>
      </c>
      <c r="P194" s="34">
        <f>O194/'D) Ecrêtage'!C194</f>
        <v>0</v>
      </c>
    </row>
    <row r="195" spans="1:16" s="260" customFormat="1" x14ac:dyDescent="0.25">
      <c r="A195" s="50">
        <f>+'A) Base RI'!A197</f>
        <v>5718</v>
      </c>
      <c r="B195" s="301" t="str">
        <f>+'A) Base RI'!B197</f>
        <v>Genolier</v>
      </c>
      <c r="C195" s="315">
        <f>+'D) Ecrêtage'!M195</f>
        <v>157719.14560453352</v>
      </c>
      <c r="D195" s="292">
        <v>431025</v>
      </c>
      <c r="E195" s="315">
        <v>136357</v>
      </c>
      <c r="F195" s="292">
        <v>138332</v>
      </c>
      <c r="G195" s="315">
        <f t="shared" si="21"/>
        <v>705714</v>
      </c>
      <c r="H195" s="292">
        <f t="shared" si="22"/>
        <v>1261753.1648362682</v>
      </c>
      <c r="I195" s="10">
        <f t="shared" si="23"/>
        <v>0</v>
      </c>
      <c r="J195" s="312">
        <f t="shared" si="31"/>
        <v>0</v>
      </c>
      <c r="K195" s="1">
        <v>94983</v>
      </c>
      <c r="L195" s="259">
        <f t="shared" si="32"/>
        <v>157719.14560453352</v>
      </c>
      <c r="M195" s="1">
        <f t="shared" si="24"/>
        <v>0</v>
      </c>
      <c r="N195" s="2">
        <f t="shared" si="33"/>
        <v>0</v>
      </c>
      <c r="O195" s="135">
        <f t="shared" si="25"/>
        <v>0</v>
      </c>
      <c r="P195" s="34">
        <f>O195/'D) Ecrêtage'!C195</f>
        <v>0</v>
      </c>
    </row>
    <row r="196" spans="1:16" x14ac:dyDescent="0.25">
      <c r="A196" s="50">
        <f>+'A) Base RI'!A198</f>
        <v>5719</v>
      </c>
      <c r="B196" s="301" t="str">
        <f>+'A) Base RI'!B198</f>
        <v>Gingins</v>
      </c>
      <c r="C196" s="315">
        <f>+'D) Ecrêtage'!M196</f>
        <v>102221.19778455902</v>
      </c>
      <c r="D196" s="292">
        <v>216778</v>
      </c>
      <c r="E196" s="315">
        <v>49045</v>
      </c>
      <c r="F196" s="292">
        <v>209716</v>
      </c>
      <c r="G196" s="315">
        <f t="shared" si="21"/>
        <v>475539</v>
      </c>
      <c r="H196" s="292">
        <f t="shared" si="22"/>
        <v>817769.58227647212</v>
      </c>
      <c r="I196" s="10">
        <f t="shared" si="23"/>
        <v>0</v>
      </c>
      <c r="J196" s="312">
        <f t="shared" si="31"/>
        <v>0</v>
      </c>
      <c r="K196" s="14">
        <v>35258</v>
      </c>
      <c r="L196" s="10">
        <f t="shared" si="32"/>
        <v>102221.19778455902</v>
      </c>
      <c r="M196" s="14">
        <f t="shared" si="24"/>
        <v>0</v>
      </c>
      <c r="N196" s="2">
        <f t="shared" si="33"/>
        <v>0</v>
      </c>
      <c r="O196" s="135">
        <f t="shared" si="25"/>
        <v>0</v>
      </c>
      <c r="P196" s="34">
        <f>O196/'D) Ecrêtage'!C196</f>
        <v>0</v>
      </c>
    </row>
    <row r="197" spans="1:16" x14ac:dyDescent="0.25">
      <c r="A197" s="50">
        <f>+'A) Base RI'!A199</f>
        <v>5720</v>
      </c>
      <c r="B197" s="301" t="str">
        <f>+'A) Base RI'!B199</f>
        <v>Givrins</v>
      </c>
      <c r="C197" s="315">
        <f>+'D) Ecrêtage'!M197</f>
        <v>65277.239509463201</v>
      </c>
      <c r="D197" s="292">
        <v>289849</v>
      </c>
      <c r="E197" s="315">
        <v>67616</v>
      </c>
      <c r="F197" s="292">
        <v>73434</v>
      </c>
      <c r="G197" s="315">
        <f t="shared" si="21"/>
        <v>430899</v>
      </c>
      <c r="H197" s="292">
        <f t="shared" si="22"/>
        <v>522217.91607570561</v>
      </c>
      <c r="I197" s="10">
        <f t="shared" si="23"/>
        <v>0</v>
      </c>
      <c r="J197" s="312">
        <f t="shared" si="31"/>
        <v>0</v>
      </c>
      <c r="K197" s="14">
        <v>105720</v>
      </c>
      <c r="L197" s="10">
        <f t="shared" si="32"/>
        <v>65277.239509463201</v>
      </c>
      <c r="M197" s="14">
        <f t="shared" si="24"/>
        <v>40442.760490536799</v>
      </c>
      <c r="N197" s="2">
        <f t="shared" si="33"/>
        <v>-27076.04991457607</v>
      </c>
      <c r="O197" s="135">
        <f t="shared" si="25"/>
        <v>-27076.04991457607</v>
      </c>
      <c r="P197" s="34">
        <f>O197/'D) Ecrêtage'!C197</f>
        <v>-0.40401203453430684</v>
      </c>
    </row>
    <row r="198" spans="1:16" x14ac:dyDescent="0.25">
      <c r="A198" s="50">
        <f>+'A) Base RI'!A200</f>
        <v>5721</v>
      </c>
      <c r="B198" s="301" t="str">
        <f>+'A) Base RI'!B200</f>
        <v>Gland</v>
      </c>
      <c r="C198" s="315">
        <f>+'D) Ecrêtage'!M198</f>
        <v>654524.19695999997</v>
      </c>
      <c r="D198" s="292">
        <v>2792541</v>
      </c>
      <c r="E198" s="315">
        <v>1397053</v>
      </c>
      <c r="F198" s="292">
        <v>48355</v>
      </c>
      <c r="G198" s="315">
        <f t="shared" ref="G198:G261" si="34">SUM(D198:F198)</f>
        <v>4237949</v>
      </c>
      <c r="H198" s="292">
        <f t="shared" ref="H198:H261" si="35">+C198*$I$4</f>
        <v>5236193.5756799998</v>
      </c>
      <c r="I198" s="10">
        <f t="shared" ref="I198:I261" si="36">IF(G198&gt;H198,G198-H198,0)</f>
        <v>0</v>
      </c>
      <c r="J198" s="312">
        <f t="shared" si="31"/>
        <v>0</v>
      </c>
      <c r="K198" s="14">
        <v>14188</v>
      </c>
      <c r="L198" s="10">
        <f t="shared" si="32"/>
        <v>654524.19695999997</v>
      </c>
      <c r="M198" s="14">
        <f t="shared" si="24"/>
        <v>0</v>
      </c>
      <c r="N198" s="2">
        <f t="shared" si="33"/>
        <v>0</v>
      </c>
      <c r="O198" s="135">
        <f t="shared" si="25"/>
        <v>0</v>
      </c>
      <c r="P198" s="34">
        <f>O198/'D) Ecrêtage'!C198</f>
        <v>0</v>
      </c>
    </row>
    <row r="199" spans="1:16" x14ac:dyDescent="0.25">
      <c r="A199" s="50">
        <f>+'A) Base RI'!A201</f>
        <v>5722</v>
      </c>
      <c r="B199" s="301" t="str">
        <f>+'A) Base RI'!B201</f>
        <v>Grens</v>
      </c>
      <c r="C199" s="315">
        <f>+'D) Ecrêtage'!M199</f>
        <v>22104.870799281129</v>
      </c>
      <c r="D199" s="292">
        <v>33184</v>
      </c>
      <c r="E199" s="315">
        <v>15458</v>
      </c>
      <c r="F199" s="292">
        <v>67808</v>
      </c>
      <c r="G199" s="315">
        <f t="shared" si="34"/>
        <v>116450</v>
      </c>
      <c r="H199" s="292">
        <f t="shared" si="35"/>
        <v>176838.96639424903</v>
      </c>
      <c r="I199" s="10">
        <f t="shared" si="36"/>
        <v>0</v>
      </c>
      <c r="J199" s="312">
        <f t="shared" si="31"/>
        <v>0</v>
      </c>
      <c r="K199" s="14">
        <v>-9203</v>
      </c>
      <c r="L199" s="10">
        <f t="shared" si="32"/>
        <v>22104.870799281129</v>
      </c>
      <c r="M199" s="14">
        <f t="shared" si="24"/>
        <v>0</v>
      </c>
      <c r="N199" s="2">
        <f t="shared" si="33"/>
        <v>0</v>
      </c>
      <c r="O199" s="135">
        <f t="shared" si="25"/>
        <v>0</v>
      </c>
      <c r="P199" s="34">
        <f>O199/'D) Ecrêtage'!C199</f>
        <v>0</v>
      </c>
    </row>
    <row r="200" spans="1:16" x14ac:dyDescent="0.25">
      <c r="A200" s="50">
        <f>+'A) Base RI'!A202</f>
        <v>5723</v>
      </c>
      <c r="B200" s="301" t="str">
        <f>+'A) Base RI'!B202</f>
        <v>Mies</v>
      </c>
      <c r="C200" s="315">
        <f>+'D) Ecrêtage'!M200</f>
        <v>393953.94435869262</v>
      </c>
      <c r="D200" s="292">
        <v>207773</v>
      </c>
      <c r="E200" s="315">
        <v>142859</v>
      </c>
      <c r="F200" s="292">
        <v>114849</v>
      </c>
      <c r="G200" s="315">
        <f t="shared" si="34"/>
        <v>465481</v>
      </c>
      <c r="H200" s="292">
        <f t="shared" si="35"/>
        <v>3151631.554869541</v>
      </c>
      <c r="I200" s="10">
        <f t="shared" si="36"/>
        <v>0</v>
      </c>
      <c r="J200" s="312">
        <f t="shared" si="31"/>
        <v>0</v>
      </c>
      <c r="K200" s="14">
        <v>0</v>
      </c>
      <c r="L200" s="10">
        <f t="shared" si="32"/>
        <v>393953.94435869262</v>
      </c>
      <c r="M200" s="14">
        <f t="shared" si="24"/>
        <v>0</v>
      </c>
      <c r="N200" s="2">
        <f t="shared" si="33"/>
        <v>0</v>
      </c>
      <c r="O200" s="135">
        <f t="shared" si="25"/>
        <v>0</v>
      </c>
      <c r="P200" s="34">
        <f>O200/'D) Ecrêtage'!C200</f>
        <v>0</v>
      </c>
    </row>
    <row r="201" spans="1:16" x14ac:dyDescent="0.25">
      <c r="A201" s="50">
        <f>+'A) Base RI'!A203</f>
        <v>5724</v>
      </c>
      <c r="B201" s="301" t="str">
        <f>+'A) Base RI'!B203</f>
        <v>Nyon</v>
      </c>
      <c r="C201" s="315">
        <f>+'D) Ecrêtage'!M201</f>
        <v>1309447.4659231247</v>
      </c>
      <c r="D201" s="292">
        <v>7146320</v>
      </c>
      <c r="E201" s="315">
        <v>4039254</v>
      </c>
      <c r="F201" s="292">
        <v>171246</v>
      </c>
      <c r="G201" s="315">
        <f t="shared" si="34"/>
        <v>11356820</v>
      </c>
      <c r="H201" s="292">
        <f t="shared" si="35"/>
        <v>10475579.727384998</v>
      </c>
      <c r="I201" s="10">
        <f t="shared" si="36"/>
        <v>881240.27261500247</v>
      </c>
      <c r="J201" s="312">
        <f t="shared" si="31"/>
        <v>-589982.1208703483</v>
      </c>
      <c r="K201" s="14">
        <v>321663</v>
      </c>
      <c r="L201" s="10">
        <f t="shared" si="32"/>
        <v>1309447.4659231247</v>
      </c>
      <c r="M201" s="14">
        <f t="shared" si="24"/>
        <v>0</v>
      </c>
      <c r="N201" s="2">
        <f t="shared" si="33"/>
        <v>0</v>
      </c>
      <c r="O201" s="135">
        <f t="shared" si="25"/>
        <v>-589982.1208703483</v>
      </c>
      <c r="P201" s="34">
        <f>O201/'D) Ecrêtage'!C201</f>
        <v>-0.4409228348955429</v>
      </c>
    </row>
    <row r="202" spans="1:16" x14ac:dyDescent="0.25">
      <c r="A202" s="50">
        <f>+'A) Base RI'!A204</f>
        <v>5725</v>
      </c>
      <c r="B202" s="301" t="str">
        <f>+'A) Base RI'!B204</f>
        <v>Prangins</v>
      </c>
      <c r="C202" s="315">
        <f>+'D) Ecrêtage'!M202</f>
        <v>304511.24195130728</v>
      </c>
      <c r="D202" s="292">
        <v>663256</v>
      </c>
      <c r="E202" s="315">
        <v>1233563</v>
      </c>
      <c r="F202" s="292">
        <v>79600</v>
      </c>
      <c r="G202" s="315">
        <f t="shared" si="34"/>
        <v>1976419</v>
      </c>
      <c r="H202" s="292">
        <f t="shared" si="35"/>
        <v>2436089.9356104583</v>
      </c>
      <c r="I202" s="10">
        <f t="shared" si="36"/>
        <v>0</v>
      </c>
      <c r="J202" s="312">
        <f t="shared" si="31"/>
        <v>0</v>
      </c>
      <c r="K202" s="14">
        <v>11902</v>
      </c>
      <c r="L202" s="10">
        <f t="shared" si="32"/>
        <v>304511.24195130728</v>
      </c>
      <c r="M202" s="14">
        <f t="shared" si="24"/>
        <v>0</v>
      </c>
      <c r="N202" s="2">
        <f t="shared" si="33"/>
        <v>0</v>
      </c>
      <c r="O202" s="135">
        <f t="shared" si="25"/>
        <v>0</v>
      </c>
      <c r="P202" s="34">
        <f>O202/'D) Ecrêtage'!C202</f>
        <v>0</v>
      </c>
    </row>
    <row r="203" spans="1:16" x14ac:dyDescent="0.25">
      <c r="A203" s="50">
        <f>+'A) Base RI'!A205</f>
        <v>5726</v>
      </c>
      <c r="B203" s="301" t="str">
        <f>+'A) Base RI'!B205</f>
        <v>La Rippe</v>
      </c>
      <c r="C203" s="315">
        <f>+'D) Ecrêtage'!M203</f>
        <v>59824.020307692314</v>
      </c>
      <c r="D203" s="292">
        <v>217726</v>
      </c>
      <c r="E203" s="315">
        <v>76737</v>
      </c>
      <c r="F203" s="292">
        <v>199215</v>
      </c>
      <c r="G203" s="315">
        <f t="shared" si="34"/>
        <v>493678</v>
      </c>
      <c r="H203" s="292">
        <f t="shared" si="35"/>
        <v>478592.16246153851</v>
      </c>
      <c r="I203" s="10">
        <f t="shared" si="36"/>
        <v>15085.837538461492</v>
      </c>
      <c r="J203" s="312">
        <f t="shared" si="31"/>
        <v>-10099.827144345041</v>
      </c>
      <c r="K203" s="14">
        <v>79149</v>
      </c>
      <c r="L203" s="10">
        <f t="shared" si="32"/>
        <v>59824.020307692314</v>
      </c>
      <c r="M203" s="14">
        <f t="shared" si="24"/>
        <v>19324.979692307686</v>
      </c>
      <c r="N203" s="2">
        <f t="shared" si="33"/>
        <v>-12937.893170510102</v>
      </c>
      <c r="O203" s="135">
        <f t="shared" si="25"/>
        <v>-23037.720314855142</v>
      </c>
      <c r="P203" s="34">
        <f>O203/'D) Ecrêtage'!C203</f>
        <v>-0.38509147657354781</v>
      </c>
    </row>
    <row r="204" spans="1:16" x14ac:dyDescent="0.25">
      <c r="A204" s="50">
        <f>+'A) Base RI'!A206</f>
        <v>5727</v>
      </c>
      <c r="B204" s="301" t="str">
        <f>+'A) Base RI'!B206</f>
        <v>Saint-Cergue</v>
      </c>
      <c r="C204" s="315">
        <f>+'D) Ecrêtage'!M204</f>
        <v>84748.014494949501</v>
      </c>
      <c r="D204" s="292">
        <v>722364</v>
      </c>
      <c r="E204" s="315">
        <v>172586</v>
      </c>
      <c r="F204" s="292">
        <v>107035</v>
      </c>
      <c r="G204" s="315">
        <f t="shared" si="34"/>
        <v>1001985</v>
      </c>
      <c r="H204" s="292">
        <f t="shared" si="35"/>
        <v>677984.11595959601</v>
      </c>
      <c r="I204" s="10">
        <f t="shared" si="36"/>
        <v>324000.88404040399</v>
      </c>
      <c r="J204" s="312">
        <f t="shared" si="31"/>
        <v>-216915.56170349618</v>
      </c>
      <c r="K204" s="14">
        <v>155114</v>
      </c>
      <c r="L204" s="10">
        <f t="shared" si="32"/>
        <v>84748.014494949501</v>
      </c>
      <c r="M204" s="14">
        <f t="shared" si="24"/>
        <v>70365.985505050499</v>
      </c>
      <c r="N204" s="2">
        <f t="shared" si="33"/>
        <v>-47109.369210068857</v>
      </c>
      <c r="O204" s="135">
        <f t="shared" si="25"/>
        <v>-264024.93091356504</v>
      </c>
      <c r="P204" s="34">
        <f>O204/'D) Ecrêtage'!C204</f>
        <v>-3.1154114050577482</v>
      </c>
    </row>
    <row r="205" spans="1:16" x14ac:dyDescent="0.25">
      <c r="A205" s="50">
        <f>+'A) Base RI'!A207</f>
        <v>5728</v>
      </c>
      <c r="B205" s="301" t="str">
        <f>+'A) Base RI'!B207</f>
        <v>Signy-Avenex</v>
      </c>
      <c r="C205" s="315">
        <f>+'D) Ecrêtage'!M205</f>
        <v>42390.339442962628</v>
      </c>
      <c r="D205" s="292">
        <v>44975</v>
      </c>
      <c r="E205" s="315">
        <v>23323</v>
      </c>
      <c r="F205" s="292">
        <v>91218</v>
      </c>
      <c r="G205" s="315">
        <f t="shared" si="34"/>
        <v>159516</v>
      </c>
      <c r="H205" s="292">
        <f t="shared" si="35"/>
        <v>339122.71554370102</v>
      </c>
      <c r="I205" s="10">
        <f t="shared" si="36"/>
        <v>0</v>
      </c>
      <c r="J205" s="312">
        <f t="shared" si="31"/>
        <v>0</v>
      </c>
      <c r="K205" s="14">
        <v>0</v>
      </c>
      <c r="L205" s="10">
        <f t="shared" si="32"/>
        <v>42390.339442962628</v>
      </c>
      <c r="M205" s="14">
        <f t="shared" si="24"/>
        <v>0</v>
      </c>
      <c r="N205" s="2">
        <f t="shared" si="33"/>
        <v>0</v>
      </c>
      <c r="O205" s="135">
        <f t="shared" si="25"/>
        <v>0</v>
      </c>
      <c r="P205" s="34">
        <f>O205/'D) Ecrêtage'!C205</f>
        <v>0</v>
      </c>
    </row>
    <row r="206" spans="1:16" x14ac:dyDescent="0.25">
      <c r="A206" s="50">
        <f>+'A) Base RI'!A208</f>
        <v>5729</v>
      </c>
      <c r="B206" s="301" t="str">
        <f>+'A) Base RI'!B208</f>
        <v>Tannay</v>
      </c>
      <c r="C206" s="315">
        <f>+'D) Ecrêtage'!M206</f>
        <v>134523.0821423289</v>
      </c>
      <c r="D206" s="292">
        <v>203535</v>
      </c>
      <c r="E206" s="315">
        <v>119546</v>
      </c>
      <c r="F206" s="292">
        <v>91603</v>
      </c>
      <c r="G206" s="315">
        <f t="shared" si="34"/>
        <v>414684</v>
      </c>
      <c r="H206" s="292">
        <f t="shared" si="35"/>
        <v>1076184.6571386312</v>
      </c>
      <c r="I206" s="10">
        <f t="shared" si="36"/>
        <v>0</v>
      </c>
      <c r="J206" s="312">
        <f t="shared" si="31"/>
        <v>0</v>
      </c>
      <c r="K206" s="14">
        <v>0</v>
      </c>
      <c r="L206" s="10">
        <f t="shared" si="32"/>
        <v>134523.0821423289</v>
      </c>
      <c r="M206" s="14">
        <f t="shared" si="24"/>
        <v>0</v>
      </c>
      <c r="N206" s="2">
        <f t="shared" si="33"/>
        <v>0</v>
      </c>
      <c r="O206" s="135">
        <f t="shared" si="25"/>
        <v>0</v>
      </c>
      <c r="P206" s="34">
        <f>O206/'D) Ecrêtage'!C206</f>
        <v>0</v>
      </c>
    </row>
    <row r="207" spans="1:16" x14ac:dyDescent="0.25">
      <c r="A207" s="50">
        <f>+'A) Base RI'!A209</f>
        <v>5730</v>
      </c>
      <c r="B207" s="301" t="str">
        <f>+'A) Base RI'!B209</f>
        <v>Trélex</v>
      </c>
      <c r="C207" s="315">
        <f>+'D) Ecrêtage'!M207</f>
        <v>140688.57218471222</v>
      </c>
      <c r="D207" s="292">
        <v>284947</v>
      </c>
      <c r="E207" s="315">
        <v>94757</v>
      </c>
      <c r="F207" s="292">
        <v>94313</v>
      </c>
      <c r="G207" s="315">
        <f t="shared" si="34"/>
        <v>474017</v>
      </c>
      <c r="H207" s="292">
        <f t="shared" si="35"/>
        <v>1125508.5774776977</v>
      </c>
      <c r="I207" s="10">
        <f t="shared" si="36"/>
        <v>0</v>
      </c>
      <c r="J207" s="312">
        <f t="shared" si="31"/>
        <v>0</v>
      </c>
      <c r="K207" s="14">
        <v>60158</v>
      </c>
      <c r="L207" s="10">
        <f t="shared" si="32"/>
        <v>140688.57218471222</v>
      </c>
      <c r="M207" s="14">
        <f t="shared" si="24"/>
        <v>0</v>
      </c>
      <c r="N207" s="2">
        <f t="shared" si="33"/>
        <v>0</v>
      </c>
      <c r="O207" s="135">
        <f t="shared" si="25"/>
        <v>0</v>
      </c>
      <c r="P207" s="34">
        <f>O207/'D) Ecrêtage'!C207</f>
        <v>0</v>
      </c>
    </row>
    <row r="208" spans="1:16" x14ac:dyDescent="0.25">
      <c r="A208" s="50">
        <f>+'A) Base RI'!A210</f>
        <v>5731</v>
      </c>
      <c r="B208" s="301" t="str">
        <f>+'A) Base RI'!B210</f>
        <v>Le Vaud</v>
      </c>
      <c r="C208" s="315">
        <f>+'D) Ecrêtage'!M208</f>
        <v>52834.667955555553</v>
      </c>
      <c r="D208" s="292">
        <v>384013</v>
      </c>
      <c r="E208" s="315">
        <v>51918</v>
      </c>
      <c r="F208" s="292">
        <v>148075</v>
      </c>
      <c r="G208" s="315">
        <f t="shared" si="34"/>
        <v>584006</v>
      </c>
      <c r="H208" s="292">
        <f t="shared" si="35"/>
        <v>422677.34364444442</v>
      </c>
      <c r="I208" s="10">
        <f t="shared" si="36"/>
        <v>161328.65635555558</v>
      </c>
      <c r="J208" s="312">
        <f t="shared" si="31"/>
        <v>-108008.02663202514</v>
      </c>
      <c r="K208" s="14">
        <v>-32574</v>
      </c>
      <c r="L208" s="10">
        <f t="shared" si="32"/>
        <v>52834.667955555553</v>
      </c>
      <c r="M208" s="14">
        <f t="shared" si="24"/>
        <v>0</v>
      </c>
      <c r="N208" s="2">
        <f t="shared" si="33"/>
        <v>0</v>
      </c>
      <c r="O208" s="135">
        <f t="shared" si="25"/>
        <v>-108008.02663202514</v>
      </c>
      <c r="P208" s="34">
        <f>O208/'D) Ecrêtage'!C208</f>
        <v>-2.0442643213520588</v>
      </c>
    </row>
    <row r="209" spans="1:16" x14ac:dyDescent="0.25">
      <c r="A209" s="50">
        <f>+'A) Base RI'!A211</f>
        <v>5732</v>
      </c>
      <c r="B209" s="301" t="str">
        <f>+'A) Base RI'!B211</f>
        <v>Vich</v>
      </c>
      <c r="C209" s="315">
        <f>+'D) Ecrêtage'!M209</f>
        <v>63314.926919915684</v>
      </c>
      <c r="D209" s="292">
        <v>223985</v>
      </c>
      <c r="E209" s="315">
        <v>43968</v>
      </c>
      <c r="F209" s="292">
        <v>103397</v>
      </c>
      <c r="G209" s="315">
        <f t="shared" si="34"/>
        <v>371350</v>
      </c>
      <c r="H209" s="292">
        <f t="shared" si="35"/>
        <v>506519.41535932547</v>
      </c>
      <c r="I209" s="10">
        <f t="shared" si="36"/>
        <v>0</v>
      </c>
      <c r="J209" s="312">
        <f t="shared" si="31"/>
        <v>0</v>
      </c>
      <c r="K209" s="14">
        <v>34943</v>
      </c>
      <c r="L209" s="10">
        <f t="shared" si="32"/>
        <v>63314.926919915684</v>
      </c>
      <c r="M209" s="14">
        <f t="shared" si="24"/>
        <v>0</v>
      </c>
      <c r="N209" s="2">
        <f t="shared" si="33"/>
        <v>0</v>
      </c>
      <c r="O209" s="135">
        <f t="shared" si="25"/>
        <v>0</v>
      </c>
      <c r="P209" s="34">
        <f>O209/'D) Ecrêtage'!C209</f>
        <v>0</v>
      </c>
    </row>
    <row r="210" spans="1:16" x14ac:dyDescent="0.25">
      <c r="A210" s="50">
        <f>+'A) Base RI'!A212</f>
        <v>5741</v>
      </c>
      <c r="B210" s="301" t="str">
        <f>+'A) Base RI'!B212</f>
        <v>L'Abergement</v>
      </c>
      <c r="C210" s="315">
        <f>+'D) Ecrêtage'!M210</f>
        <v>7464.3302469135806</v>
      </c>
      <c r="D210" s="292">
        <v>160987</v>
      </c>
      <c r="E210" s="315">
        <v>9772</v>
      </c>
      <c r="F210" s="292">
        <v>20113</v>
      </c>
      <c r="G210" s="315">
        <f t="shared" si="34"/>
        <v>190872</v>
      </c>
      <c r="H210" s="292">
        <f t="shared" si="35"/>
        <v>59714.641975308645</v>
      </c>
      <c r="I210" s="10">
        <f t="shared" si="36"/>
        <v>131157.35802469135</v>
      </c>
      <c r="J210" s="312">
        <f t="shared" si="31"/>
        <v>-87808.624571297943</v>
      </c>
      <c r="K210" s="14">
        <v>47021</v>
      </c>
      <c r="L210" s="10">
        <f t="shared" si="32"/>
        <v>7464.3302469135806</v>
      </c>
      <c r="M210" s="14">
        <f t="shared" si="24"/>
        <v>39556.669753086418</v>
      </c>
      <c r="N210" s="2">
        <f t="shared" si="33"/>
        <v>-26482.820452861561</v>
      </c>
      <c r="O210" s="135">
        <f t="shared" si="25"/>
        <v>-114291.4450241595</v>
      </c>
      <c r="P210" s="34">
        <f>O210/'D) Ecrêtage'!C210</f>
        <v>-15.311681188197397</v>
      </c>
    </row>
    <row r="211" spans="1:16" x14ac:dyDescent="0.25">
      <c r="A211" s="50">
        <f>+'A) Base RI'!A213</f>
        <v>5742</v>
      </c>
      <c r="B211" s="301" t="str">
        <f>+'A) Base RI'!B213</f>
        <v>Agiez</v>
      </c>
      <c r="C211" s="315">
        <f>+'D) Ecrêtage'!M211</f>
        <v>9132.5030263157914</v>
      </c>
      <c r="D211" s="292">
        <v>23729</v>
      </c>
      <c r="E211" s="315">
        <v>12947</v>
      </c>
      <c r="F211" s="292">
        <v>33798</v>
      </c>
      <c r="G211" s="315">
        <f t="shared" si="34"/>
        <v>70474</v>
      </c>
      <c r="H211" s="292">
        <f t="shared" si="35"/>
        <v>73060.024210526331</v>
      </c>
      <c r="I211" s="10">
        <f t="shared" si="36"/>
        <v>0</v>
      </c>
      <c r="J211" s="312">
        <f t="shared" si="31"/>
        <v>0</v>
      </c>
      <c r="K211" s="14">
        <v>18340</v>
      </c>
      <c r="L211" s="10">
        <f t="shared" si="32"/>
        <v>9132.5030263157914</v>
      </c>
      <c r="M211" s="14">
        <f t="shared" si="24"/>
        <v>9207.4969736842086</v>
      </c>
      <c r="N211" s="2">
        <f t="shared" si="33"/>
        <v>-6164.3331123778271</v>
      </c>
      <c r="O211" s="135">
        <f t="shared" si="25"/>
        <v>-6164.3331123778271</v>
      </c>
      <c r="P211" s="34">
        <f>O211/'D) Ecrêtage'!C211</f>
        <v>-0.67498834597864077</v>
      </c>
    </row>
    <row r="212" spans="1:16" x14ac:dyDescent="0.25">
      <c r="A212" s="50">
        <f>+'A) Base RI'!A214</f>
        <v>5743</v>
      </c>
      <c r="B212" s="301" t="str">
        <f>+'A) Base RI'!B214</f>
        <v>Arnex-sur-Orbe</v>
      </c>
      <c r="C212" s="315">
        <f>+'D) Ecrêtage'!M212</f>
        <v>18362.90517123288</v>
      </c>
      <c r="D212" s="292">
        <v>103376</v>
      </c>
      <c r="E212" s="315">
        <v>66180</v>
      </c>
      <c r="F212" s="292">
        <v>67933</v>
      </c>
      <c r="G212" s="315">
        <f t="shared" si="34"/>
        <v>237489</v>
      </c>
      <c r="H212" s="292">
        <f t="shared" si="35"/>
        <v>146903.24136986304</v>
      </c>
      <c r="I212" s="10">
        <f t="shared" si="36"/>
        <v>90585.758630136959</v>
      </c>
      <c r="J212" s="312">
        <f t="shared" si="31"/>
        <v>-60646.318215425395</v>
      </c>
      <c r="K212" s="14">
        <v>8488</v>
      </c>
      <c r="L212" s="10">
        <f t="shared" si="32"/>
        <v>18362.90517123288</v>
      </c>
      <c r="M212" s="14">
        <f t="shared" si="24"/>
        <v>0</v>
      </c>
      <c r="N212" s="2">
        <f t="shared" si="33"/>
        <v>0</v>
      </c>
      <c r="O212" s="135">
        <f t="shared" si="25"/>
        <v>-60646.318215425395</v>
      </c>
      <c r="P212" s="34">
        <f>O212/'D) Ecrêtage'!C212</f>
        <v>-3.3026537821713111</v>
      </c>
    </row>
    <row r="213" spans="1:16" x14ac:dyDescent="0.25">
      <c r="A213" s="50">
        <f>+'A) Base RI'!A215</f>
        <v>5744</v>
      </c>
      <c r="B213" s="301" t="str">
        <f>+'A) Base RI'!B215</f>
        <v>Ballaigues</v>
      </c>
      <c r="C213" s="315">
        <f>+'D) Ecrêtage'!M213</f>
        <v>46015.380909090905</v>
      </c>
      <c r="D213" s="292">
        <v>711413</v>
      </c>
      <c r="E213" s="315">
        <v>45151</v>
      </c>
      <c r="F213" s="292">
        <v>126894</v>
      </c>
      <c r="G213" s="315">
        <f t="shared" si="34"/>
        <v>883458</v>
      </c>
      <c r="H213" s="292">
        <f t="shared" si="35"/>
        <v>368123.04727272724</v>
      </c>
      <c r="I213" s="10">
        <f t="shared" si="36"/>
        <v>515334.95272727276</v>
      </c>
      <c r="J213" s="312">
        <f t="shared" si="31"/>
        <v>-345011.93127096887</v>
      </c>
      <c r="K213" s="14">
        <v>161427</v>
      </c>
      <c r="L213" s="10">
        <f t="shared" si="32"/>
        <v>46015.380909090905</v>
      </c>
      <c r="M213" s="14">
        <f t="shared" si="24"/>
        <v>115411.61909090909</v>
      </c>
      <c r="N213" s="2">
        <f t="shared" si="33"/>
        <v>-77266.999614397937</v>
      </c>
      <c r="O213" s="135">
        <f t="shared" si="25"/>
        <v>-422278.9308853668</v>
      </c>
      <c r="P213" s="34">
        <f>O213/'D) Ecrêtage'!C213</f>
        <v>-9.1769082976761887</v>
      </c>
    </row>
    <row r="214" spans="1:16" x14ac:dyDescent="0.25">
      <c r="A214" s="50">
        <f>+'A) Base RI'!A216</f>
        <v>5745</v>
      </c>
      <c r="B214" s="301" t="str">
        <f>+'A) Base RI'!B216</f>
        <v>Baulmes</v>
      </c>
      <c r="C214" s="315">
        <f>+'D) Ecrêtage'!M214</f>
        <v>27038.675769230769</v>
      </c>
      <c r="D214" s="292">
        <v>225546</v>
      </c>
      <c r="E214" s="315">
        <v>108547</v>
      </c>
      <c r="F214" s="292">
        <v>78593</v>
      </c>
      <c r="G214" s="315">
        <f t="shared" si="34"/>
        <v>412686</v>
      </c>
      <c r="H214" s="292">
        <f t="shared" si="35"/>
        <v>216309.40615384615</v>
      </c>
      <c r="I214" s="10">
        <f t="shared" si="36"/>
        <v>196376.59384615385</v>
      </c>
      <c r="J214" s="312">
        <f t="shared" si="31"/>
        <v>-131472.29300228014</v>
      </c>
      <c r="K214" s="14">
        <v>242748</v>
      </c>
      <c r="L214" s="10">
        <f t="shared" si="32"/>
        <v>27038.675769230769</v>
      </c>
      <c r="M214" s="14">
        <f t="shared" si="24"/>
        <v>215709.32423076924</v>
      </c>
      <c r="N214" s="2">
        <f t="shared" si="33"/>
        <v>-144415.37518880327</v>
      </c>
      <c r="O214" s="135">
        <f t="shared" si="25"/>
        <v>-275887.66819108342</v>
      </c>
      <c r="P214" s="34">
        <f>O214/'D) Ecrêtage'!C214</f>
        <v>-10.203446002523378</v>
      </c>
    </row>
    <row r="215" spans="1:16" x14ac:dyDescent="0.25">
      <c r="A215" s="50">
        <f>+'A) Base RI'!A217</f>
        <v>5746</v>
      </c>
      <c r="B215" s="301" t="str">
        <f>+'A) Base RI'!B217</f>
        <v>Bavois</v>
      </c>
      <c r="C215" s="315">
        <f>+'D) Ecrêtage'!M215</f>
        <v>26753.53392694064</v>
      </c>
      <c r="D215" s="292">
        <v>304760</v>
      </c>
      <c r="E215" s="315">
        <v>95662</v>
      </c>
      <c r="F215" s="292">
        <v>112433</v>
      </c>
      <c r="G215" s="315">
        <f t="shared" si="34"/>
        <v>512855</v>
      </c>
      <c r="H215" s="292">
        <f t="shared" si="35"/>
        <v>214028.27141552512</v>
      </c>
      <c r="I215" s="10">
        <f t="shared" si="36"/>
        <v>298826.72858447488</v>
      </c>
      <c r="J215" s="312">
        <f t="shared" si="31"/>
        <v>-200061.70006263399</v>
      </c>
      <c r="K215" s="14">
        <v>49185</v>
      </c>
      <c r="L215" s="10">
        <f t="shared" si="32"/>
        <v>26753.53392694064</v>
      </c>
      <c r="M215" s="14">
        <f t="shared" si="24"/>
        <v>22431.46607305936</v>
      </c>
      <c r="N215" s="2">
        <f t="shared" si="33"/>
        <v>-15017.656749553236</v>
      </c>
      <c r="O215" s="135">
        <f t="shared" si="25"/>
        <v>-215079.35681218724</v>
      </c>
      <c r="P215" s="34">
        <f>O215/'D) Ecrêtage'!C215</f>
        <v>-8.0392877217466836</v>
      </c>
    </row>
    <row r="216" spans="1:16" x14ac:dyDescent="0.25">
      <c r="A216" s="50">
        <f>+'A) Base RI'!A218</f>
        <v>5747</v>
      </c>
      <c r="B216" s="301" t="str">
        <f>+'A) Base RI'!B218</f>
        <v>Bofflens</v>
      </c>
      <c r="C216" s="315">
        <f>+'D) Ecrêtage'!M216</f>
        <v>4985.4308695652171</v>
      </c>
      <c r="D216" s="292">
        <v>62919</v>
      </c>
      <c r="E216" s="315">
        <v>7876</v>
      </c>
      <c r="F216" s="292">
        <v>21461</v>
      </c>
      <c r="G216" s="315">
        <f t="shared" si="34"/>
        <v>92256</v>
      </c>
      <c r="H216" s="292">
        <f t="shared" si="35"/>
        <v>39883.446956521737</v>
      </c>
      <c r="I216" s="10">
        <f t="shared" si="36"/>
        <v>52372.553043478263</v>
      </c>
      <c r="J216" s="312">
        <f t="shared" si="31"/>
        <v>-35062.934457473741</v>
      </c>
      <c r="K216" s="14">
        <v>-221</v>
      </c>
      <c r="L216" s="10">
        <f t="shared" si="32"/>
        <v>4985.4308695652171</v>
      </c>
      <c r="M216" s="14">
        <f t="shared" si="24"/>
        <v>0</v>
      </c>
      <c r="N216" s="2">
        <f t="shared" si="33"/>
        <v>0</v>
      </c>
      <c r="O216" s="135">
        <f t="shared" si="25"/>
        <v>-35062.934457473741</v>
      </c>
      <c r="P216" s="34">
        <f>O216/'D) Ecrêtage'!C216</f>
        <v>-7.0330800636558832</v>
      </c>
    </row>
    <row r="217" spans="1:16" x14ac:dyDescent="0.25">
      <c r="A217" s="50">
        <f>+'A) Base RI'!A219</f>
        <v>5748</v>
      </c>
      <c r="B217" s="301" t="str">
        <f>+'A) Base RI'!B219</f>
        <v>Bretonnières</v>
      </c>
      <c r="C217" s="315">
        <f>+'D) Ecrêtage'!M217</f>
        <v>5553.3427314814826</v>
      </c>
      <c r="D217" s="292">
        <v>31381</v>
      </c>
      <c r="E217" s="315">
        <v>27008</v>
      </c>
      <c r="F217" s="292">
        <v>32463</v>
      </c>
      <c r="G217" s="315">
        <f t="shared" si="34"/>
        <v>90852</v>
      </c>
      <c r="H217" s="292">
        <f t="shared" si="35"/>
        <v>44426.741851851861</v>
      </c>
      <c r="I217" s="10">
        <f t="shared" si="36"/>
        <v>46425.258148148139</v>
      </c>
      <c r="J217" s="312">
        <f t="shared" ref="J217" si="37">-I217*J$4</f>
        <v>-31081.276146084707</v>
      </c>
      <c r="K217" s="14">
        <v>34788</v>
      </c>
      <c r="L217" s="10">
        <f t="shared" ref="L217" si="38">C217*M$4</f>
        <v>5553.3427314814826</v>
      </c>
      <c r="M217" s="14">
        <f t="shared" ref="M217" si="39">IF(K217&gt;L217,K217-L217,0)</f>
        <v>29234.657268518517</v>
      </c>
      <c r="N217" s="2">
        <f t="shared" ref="N217" si="40">-M217*N$4</f>
        <v>-19572.329629258329</v>
      </c>
      <c r="O217" s="135">
        <f t="shared" ref="O217" si="41">N217+J217</f>
        <v>-50653.605775343036</v>
      </c>
      <c r="P217" s="34">
        <f>O217/'D) Ecrêtage'!C217</f>
        <v>-9.121282122241718</v>
      </c>
    </row>
    <row r="218" spans="1:16" x14ac:dyDescent="0.25">
      <c r="A218" s="50">
        <f>+'A) Base RI'!A220</f>
        <v>5749</v>
      </c>
      <c r="B218" s="301" t="str">
        <f>+'A) Base RI'!B220</f>
        <v>Chavornay</v>
      </c>
      <c r="C218" s="315">
        <f>+'D) Ecrêtage'!M218</f>
        <v>140775.19611111109</v>
      </c>
      <c r="D218" s="292">
        <v>643005</v>
      </c>
      <c r="E218" s="315">
        <v>505935</v>
      </c>
      <c r="F218" s="292">
        <v>602689</v>
      </c>
      <c r="G218" s="315">
        <f t="shared" si="34"/>
        <v>1751629</v>
      </c>
      <c r="H218" s="292">
        <f t="shared" si="35"/>
        <v>1126201.5688888887</v>
      </c>
      <c r="I218" s="10">
        <f t="shared" si="36"/>
        <v>625427.43111111131</v>
      </c>
      <c r="J218" s="312">
        <f t="shared" si="31"/>
        <v>-418717.81592831545</v>
      </c>
      <c r="K218" s="14">
        <v>165507</v>
      </c>
      <c r="L218" s="10">
        <f t="shared" si="32"/>
        <v>140775.19611111109</v>
      </c>
      <c r="M218" s="14">
        <f t="shared" si="24"/>
        <v>24731.803888888913</v>
      </c>
      <c r="N218" s="2">
        <f t="shared" si="33"/>
        <v>-16557.711403744353</v>
      </c>
      <c r="O218" s="135">
        <f t="shared" si="25"/>
        <v>-435275.52733205981</v>
      </c>
      <c r="P218" s="34">
        <f>O218/'D) Ecrêtage'!C218</f>
        <v>-3.0919902039312763</v>
      </c>
    </row>
    <row r="219" spans="1:16" x14ac:dyDescent="0.25">
      <c r="A219" s="50">
        <f>+'A) Base RI'!A221</f>
        <v>5750</v>
      </c>
      <c r="B219" s="301" t="str">
        <f>+'A) Base RI'!B221</f>
        <v>Les Clées</v>
      </c>
      <c r="C219" s="315">
        <f>+'D) Ecrêtage'!M219</f>
        <v>5155.3168750000004</v>
      </c>
      <c r="D219" s="292">
        <v>64397</v>
      </c>
      <c r="E219" s="315">
        <v>0</v>
      </c>
      <c r="F219" s="292">
        <v>17963</v>
      </c>
      <c r="G219" s="315">
        <f t="shared" si="34"/>
        <v>82360</v>
      </c>
      <c r="H219" s="292">
        <f t="shared" si="35"/>
        <v>41242.535000000003</v>
      </c>
      <c r="I219" s="10">
        <f t="shared" si="36"/>
        <v>41117.464999999997</v>
      </c>
      <c r="J219" s="312">
        <f t="shared" si="31"/>
        <v>-27527.758273605858</v>
      </c>
      <c r="K219" s="14">
        <v>33725</v>
      </c>
      <c r="L219" s="10">
        <f t="shared" si="32"/>
        <v>5155.3168750000004</v>
      </c>
      <c r="M219" s="14">
        <f t="shared" ref="M219:M264" si="42">IF(K219&gt;L219,K219-L219,0)</f>
        <v>28569.683125</v>
      </c>
      <c r="N219" s="2">
        <f t="shared" si="33"/>
        <v>-19127.135659226959</v>
      </c>
      <c r="O219" s="135">
        <f t="shared" ref="O219:O264" si="43">N219+J219</f>
        <v>-46654.893932832812</v>
      </c>
      <c r="P219" s="34">
        <f>O219/'D) Ecrêtage'!C219</f>
        <v>-9.0498596039904555</v>
      </c>
    </row>
    <row r="220" spans="1:16" x14ac:dyDescent="0.25">
      <c r="A220" s="50">
        <f>+'A) Base RI'!A222</f>
        <v>5752</v>
      </c>
      <c r="B220" s="301" t="str">
        <f>+'A) Base RI'!B222</f>
        <v>Croy</v>
      </c>
      <c r="C220" s="315">
        <f>+'D) Ecrêtage'!M220</f>
        <v>10753.005424710425</v>
      </c>
      <c r="D220" s="292">
        <v>208993</v>
      </c>
      <c r="E220" s="315">
        <v>39069</v>
      </c>
      <c r="F220" s="292">
        <v>37894</v>
      </c>
      <c r="G220" s="315">
        <f t="shared" si="34"/>
        <v>285956</v>
      </c>
      <c r="H220" s="292">
        <f t="shared" si="35"/>
        <v>86024.043397683403</v>
      </c>
      <c r="I220" s="10">
        <f t="shared" si="36"/>
        <v>199931.95660231658</v>
      </c>
      <c r="J220" s="312">
        <f t="shared" si="31"/>
        <v>-133852.57511662328</v>
      </c>
      <c r="K220" s="14">
        <v>18921</v>
      </c>
      <c r="L220" s="10">
        <f t="shared" si="32"/>
        <v>10753.005424710425</v>
      </c>
      <c r="M220" s="14">
        <f t="shared" si="42"/>
        <v>8167.9945752895746</v>
      </c>
      <c r="N220" s="2">
        <f t="shared" si="33"/>
        <v>-5468.3959784168446</v>
      </c>
      <c r="O220" s="135">
        <f t="shared" si="43"/>
        <v>-139320.97109504012</v>
      </c>
      <c r="P220" s="34">
        <f>O220/'D) Ecrêtage'!C220</f>
        <v>-12.956468037752524</v>
      </c>
    </row>
    <row r="221" spans="1:16" x14ac:dyDescent="0.25">
      <c r="A221" s="50">
        <f>+'A) Base RI'!A223</f>
        <v>5754</v>
      </c>
      <c r="B221" s="301" t="str">
        <f>+'A) Base RI'!B223</f>
        <v>Juriens</v>
      </c>
      <c r="C221" s="315">
        <f>+'D) Ecrêtage'!M221</f>
        <v>8035.95670886076</v>
      </c>
      <c r="D221" s="292">
        <v>57665</v>
      </c>
      <c r="E221" s="315">
        <v>12741</v>
      </c>
      <c r="F221" s="292">
        <v>29176</v>
      </c>
      <c r="G221" s="315">
        <f t="shared" si="34"/>
        <v>99582</v>
      </c>
      <c r="H221" s="292">
        <f t="shared" si="35"/>
        <v>64287.65367088608</v>
      </c>
      <c r="I221" s="10">
        <f t="shared" si="36"/>
        <v>35294.34632911392</v>
      </c>
      <c r="J221" s="312">
        <f t="shared" si="31"/>
        <v>-23629.234783145708</v>
      </c>
      <c r="K221" s="14">
        <v>-29171</v>
      </c>
      <c r="L221" s="10">
        <f t="shared" si="32"/>
        <v>8035.95670886076</v>
      </c>
      <c r="M221" s="14">
        <f t="shared" si="42"/>
        <v>0</v>
      </c>
      <c r="N221" s="2">
        <f t="shared" si="33"/>
        <v>0</v>
      </c>
      <c r="O221" s="135">
        <f t="shared" si="43"/>
        <v>-23629.234783145708</v>
      </c>
      <c r="P221" s="34">
        <f>O221/'D) Ecrêtage'!C221</f>
        <v>-2.940438287465037</v>
      </c>
    </row>
    <row r="222" spans="1:16" x14ac:dyDescent="0.25">
      <c r="A222" s="50">
        <f>+'A) Base RI'!A224</f>
        <v>5755</v>
      </c>
      <c r="B222" s="301" t="str">
        <f>+'A) Base RI'!B224</f>
        <v>Lignerolle</v>
      </c>
      <c r="C222" s="315">
        <f>+'D) Ecrêtage'!M222</f>
        <v>9584.7876607142862</v>
      </c>
      <c r="D222" s="292">
        <v>166243</v>
      </c>
      <c r="E222" s="315">
        <v>17194</v>
      </c>
      <c r="F222" s="292">
        <v>42837</v>
      </c>
      <c r="G222" s="315">
        <f t="shared" si="34"/>
        <v>226274</v>
      </c>
      <c r="H222" s="292">
        <f t="shared" si="35"/>
        <v>76678.301285714289</v>
      </c>
      <c r="I222" s="10">
        <f t="shared" si="36"/>
        <v>149595.69871428571</v>
      </c>
      <c r="J222" s="312">
        <f t="shared" si="31"/>
        <v>-100152.92122162755</v>
      </c>
      <c r="K222" s="14">
        <v>105319</v>
      </c>
      <c r="L222" s="10">
        <f t="shared" si="32"/>
        <v>9584.7876607142862</v>
      </c>
      <c r="M222" s="14">
        <f t="shared" si="42"/>
        <v>95734.212339285717</v>
      </c>
      <c r="N222" s="2">
        <f t="shared" si="33"/>
        <v>-64093.159823688366</v>
      </c>
      <c r="O222" s="135">
        <f t="shared" si="43"/>
        <v>-164246.08104531592</v>
      </c>
      <c r="P222" s="34">
        <f>O222/'D) Ecrêtage'!C222</f>
        <v>-17.13612099290636</v>
      </c>
    </row>
    <row r="223" spans="1:16" x14ac:dyDescent="0.25">
      <c r="A223" s="50">
        <f>+'A) Base RI'!A225</f>
        <v>5756</v>
      </c>
      <c r="B223" s="301" t="str">
        <f>+'A) Base RI'!B225</f>
        <v>Montcherand</v>
      </c>
      <c r="C223" s="315">
        <f>+'D) Ecrêtage'!M223</f>
        <v>15844.670555555553</v>
      </c>
      <c r="D223" s="292">
        <v>136694</v>
      </c>
      <c r="E223" s="315">
        <v>21214</v>
      </c>
      <c r="F223" s="292">
        <v>59500</v>
      </c>
      <c r="G223" s="315">
        <f t="shared" si="34"/>
        <v>217408</v>
      </c>
      <c r="H223" s="292">
        <f t="shared" si="35"/>
        <v>126757.36444444442</v>
      </c>
      <c r="I223" s="10">
        <f t="shared" si="36"/>
        <v>90650.635555555578</v>
      </c>
      <c r="J223" s="312">
        <f t="shared" si="31"/>
        <v>-60689.752710243069</v>
      </c>
      <c r="K223" s="14">
        <v>10581</v>
      </c>
      <c r="L223" s="10">
        <f t="shared" si="32"/>
        <v>15844.670555555553</v>
      </c>
      <c r="M223" s="14">
        <f t="shared" si="42"/>
        <v>0</v>
      </c>
      <c r="N223" s="2">
        <f t="shared" si="33"/>
        <v>0</v>
      </c>
      <c r="O223" s="135">
        <f t="shared" si="43"/>
        <v>-60689.752710243069</v>
      </c>
      <c r="P223" s="34">
        <f>O223/'D) Ecrêtage'!C223</f>
        <v>-3.8302943881003362</v>
      </c>
    </row>
    <row r="224" spans="1:16" x14ac:dyDescent="0.25">
      <c r="A224" s="50">
        <f>+'A) Base RI'!A226</f>
        <v>5757</v>
      </c>
      <c r="B224" s="301" t="str">
        <f>+'A) Base RI'!B226</f>
        <v>Orbe</v>
      </c>
      <c r="C224" s="315">
        <f>+'D) Ecrêtage'!M224</f>
        <v>227545.70272727273</v>
      </c>
      <c r="D224" s="292">
        <v>1973720</v>
      </c>
      <c r="E224" s="315">
        <v>1048368</v>
      </c>
      <c r="F224" s="292">
        <v>731948</v>
      </c>
      <c r="G224" s="315">
        <f t="shared" si="34"/>
        <v>3754036</v>
      </c>
      <c r="H224" s="292">
        <f t="shared" si="35"/>
        <v>1820365.6218181818</v>
      </c>
      <c r="I224" s="10">
        <f t="shared" si="36"/>
        <v>1933670.3781818182</v>
      </c>
      <c r="J224" s="312">
        <f t="shared" si="31"/>
        <v>-1294574.2338789883</v>
      </c>
      <c r="K224" s="14">
        <v>58704</v>
      </c>
      <c r="L224" s="10">
        <f t="shared" si="32"/>
        <v>227545.70272727273</v>
      </c>
      <c r="M224" s="14">
        <f t="shared" si="42"/>
        <v>0</v>
      </c>
      <c r="N224" s="2">
        <f t="shared" si="33"/>
        <v>0</v>
      </c>
      <c r="O224" s="135">
        <f t="shared" si="43"/>
        <v>-1294574.2338789883</v>
      </c>
      <c r="P224" s="34">
        <f>O224/'D) Ecrêtage'!C224</f>
        <v>-5.6892932644419734</v>
      </c>
    </row>
    <row r="225" spans="1:16" x14ac:dyDescent="0.25">
      <c r="A225" s="50">
        <f>+'A) Base RI'!A227</f>
        <v>5758</v>
      </c>
      <c r="B225" s="301" t="str">
        <f>+'A) Base RI'!B227</f>
        <v>La Praz</v>
      </c>
      <c r="C225" s="315">
        <f>+'D) Ecrêtage'!M225</f>
        <v>4452.397389558233</v>
      </c>
      <c r="D225" s="292">
        <v>38532</v>
      </c>
      <c r="E225" s="315">
        <v>6597</v>
      </c>
      <c r="F225" s="292">
        <v>15919</v>
      </c>
      <c r="G225" s="315">
        <f t="shared" si="34"/>
        <v>61048</v>
      </c>
      <c r="H225" s="292">
        <f t="shared" si="35"/>
        <v>35619.179116465864</v>
      </c>
      <c r="I225" s="10">
        <f t="shared" si="36"/>
        <v>25428.820883534136</v>
      </c>
      <c r="J225" s="312">
        <f t="shared" si="31"/>
        <v>-17024.357762929896</v>
      </c>
      <c r="K225" s="14">
        <v>13435</v>
      </c>
      <c r="L225" s="10">
        <f t="shared" si="32"/>
        <v>4452.397389558233</v>
      </c>
      <c r="M225" s="14">
        <f t="shared" si="42"/>
        <v>8982.602610441767</v>
      </c>
      <c r="N225" s="2">
        <f t="shared" si="33"/>
        <v>-6013.7684394721791</v>
      </c>
      <c r="O225" s="135">
        <f t="shared" si="43"/>
        <v>-23038.126202402076</v>
      </c>
      <c r="P225" s="34">
        <f>O225/'D) Ecrêtage'!C225</f>
        <v>-5.1743194029425839</v>
      </c>
    </row>
    <row r="226" spans="1:16" x14ac:dyDescent="0.25">
      <c r="A226" s="50">
        <f>+'A) Base RI'!A228</f>
        <v>5759</v>
      </c>
      <c r="B226" s="301" t="str">
        <f>+'A) Base RI'!B228</f>
        <v>Premier</v>
      </c>
      <c r="C226" s="315">
        <f>+'D) Ecrêtage'!M226</f>
        <v>4744.6671604938274</v>
      </c>
      <c r="D226" s="292">
        <v>80143</v>
      </c>
      <c r="E226" s="315">
        <v>8659</v>
      </c>
      <c r="F226" s="292">
        <v>25742</v>
      </c>
      <c r="G226" s="315">
        <f t="shared" si="34"/>
        <v>114544</v>
      </c>
      <c r="H226" s="292">
        <f t="shared" si="35"/>
        <v>37957.337283950619</v>
      </c>
      <c r="I226" s="10">
        <f t="shared" si="36"/>
        <v>76586.662716049381</v>
      </c>
      <c r="J226" s="312">
        <f t="shared" si="31"/>
        <v>-51274.054425037873</v>
      </c>
      <c r="K226" s="14">
        <v>31172</v>
      </c>
      <c r="L226" s="10">
        <f t="shared" si="32"/>
        <v>4744.6671604938274</v>
      </c>
      <c r="M226" s="14">
        <f t="shared" si="42"/>
        <v>26427.332839506173</v>
      </c>
      <c r="N226" s="2">
        <f t="shared" si="33"/>
        <v>-17692.852179044887</v>
      </c>
      <c r="O226" s="135">
        <f t="shared" si="43"/>
        <v>-68966.90660408276</v>
      </c>
      <c r="P226" s="34">
        <f>O226/'D) Ecrêtage'!C226</f>
        <v>-14.535667997606106</v>
      </c>
    </row>
    <row r="227" spans="1:16" x14ac:dyDescent="0.25">
      <c r="A227" s="50">
        <f>+'A) Base RI'!A229</f>
        <v>5760</v>
      </c>
      <c r="B227" s="301" t="str">
        <f>+'A) Base RI'!B229</f>
        <v>Rances</v>
      </c>
      <c r="C227" s="315">
        <f>+'D) Ecrêtage'!M227</f>
        <v>11427.8147008547</v>
      </c>
      <c r="D227" s="292">
        <v>101730</v>
      </c>
      <c r="E227" s="315">
        <v>29997</v>
      </c>
      <c r="F227" s="292">
        <v>48427</v>
      </c>
      <c r="G227" s="315">
        <f t="shared" si="34"/>
        <v>180154</v>
      </c>
      <c r="H227" s="292">
        <f t="shared" si="35"/>
        <v>91422.517606837602</v>
      </c>
      <c r="I227" s="10">
        <f t="shared" si="36"/>
        <v>88731.482393162398</v>
      </c>
      <c r="J227" s="312">
        <f t="shared" si="31"/>
        <v>-59404.897616564856</v>
      </c>
      <c r="K227" s="14">
        <v>118551</v>
      </c>
      <c r="L227" s="10">
        <f t="shared" si="32"/>
        <v>11427.8147008547</v>
      </c>
      <c r="M227" s="14">
        <f t="shared" si="42"/>
        <v>107123.18529914531</v>
      </c>
      <c r="N227" s="2">
        <f t="shared" si="33"/>
        <v>-71717.9707069383</v>
      </c>
      <c r="O227" s="135">
        <f t="shared" si="43"/>
        <v>-131122.86832350315</v>
      </c>
      <c r="P227" s="34">
        <f>O227/'D) Ecrêtage'!C227</f>
        <v>-11.47401071472539</v>
      </c>
    </row>
    <row r="228" spans="1:16" x14ac:dyDescent="0.25">
      <c r="A228" s="50">
        <f>+'A) Base RI'!A230</f>
        <v>5761</v>
      </c>
      <c r="B228" s="301" t="str">
        <f>+'A) Base RI'!B230</f>
        <v>Romainmôtier-Envy</v>
      </c>
      <c r="C228" s="315">
        <f>+'D) Ecrêtage'!M228</f>
        <v>14843.375263748598</v>
      </c>
      <c r="D228" s="292">
        <v>163988</v>
      </c>
      <c r="E228" s="315">
        <v>45439</v>
      </c>
      <c r="F228" s="292">
        <v>57255</v>
      </c>
      <c r="G228" s="315">
        <f t="shared" si="34"/>
        <v>266682</v>
      </c>
      <c r="H228" s="292">
        <f t="shared" si="35"/>
        <v>118747.00210998878</v>
      </c>
      <c r="I228" s="10">
        <f t="shared" si="36"/>
        <v>147934.99789001123</v>
      </c>
      <c r="J228" s="312">
        <f t="shared" si="31"/>
        <v>-99041.097551189552</v>
      </c>
      <c r="K228" s="14">
        <v>-68114</v>
      </c>
      <c r="L228" s="10">
        <f t="shared" si="32"/>
        <v>14843.375263748598</v>
      </c>
      <c r="M228" s="14">
        <f t="shared" si="42"/>
        <v>0</v>
      </c>
      <c r="N228" s="2">
        <f t="shared" si="33"/>
        <v>0</v>
      </c>
      <c r="O228" s="135">
        <f t="shared" si="43"/>
        <v>-99041.097551189552</v>
      </c>
      <c r="P228" s="34">
        <f>O228/'D) Ecrêtage'!C228</f>
        <v>-6.6724108089535266</v>
      </c>
    </row>
    <row r="229" spans="1:16" x14ac:dyDescent="0.25">
      <c r="A229" s="50">
        <f>+'A) Base RI'!A231</f>
        <v>5762</v>
      </c>
      <c r="B229" s="301" t="str">
        <f>+'A) Base RI'!B231</f>
        <v>Sergey</v>
      </c>
      <c r="C229" s="315">
        <f>+'D) Ecrêtage'!M229</f>
        <v>3817.1048717948711</v>
      </c>
      <c r="D229" s="292">
        <v>29526</v>
      </c>
      <c r="E229" s="315">
        <v>5649</v>
      </c>
      <c r="F229" s="292">
        <v>14040</v>
      </c>
      <c r="G229" s="315">
        <f t="shared" si="34"/>
        <v>49215</v>
      </c>
      <c r="H229" s="292">
        <f t="shared" si="35"/>
        <v>30536.838974358969</v>
      </c>
      <c r="I229" s="10">
        <f t="shared" si="36"/>
        <v>18678.161025641031</v>
      </c>
      <c r="J229" s="312">
        <f t="shared" si="31"/>
        <v>-12504.854122435136</v>
      </c>
      <c r="K229" s="14">
        <v>13153</v>
      </c>
      <c r="L229" s="10">
        <f t="shared" si="32"/>
        <v>3817.1048717948711</v>
      </c>
      <c r="M229" s="14">
        <f t="shared" si="42"/>
        <v>9335.8951282051294</v>
      </c>
      <c r="N229" s="2">
        <f t="shared" si="33"/>
        <v>-6250.2944760083192</v>
      </c>
      <c r="O229" s="135">
        <f t="shared" si="43"/>
        <v>-18755.148598443455</v>
      </c>
      <c r="P229" s="34">
        <f>O229/'D) Ecrêtage'!C229</f>
        <v>-4.9134486026380637</v>
      </c>
    </row>
    <row r="230" spans="1:16" x14ac:dyDescent="0.25">
      <c r="A230" s="50">
        <f>+'A) Base RI'!A232</f>
        <v>5763</v>
      </c>
      <c r="B230" s="301" t="str">
        <f>+'A) Base RI'!B232</f>
        <v>Valeyres-sous-Rances</v>
      </c>
      <c r="C230" s="315">
        <f>+'D) Ecrêtage'!M230</f>
        <v>21043.479230769233</v>
      </c>
      <c r="D230" s="292">
        <v>281857</v>
      </c>
      <c r="E230" s="315">
        <v>39028</v>
      </c>
      <c r="F230" s="292">
        <v>73772</v>
      </c>
      <c r="G230" s="315">
        <f t="shared" si="34"/>
        <v>394657</v>
      </c>
      <c r="H230" s="292">
        <f t="shared" si="35"/>
        <v>168347.83384615387</v>
      </c>
      <c r="I230" s="10">
        <f t="shared" si="36"/>
        <v>226309.16615384613</v>
      </c>
      <c r="J230" s="312">
        <f t="shared" si="31"/>
        <v>-151511.87022313708</v>
      </c>
      <c r="K230" s="14">
        <v>71974</v>
      </c>
      <c r="L230" s="10">
        <f t="shared" si="32"/>
        <v>21043.479230769233</v>
      </c>
      <c r="M230" s="14">
        <f t="shared" si="42"/>
        <v>50930.520769230767</v>
      </c>
      <c r="N230" s="2">
        <f t="shared" si="33"/>
        <v>-34097.507336219474</v>
      </c>
      <c r="O230" s="135">
        <f t="shared" si="43"/>
        <v>-185609.37755935657</v>
      </c>
      <c r="P230" s="34">
        <f>O230/'D) Ecrêtage'!C230</f>
        <v>-8.8202799320353513</v>
      </c>
    </row>
    <row r="231" spans="1:16" x14ac:dyDescent="0.25">
      <c r="A231" s="50">
        <f>+'A) Base RI'!A233</f>
        <v>5764</v>
      </c>
      <c r="B231" s="301" t="str">
        <f>+'A) Base RI'!B233</f>
        <v>Vallorbe</v>
      </c>
      <c r="C231" s="315">
        <f>+'D) Ecrêtage'!M231</f>
        <v>86289.103835616435</v>
      </c>
      <c r="D231" s="292">
        <v>1886041</v>
      </c>
      <c r="E231" s="315">
        <v>396976</v>
      </c>
      <c r="F231" s="292">
        <v>436328</v>
      </c>
      <c r="G231" s="315">
        <f t="shared" si="34"/>
        <v>2719345</v>
      </c>
      <c r="H231" s="292">
        <f t="shared" si="35"/>
        <v>690312.83068493148</v>
      </c>
      <c r="I231" s="10">
        <f t="shared" si="36"/>
        <v>2029032.1693150685</v>
      </c>
      <c r="J231" s="312">
        <f t="shared" si="31"/>
        <v>-1358418.0611882401</v>
      </c>
      <c r="K231" s="14">
        <v>714645</v>
      </c>
      <c r="L231" s="10">
        <f t="shared" si="32"/>
        <v>86289.103835616435</v>
      </c>
      <c r="M231" s="14">
        <f t="shared" si="42"/>
        <v>628355.89616438351</v>
      </c>
      <c r="N231" s="2">
        <f t="shared" si="33"/>
        <v>-420678.3958935244</v>
      </c>
      <c r="O231" s="135">
        <f t="shared" si="43"/>
        <v>-1779096.4570817645</v>
      </c>
      <c r="P231" s="34">
        <f>O231/'D) Ecrêtage'!C231</f>
        <v>-20.617857620482436</v>
      </c>
    </row>
    <row r="232" spans="1:16" x14ac:dyDescent="0.25">
      <c r="A232" s="50">
        <f>+'A) Base RI'!A234</f>
        <v>5765</v>
      </c>
      <c r="B232" s="301" t="str">
        <f>+'A) Base RI'!B234</f>
        <v>Vaulion</v>
      </c>
      <c r="C232" s="315">
        <f>+'D) Ecrêtage'!M232</f>
        <v>9839.660864197529</v>
      </c>
      <c r="D232" s="292">
        <v>168494</v>
      </c>
      <c r="E232" s="315">
        <v>20122</v>
      </c>
      <c r="F232" s="292">
        <v>51048</v>
      </c>
      <c r="G232" s="315">
        <f t="shared" si="34"/>
        <v>239664</v>
      </c>
      <c r="H232" s="292">
        <f t="shared" si="35"/>
        <v>78717.286913580232</v>
      </c>
      <c r="I232" s="10">
        <f t="shared" si="36"/>
        <v>160946.71308641977</v>
      </c>
      <c r="J232" s="312">
        <f t="shared" si="31"/>
        <v>-107752.31918539629</v>
      </c>
      <c r="K232" s="14">
        <v>57302</v>
      </c>
      <c r="L232" s="10">
        <f t="shared" si="32"/>
        <v>9839.660864197529</v>
      </c>
      <c r="M232" s="14">
        <f t="shared" si="42"/>
        <v>47462.339135802467</v>
      </c>
      <c r="N232" s="2">
        <f t="shared" si="33"/>
        <v>-31775.592168200874</v>
      </c>
      <c r="O232" s="135">
        <f t="shared" si="43"/>
        <v>-139527.91135359716</v>
      </c>
      <c r="P232" s="34">
        <f>O232/'D) Ecrêtage'!C232</f>
        <v>-14.18015450728406</v>
      </c>
    </row>
    <row r="233" spans="1:16" x14ac:dyDescent="0.25">
      <c r="A233" s="50">
        <f>+'A) Base RI'!A235</f>
        <v>5766</v>
      </c>
      <c r="B233" s="301" t="str">
        <f>+'A) Base RI'!B235</f>
        <v>Vuiteboeuf</v>
      </c>
      <c r="C233" s="315">
        <f>+'D) Ecrêtage'!M233</f>
        <v>13336.017235621519</v>
      </c>
      <c r="D233" s="292">
        <v>144848</v>
      </c>
      <c r="E233" s="315">
        <v>59170</v>
      </c>
      <c r="F233" s="292">
        <v>50154</v>
      </c>
      <c r="G233" s="315">
        <f t="shared" si="34"/>
        <v>254172</v>
      </c>
      <c r="H233" s="292">
        <f t="shared" si="35"/>
        <v>106688.13788497215</v>
      </c>
      <c r="I233" s="10">
        <f t="shared" si="36"/>
        <v>147483.86211502785</v>
      </c>
      <c r="J233" s="312">
        <f t="shared" si="31"/>
        <v>-98739.066369006541</v>
      </c>
      <c r="K233" s="14">
        <v>21286</v>
      </c>
      <c r="L233" s="10">
        <f t="shared" si="32"/>
        <v>13336.017235621519</v>
      </c>
      <c r="M233" s="14">
        <f t="shared" si="42"/>
        <v>7949.9827643784811</v>
      </c>
      <c r="N233" s="2">
        <f t="shared" si="33"/>
        <v>-5322.4391099291679</v>
      </c>
      <c r="O233" s="135">
        <f t="shared" si="43"/>
        <v>-104061.50547893571</v>
      </c>
      <c r="P233" s="34">
        <f>O233/'D) Ecrêtage'!C233</f>
        <v>-7.8030422157058625</v>
      </c>
    </row>
    <row r="234" spans="1:16" x14ac:dyDescent="0.25">
      <c r="A234" s="50">
        <f>+'A) Base RI'!A236</f>
        <v>5785</v>
      </c>
      <c r="B234" s="301" t="str">
        <f>+'A) Base RI'!B236</f>
        <v>Corcelles-le-Jorat</v>
      </c>
      <c r="C234" s="315">
        <f>+'D) Ecrêtage'!M234</f>
        <v>15649.981168831173</v>
      </c>
      <c r="D234" s="292">
        <v>113738</v>
      </c>
      <c r="E234" s="315">
        <v>14085</v>
      </c>
      <c r="F234" s="292">
        <v>57038</v>
      </c>
      <c r="G234" s="315">
        <f t="shared" si="34"/>
        <v>184861</v>
      </c>
      <c r="H234" s="292">
        <f t="shared" si="35"/>
        <v>125199.84935064938</v>
      </c>
      <c r="I234" s="10">
        <f t="shared" si="36"/>
        <v>59661.150649350617</v>
      </c>
      <c r="J234" s="312">
        <f t="shared" si="31"/>
        <v>-39942.582389271978</v>
      </c>
      <c r="K234" s="14">
        <v>26887</v>
      </c>
      <c r="L234" s="10">
        <f t="shared" si="32"/>
        <v>15649.981168831173</v>
      </c>
      <c r="M234" s="14">
        <f t="shared" si="42"/>
        <v>11237.018831168827</v>
      </c>
      <c r="N234" s="2">
        <f t="shared" si="33"/>
        <v>-7523.0790152158588</v>
      </c>
      <c r="O234" s="135">
        <f t="shared" si="43"/>
        <v>-47465.661404487837</v>
      </c>
      <c r="P234" s="34">
        <f>O234/'D) Ecrêtage'!C234</f>
        <v>-3.0329532599707809</v>
      </c>
    </row>
    <row r="235" spans="1:16" x14ac:dyDescent="0.25">
      <c r="A235" s="50">
        <f>+'A) Base RI'!A237</f>
        <v>5788</v>
      </c>
      <c r="B235" s="301" t="str">
        <f>+'A) Base RI'!B237</f>
        <v>Essertes</v>
      </c>
      <c r="C235" s="315">
        <f>+'D) Ecrêtage'!M235</f>
        <v>11949.454583333332</v>
      </c>
      <c r="D235" s="292">
        <v>62505</v>
      </c>
      <c r="E235" s="315">
        <v>15892</v>
      </c>
      <c r="F235" s="292">
        <v>39800</v>
      </c>
      <c r="G235" s="315">
        <f t="shared" si="34"/>
        <v>118197</v>
      </c>
      <c r="H235" s="292">
        <f t="shared" si="35"/>
        <v>95595.636666666658</v>
      </c>
      <c r="I235" s="10">
        <f t="shared" si="36"/>
        <v>22601.363333333342</v>
      </c>
      <c r="J235" s="312">
        <f t="shared" si="31"/>
        <v>-15131.40137637228</v>
      </c>
      <c r="K235" s="14">
        <v>-15842</v>
      </c>
      <c r="L235" s="10">
        <f t="shared" si="32"/>
        <v>11949.454583333332</v>
      </c>
      <c r="M235" s="14">
        <f t="shared" si="42"/>
        <v>0</v>
      </c>
      <c r="N235" s="2">
        <f t="shared" si="33"/>
        <v>0</v>
      </c>
      <c r="O235" s="135">
        <f t="shared" si="43"/>
        <v>-15131.40137637228</v>
      </c>
      <c r="P235" s="34">
        <f>O235/'D) Ecrêtage'!C235</f>
        <v>-1.2662838517732025</v>
      </c>
    </row>
    <row r="236" spans="1:16" x14ac:dyDescent="0.25">
      <c r="A236" s="50">
        <f>+'A) Base RI'!A238</f>
        <v>5790</v>
      </c>
      <c r="B236" s="301" t="str">
        <f>+'A) Base RI'!B238</f>
        <v>Maracon</v>
      </c>
      <c r="C236" s="315">
        <f>+'D) Ecrêtage'!M236</f>
        <v>13289.151710526314</v>
      </c>
      <c r="D236" s="292">
        <v>175100</v>
      </c>
      <c r="E236" s="315">
        <v>14606</v>
      </c>
      <c r="F236" s="292">
        <v>57956</v>
      </c>
      <c r="G236" s="315">
        <f t="shared" si="34"/>
        <v>247662</v>
      </c>
      <c r="H236" s="292">
        <f t="shared" si="35"/>
        <v>106313.21368421051</v>
      </c>
      <c r="I236" s="10">
        <f t="shared" si="36"/>
        <v>141348.7863157895</v>
      </c>
      <c r="J236" s="312">
        <f t="shared" si="31"/>
        <v>-94631.690498638985</v>
      </c>
      <c r="K236" s="14">
        <v>17913</v>
      </c>
      <c r="L236" s="10">
        <f t="shared" si="32"/>
        <v>13289.151710526314</v>
      </c>
      <c r="M236" s="14">
        <f t="shared" si="42"/>
        <v>4623.8482894736862</v>
      </c>
      <c r="N236" s="2">
        <f t="shared" si="33"/>
        <v>-3095.6231860708722</v>
      </c>
      <c r="O236" s="135">
        <f t="shared" si="43"/>
        <v>-97727.313684709865</v>
      </c>
      <c r="P236" s="34">
        <f>O236/'D) Ecrêtage'!C236</f>
        <v>-7.3539166241363798</v>
      </c>
    </row>
    <row r="237" spans="1:16" x14ac:dyDescent="0.25">
      <c r="A237" s="50">
        <f>+'A) Base RI'!A239</f>
        <v>5792</v>
      </c>
      <c r="B237" s="301" t="str">
        <f>+'A) Base RI'!B239</f>
        <v>Montpreveyres</v>
      </c>
      <c r="C237" s="315">
        <f>+'D) Ecrêtage'!M237</f>
        <v>18753.372987012986</v>
      </c>
      <c r="D237" s="292">
        <v>229996</v>
      </c>
      <c r="E237" s="315">
        <v>29762</v>
      </c>
      <c r="F237" s="292">
        <v>80273</v>
      </c>
      <c r="G237" s="315">
        <f t="shared" si="34"/>
        <v>340031</v>
      </c>
      <c r="H237" s="292">
        <f t="shared" si="35"/>
        <v>150026.98389610389</v>
      </c>
      <c r="I237" s="10">
        <f t="shared" si="36"/>
        <v>190004.01610389611</v>
      </c>
      <c r="J237" s="312">
        <f t="shared" si="31"/>
        <v>-127205.91180225647</v>
      </c>
      <c r="K237" s="14">
        <v>-4349</v>
      </c>
      <c r="L237" s="10">
        <f t="shared" si="32"/>
        <v>18753.372987012986</v>
      </c>
      <c r="M237" s="14">
        <f t="shared" si="42"/>
        <v>0</v>
      </c>
      <c r="N237" s="2">
        <f t="shared" si="33"/>
        <v>0</v>
      </c>
      <c r="O237" s="135">
        <f t="shared" si="43"/>
        <v>-127205.91180225647</v>
      </c>
      <c r="P237" s="34">
        <f>O237/'D) Ecrêtage'!C237</f>
        <v>-6.7830950672366308</v>
      </c>
    </row>
    <row r="238" spans="1:16" x14ac:dyDescent="0.25">
      <c r="A238" s="50">
        <f>+'A) Base RI'!A240</f>
        <v>5798</v>
      </c>
      <c r="B238" s="301" t="str">
        <f>+'A) Base RI'!B240</f>
        <v>Ropraz</v>
      </c>
      <c r="C238" s="315">
        <f>+'D) Ecrêtage'!M238</f>
        <v>13764.738967741932</v>
      </c>
      <c r="D238" s="292">
        <v>146414</v>
      </c>
      <c r="E238" s="315">
        <v>13779</v>
      </c>
      <c r="F238" s="292">
        <v>59621</v>
      </c>
      <c r="G238" s="315">
        <f t="shared" si="34"/>
        <v>219814</v>
      </c>
      <c r="H238" s="292">
        <f t="shared" si="35"/>
        <v>110117.91174193546</v>
      </c>
      <c r="I238" s="10">
        <f t="shared" si="36"/>
        <v>109696.08825806454</v>
      </c>
      <c r="J238" s="312">
        <f t="shared" si="31"/>
        <v>-73440.505175310172</v>
      </c>
      <c r="K238" s="14">
        <v>-3819</v>
      </c>
      <c r="L238" s="10">
        <f t="shared" si="32"/>
        <v>13764.738967741932</v>
      </c>
      <c r="M238" s="14">
        <f t="shared" si="42"/>
        <v>0</v>
      </c>
      <c r="N238" s="2">
        <f t="shared" si="33"/>
        <v>0</v>
      </c>
      <c r="O238" s="135">
        <f t="shared" si="43"/>
        <v>-73440.505175310172</v>
      </c>
      <c r="P238" s="34">
        <f>O238/'D) Ecrêtage'!C238</f>
        <v>-5.335408491757101</v>
      </c>
    </row>
    <row r="239" spans="1:16" x14ac:dyDescent="0.25">
      <c r="A239" s="50">
        <f>+'A) Base RI'!A241</f>
        <v>5799</v>
      </c>
      <c r="B239" s="301" t="str">
        <f>+'A) Base RI'!B241</f>
        <v>Servion</v>
      </c>
      <c r="C239" s="315">
        <f>+'D) Ecrêtage'!M239</f>
        <v>69335.991449275345</v>
      </c>
      <c r="D239" s="292">
        <v>517166</v>
      </c>
      <c r="E239" s="315">
        <v>87450</v>
      </c>
      <c r="F239" s="292">
        <v>250695</v>
      </c>
      <c r="G239" s="315">
        <f t="shared" si="34"/>
        <v>855311</v>
      </c>
      <c r="H239" s="292">
        <f t="shared" si="35"/>
        <v>554687.93159420276</v>
      </c>
      <c r="I239" s="10">
        <f t="shared" si="36"/>
        <v>300623.06840579724</v>
      </c>
      <c r="J239" s="312">
        <f t="shared" si="31"/>
        <v>-201264.33277305556</v>
      </c>
      <c r="K239" s="14">
        <v>74430</v>
      </c>
      <c r="L239" s="10">
        <f t="shared" si="32"/>
        <v>69335.991449275345</v>
      </c>
      <c r="M239" s="14">
        <f t="shared" si="42"/>
        <v>5094.0085507246549</v>
      </c>
      <c r="N239" s="2">
        <f t="shared" si="33"/>
        <v>-3410.3910838868501</v>
      </c>
      <c r="O239" s="135">
        <f t="shared" si="43"/>
        <v>-204674.72385694241</v>
      </c>
      <c r="P239" s="34">
        <f>O239/'D) Ecrêtage'!C239</f>
        <v>-2.9519261148328404</v>
      </c>
    </row>
    <row r="240" spans="1:16" x14ac:dyDescent="0.25">
      <c r="A240" s="50">
        <f>+'A) Base RI'!A242</f>
        <v>5803</v>
      </c>
      <c r="B240" s="301" t="str">
        <f>+'A) Base RI'!B242</f>
        <v>Vulliens</v>
      </c>
      <c r="C240" s="315">
        <f>+'D) Ecrêtage'!M240</f>
        <v>16619.681923076922</v>
      </c>
      <c r="D240" s="292">
        <v>125207</v>
      </c>
      <c r="E240" s="315">
        <v>15769</v>
      </c>
      <c r="F240" s="292">
        <v>75624</v>
      </c>
      <c r="G240" s="315">
        <f t="shared" si="34"/>
        <v>216600</v>
      </c>
      <c r="H240" s="292">
        <f t="shared" si="35"/>
        <v>132957.45538461537</v>
      </c>
      <c r="I240" s="10">
        <f t="shared" si="36"/>
        <v>83642.544615384628</v>
      </c>
      <c r="J240" s="312">
        <f t="shared" si="31"/>
        <v>-55997.90136774243</v>
      </c>
      <c r="K240" s="14">
        <v>35349</v>
      </c>
      <c r="L240" s="10">
        <f t="shared" si="32"/>
        <v>16619.681923076922</v>
      </c>
      <c r="M240" s="14">
        <f t="shared" si="42"/>
        <v>18729.318076923078</v>
      </c>
      <c r="N240" s="2">
        <f t="shared" si="33"/>
        <v>-12539.103289831099</v>
      </c>
      <c r="O240" s="135">
        <f t="shared" si="43"/>
        <v>-68537.004657573532</v>
      </c>
      <c r="P240" s="34">
        <f>O240/'D) Ecrêtage'!C240</f>
        <v>-4.123845749563225</v>
      </c>
    </row>
    <row r="241" spans="1:16" x14ac:dyDescent="0.25">
      <c r="A241" s="50">
        <f>+'A) Base RI'!A243</f>
        <v>5804</v>
      </c>
      <c r="B241" s="301" t="str">
        <f>+'A) Base RI'!B243</f>
        <v>Jorat-Menthue</v>
      </c>
      <c r="C241" s="315">
        <f>+'D) Ecrêtage'!M241</f>
        <v>47559.531944444454</v>
      </c>
      <c r="D241" s="292">
        <v>689982</v>
      </c>
      <c r="E241" s="315">
        <v>46909</v>
      </c>
      <c r="F241" s="292">
        <v>140438</v>
      </c>
      <c r="G241" s="315">
        <f t="shared" si="34"/>
        <v>877329</v>
      </c>
      <c r="H241" s="292">
        <f t="shared" si="35"/>
        <v>380476.25555555563</v>
      </c>
      <c r="I241" s="10">
        <f t="shared" si="36"/>
        <v>496852.74444444437</v>
      </c>
      <c r="J241" s="312">
        <f t="shared" si="31"/>
        <v>-332638.26567723305</v>
      </c>
      <c r="K241" s="14">
        <v>89434</v>
      </c>
      <c r="L241" s="10">
        <f t="shared" si="32"/>
        <v>47559.531944444454</v>
      </c>
      <c r="M241" s="14">
        <f>IF(K241&gt;L241,K241-L241,0)</f>
        <v>41874.468055555546</v>
      </c>
      <c r="N241" s="2">
        <f t="shared" si="33"/>
        <v>-28034.564739561727</v>
      </c>
      <c r="O241" s="135">
        <f>N241+J241</f>
        <v>-360672.83041679475</v>
      </c>
      <c r="P241" s="34">
        <f>O241/'D) Ecrêtage'!C241</f>
        <v>-7.5836076527856964</v>
      </c>
    </row>
    <row r="242" spans="1:16" x14ac:dyDescent="0.25">
      <c r="A242" s="50">
        <f>+'A) Base RI'!A244</f>
        <v>5805</v>
      </c>
      <c r="B242" s="301" t="str">
        <f>+'A) Base RI'!B244</f>
        <v>Oron</v>
      </c>
      <c r="C242" s="315">
        <f>+'D) Ecrêtage'!M242</f>
        <v>157344.05109354414</v>
      </c>
      <c r="D242" s="292">
        <v>1113782</v>
      </c>
      <c r="E242" s="315">
        <v>418188</v>
      </c>
      <c r="F242" s="292">
        <v>623298</v>
      </c>
      <c r="G242" s="315">
        <f t="shared" si="34"/>
        <v>2155268</v>
      </c>
      <c r="H242" s="292">
        <f t="shared" si="35"/>
        <v>1258752.4087483531</v>
      </c>
      <c r="I242" s="10">
        <f t="shared" si="36"/>
        <v>896515.59125164687</v>
      </c>
      <c r="J242" s="312">
        <f t="shared" si="31"/>
        <v>-600208.803837838</v>
      </c>
      <c r="K242" s="14">
        <v>51366</v>
      </c>
      <c r="L242" s="10">
        <f t="shared" si="32"/>
        <v>157344.05109354414</v>
      </c>
      <c r="M242" s="14">
        <f>IF(K242&gt;L242,K242-L242,0)</f>
        <v>0</v>
      </c>
      <c r="N242" s="2">
        <f t="shared" si="33"/>
        <v>0</v>
      </c>
      <c r="O242" s="135">
        <f>N242+J242</f>
        <v>-600208.803837838</v>
      </c>
      <c r="P242" s="34">
        <f>O242/'D) Ecrêtage'!C242</f>
        <v>-3.8146266075290129</v>
      </c>
    </row>
    <row r="243" spans="1:16" x14ac:dyDescent="0.25">
      <c r="A243" s="50">
        <f>+'A) Base RI'!A245</f>
        <v>5806</v>
      </c>
      <c r="B243" s="301" t="str">
        <f>+'A) Base RI'!B245</f>
        <v>Jorat-Mézières</v>
      </c>
      <c r="C243" s="315">
        <f>+'D) Ecrêtage'!M243</f>
        <v>90571.355131578952</v>
      </c>
      <c r="D243" s="292">
        <v>754154</v>
      </c>
      <c r="E243" s="315">
        <v>130899</v>
      </c>
      <c r="F243" s="292">
        <v>394269</v>
      </c>
      <c r="G243" s="315">
        <f t="shared" si="34"/>
        <v>1279322</v>
      </c>
      <c r="H243" s="292">
        <f t="shared" si="35"/>
        <v>724570.84105263161</v>
      </c>
      <c r="I243" s="10">
        <f t="shared" si="36"/>
        <v>554751.15894736839</v>
      </c>
      <c r="J243" s="312">
        <f t="shared" ref="J243" si="44">-I243*J$4</f>
        <v>-371400.71270215366</v>
      </c>
      <c r="K243" s="14">
        <v>80119</v>
      </c>
      <c r="L243" s="10">
        <f t="shared" ref="L243" si="45">C243*M$4</f>
        <v>90571.355131578952</v>
      </c>
      <c r="M243" s="14">
        <f>IF(K243&gt;L243,K243-L243,0)</f>
        <v>0</v>
      </c>
      <c r="N243" s="2">
        <f t="shared" ref="N243" si="46">-M243*N$4</f>
        <v>0</v>
      </c>
      <c r="O243" s="135">
        <f>N243+J243</f>
        <v>-371400.71270215366</v>
      </c>
      <c r="P243" s="34">
        <f>O243/'D) Ecrêtage'!C243</f>
        <v>-4.1006421087836822</v>
      </c>
    </row>
    <row r="244" spans="1:16" x14ac:dyDescent="0.25">
      <c r="A244" s="50">
        <f>+'A) Base RI'!A246</f>
        <v>5812</v>
      </c>
      <c r="B244" s="301" t="str">
        <f>+'A) Base RI'!B246</f>
        <v>Champtauroz</v>
      </c>
      <c r="C244" s="315">
        <f>+'D) Ecrêtage'!M244</f>
        <v>2425.1270779220786</v>
      </c>
      <c r="D244" s="292">
        <v>36176</v>
      </c>
      <c r="E244" s="315">
        <v>4263</v>
      </c>
      <c r="F244" s="292">
        <v>16927</v>
      </c>
      <c r="G244" s="315">
        <f t="shared" si="34"/>
        <v>57366</v>
      </c>
      <c r="H244" s="292">
        <f t="shared" si="35"/>
        <v>19401.016623376629</v>
      </c>
      <c r="I244" s="10">
        <f t="shared" si="36"/>
        <v>37964.983376623371</v>
      </c>
      <c r="J244" s="312">
        <f t="shared" si="31"/>
        <v>-25417.201309787775</v>
      </c>
      <c r="K244" s="14">
        <v>-256</v>
      </c>
      <c r="L244" s="10">
        <f t="shared" si="32"/>
        <v>2425.1270779220786</v>
      </c>
      <c r="M244" s="14">
        <f>IF(K244&gt;L244,K244-L244,0)</f>
        <v>0</v>
      </c>
      <c r="N244" s="2">
        <f t="shared" si="33"/>
        <v>0</v>
      </c>
      <c r="O244" s="135">
        <f>N244+J244</f>
        <v>-25417.201309787775</v>
      </c>
      <c r="P244" s="34">
        <f>O244/'D) Ecrêtage'!C244</f>
        <v>-10.480770901113353</v>
      </c>
    </row>
    <row r="245" spans="1:16" x14ac:dyDescent="0.25">
      <c r="A245" s="50">
        <f>+'A) Base RI'!A247</f>
        <v>5813</v>
      </c>
      <c r="B245" s="301" t="str">
        <f>+'A) Base RI'!B247</f>
        <v>Chevroux</v>
      </c>
      <c r="C245" s="315">
        <f>+'D) Ecrêtage'!M245</f>
        <v>13114.094904761907</v>
      </c>
      <c r="D245" s="292">
        <v>177227</v>
      </c>
      <c r="E245" s="315">
        <v>23479</v>
      </c>
      <c r="F245" s="292">
        <v>25973</v>
      </c>
      <c r="G245" s="315">
        <f t="shared" si="34"/>
        <v>226679</v>
      </c>
      <c r="H245" s="292">
        <f t="shared" si="35"/>
        <v>104912.75923809526</v>
      </c>
      <c r="I245" s="10">
        <f t="shared" si="36"/>
        <v>121766.24076190474</v>
      </c>
      <c r="J245" s="312">
        <f t="shared" si="31"/>
        <v>-81521.359392642669</v>
      </c>
      <c r="K245" s="14">
        <v>7048</v>
      </c>
      <c r="L245" s="10">
        <f t="shared" si="32"/>
        <v>13114.094904761907</v>
      </c>
      <c r="M245" s="14">
        <f t="shared" si="42"/>
        <v>0</v>
      </c>
      <c r="N245" s="2">
        <f t="shared" si="33"/>
        <v>0</v>
      </c>
      <c r="O245" s="135">
        <f t="shared" si="43"/>
        <v>-81521.359392642669</v>
      </c>
      <c r="P245" s="34">
        <f>O245/'D) Ecrêtage'!C245</f>
        <v>-6.2163161075676792</v>
      </c>
    </row>
    <row r="246" spans="1:16" x14ac:dyDescent="0.25">
      <c r="A246" s="50">
        <f>+'A) Base RI'!A248</f>
        <v>5816</v>
      </c>
      <c r="B246" s="301" t="str">
        <f>+'A) Base RI'!B248</f>
        <v>Corcelles-près-Payerne</v>
      </c>
      <c r="C246" s="315">
        <f>+'D) Ecrêtage'!M246</f>
        <v>56247.882400793642</v>
      </c>
      <c r="D246" s="292">
        <v>574438</v>
      </c>
      <c r="E246" s="315">
        <v>203817</v>
      </c>
      <c r="F246" s="292">
        <v>163870</v>
      </c>
      <c r="G246" s="315">
        <f t="shared" si="34"/>
        <v>942125</v>
      </c>
      <c r="H246" s="292">
        <f t="shared" si="35"/>
        <v>449983.05920634913</v>
      </c>
      <c r="I246" s="10">
        <f t="shared" si="36"/>
        <v>492141.94079365087</v>
      </c>
      <c r="J246" s="312">
        <f t="shared" si="31"/>
        <v>-329484.42668999336</v>
      </c>
      <c r="K246" s="14">
        <v>40128</v>
      </c>
      <c r="L246" s="10">
        <f t="shared" si="32"/>
        <v>56247.882400793642</v>
      </c>
      <c r="M246" s="14">
        <f t="shared" si="42"/>
        <v>0</v>
      </c>
      <c r="N246" s="2">
        <f t="shared" si="33"/>
        <v>0</v>
      </c>
      <c r="O246" s="135">
        <f t="shared" si="43"/>
        <v>-329484.42668999336</v>
      </c>
      <c r="P246" s="34">
        <f>O246/'D) Ecrêtage'!C246</f>
        <v>-5.8577214399336111</v>
      </c>
    </row>
    <row r="247" spans="1:16" x14ac:dyDescent="0.25">
      <c r="A247" s="50">
        <f>+'A) Base RI'!A249</f>
        <v>5817</v>
      </c>
      <c r="B247" s="301" t="str">
        <f>+'A) Base RI'!B249</f>
        <v>Grandcour</v>
      </c>
      <c r="C247" s="315">
        <f>+'D) Ecrêtage'!M247</f>
        <v>23573.392337662339</v>
      </c>
      <c r="D247" s="292">
        <v>224724</v>
      </c>
      <c r="E247" s="315">
        <v>29640</v>
      </c>
      <c r="F247" s="292">
        <v>71273</v>
      </c>
      <c r="G247" s="315">
        <f t="shared" si="34"/>
        <v>325637</v>
      </c>
      <c r="H247" s="292">
        <f t="shared" si="35"/>
        <v>188587.13870129871</v>
      </c>
      <c r="I247" s="10">
        <f t="shared" si="36"/>
        <v>137049.86129870129</v>
      </c>
      <c r="J247" s="312">
        <f t="shared" si="31"/>
        <v>-91753.600404642159</v>
      </c>
      <c r="K247" s="14">
        <v>73946</v>
      </c>
      <c r="L247" s="10">
        <f t="shared" si="32"/>
        <v>23573.392337662339</v>
      </c>
      <c r="M247" s="14">
        <f t="shared" si="42"/>
        <v>50372.607662337658</v>
      </c>
      <c r="N247" s="2">
        <f t="shared" si="33"/>
        <v>-33723.98972893921</v>
      </c>
      <c r="O247" s="135">
        <f t="shared" si="43"/>
        <v>-125477.59013358137</v>
      </c>
      <c r="P247" s="34">
        <f>O247/'D) Ecrêtage'!C247</f>
        <v>-5.322848249257297</v>
      </c>
    </row>
    <row r="248" spans="1:16" x14ac:dyDescent="0.25">
      <c r="A248" s="50">
        <f>+'A) Base RI'!A250</f>
        <v>5819</v>
      </c>
      <c r="B248" s="301" t="str">
        <f>+'A) Base RI'!B250</f>
        <v>Henniez</v>
      </c>
      <c r="C248" s="315">
        <f>+'D) Ecrêtage'!M248</f>
        <v>13558.497971014494</v>
      </c>
      <c r="D248" s="292">
        <v>124041</v>
      </c>
      <c r="E248" s="315">
        <v>29890</v>
      </c>
      <c r="F248" s="292">
        <v>60759</v>
      </c>
      <c r="G248" s="315">
        <f t="shared" si="34"/>
        <v>214690</v>
      </c>
      <c r="H248" s="292">
        <f t="shared" si="35"/>
        <v>108467.98376811596</v>
      </c>
      <c r="I248" s="10">
        <f t="shared" si="36"/>
        <v>106222.01623188404</v>
      </c>
      <c r="J248" s="312">
        <f t="shared" si="31"/>
        <v>-71114.646444432845</v>
      </c>
      <c r="K248" s="14">
        <v>0</v>
      </c>
      <c r="L248" s="10">
        <f t="shared" si="32"/>
        <v>13558.497971014494</v>
      </c>
      <c r="M248" s="14">
        <f t="shared" si="42"/>
        <v>0</v>
      </c>
      <c r="N248" s="2">
        <f t="shared" si="33"/>
        <v>0</v>
      </c>
      <c r="O248" s="135">
        <f t="shared" si="43"/>
        <v>-71114.646444432845</v>
      </c>
      <c r="P248" s="34">
        <f>O248/'D) Ecrêtage'!C248</f>
        <v>-5.2450239397064866</v>
      </c>
    </row>
    <row r="249" spans="1:16" x14ac:dyDescent="0.25">
      <c r="A249" s="50">
        <f>+'A) Base RI'!A251</f>
        <v>5821</v>
      </c>
      <c r="B249" s="301" t="str">
        <f>+'A) Base RI'!B251</f>
        <v>Missy</v>
      </c>
      <c r="C249" s="315">
        <f>+'D) Ecrêtage'!M249</f>
        <v>8603.5648611111101</v>
      </c>
      <c r="D249" s="292">
        <v>59177</v>
      </c>
      <c r="E249" s="315">
        <v>11723</v>
      </c>
      <c r="F249" s="292">
        <v>23839</v>
      </c>
      <c r="G249" s="315">
        <f t="shared" si="34"/>
        <v>94739</v>
      </c>
      <c r="H249" s="292">
        <f t="shared" si="35"/>
        <v>68828.518888888881</v>
      </c>
      <c r="I249" s="10">
        <f t="shared" si="36"/>
        <v>25910.481111111119</v>
      </c>
      <c r="J249" s="312">
        <f t="shared" si="31"/>
        <v>-17346.82478064972</v>
      </c>
      <c r="K249" s="14">
        <v>0</v>
      </c>
      <c r="L249" s="10">
        <f t="shared" si="32"/>
        <v>8603.5648611111101</v>
      </c>
      <c r="M249" s="14">
        <f t="shared" si="42"/>
        <v>0</v>
      </c>
      <c r="N249" s="2">
        <f t="shared" si="33"/>
        <v>0</v>
      </c>
      <c r="O249" s="135">
        <f t="shared" si="43"/>
        <v>-17346.82478064972</v>
      </c>
      <c r="P249" s="34">
        <f>O249/'D) Ecrêtage'!C249</f>
        <v>-2.0162368809537234</v>
      </c>
    </row>
    <row r="250" spans="1:16" x14ac:dyDescent="0.25">
      <c r="A250" s="50">
        <f>+'A) Base RI'!A252</f>
        <v>5822</v>
      </c>
      <c r="B250" s="301" t="str">
        <f>+'A) Base RI'!B252</f>
        <v>Payerne</v>
      </c>
      <c r="C250" s="315">
        <f>+'D) Ecrêtage'!M250</f>
        <v>249319.03186666669</v>
      </c>
      <c r="D250" s="292">
        <v>2285698</v>
      </c>
      <c r="E250" s="315">
        <v>808942</v>
      </c>
      <c r="F250" s="292">
        <v>678889</v>
      </c>
      <c r="G250" s="315">
        <f t="shared" si="34"/>
        <v>3773529</v>
      </c>
      <c r="H250" s="292">
        <f t="shared" si="35"/>
        <v>1994552.2549333335</v>
      </c>
      <c r="I250" s="10">
        <f t="shared" si="36"/>
        <v>1778976.7450666665</v>
      </c>
      <c r="J250" s="312">
        <f t="shared" si="31"/>
        <v>-1191008.2932535203</v>
      </c>
      <c r="K250" s="14">
        <v>155788</v>
      </c>
      <c r="L250" s="10">
        <f t="shared" si="32"/>
        <v>249319.03186666669</v>
      </c>
      <c r="M250" s="14">
        <f t="shared" si="42"/>
        <v>0</v>
      </c>
      <c r="N250" s="2">
        <f t="shared" si="33"/>
        <v>0</v>
      </c>
      <c r="O250" s="135">
        <f t="shared" si="43"/>
        <v>-1191008.2932535203</v>
      </c>
      <c r="P250" s="34">
        <f>O250/'D) Ecrêtage'!C250</f>
        <v>-4.7770452353210624</v>
      </c>
    </row>
    <row r="251" spans="1:16" x14ac:dyDescent="0.25">
      <c r="A251" s="50">
        <f>+'A) Base RI'!A253</f>
        <v>5827</v>
      </c>
      <c r="B251" s="301" t="str">
        <f>+'A) Base RI'!B253</f>
        <v>Trey</v>
      </c>
      <c r="C251" s="315">
        <f>+'D) Ecrêtage'!M251</f>
        <v>7228.8600000000006</v>
      </c>
      <c r="D251" s="292">
        <v>94636</v>
      </c>
      <c r="E251" s="315">
        <v>8925</v>
      </c>
      <c r="F251" s="292">
        <v>24250</v>
      </c>
      <c r="G251" s="315">
        <f t="shared" si="34"/>
        <v>127811</v>
      </c>
      <c r="H251" s="292">
        <f t="shared" si="35"/>
        <v>57830.880000000005</v>
      </c>
      <c r="I251" s="10">
        <f t="shared" si="36"/>
        <v>69980.12</v>
      </c>
      <c r="J251" s="312">
        <f t="shared" si="31"/>
        <v>-46851.035863177138</v>
      </c>
      <c r="K251" s="14">
        <v>13212</v>
      </c>
      <c r="L251" s="10">
        <f t="shared" si="32"/>
        <v>7228.8600000000006</v>
      </c>
      <c r="M251" s="14">
        <f t="shared" si="42"/>
        <v>5983.1399999999994</v>
      </c>
      <c r="N251" s="2">
        <f t="shared" si="33"/>
        <v>-4005.6562737304489</v>
      </c>
      <c r="O251" s="135">
        <f t="shared" si="43"/>
        <v>-50856.692136907586</v>
      </c>
      <c r="P251" s="34">
        <f>O251/'D) Ecrêtage'!C251</f>
        <v>-7.0352299168759087</v>
      </c>
    </row>
    <row r="252" spans="1:16" x14ac:dyDescent="0.25">
      <c r="A252" s="50">
        <f>+'A) Base RI'!A254</f>
        <v>5828</v>
      </c>
      <c r="B252" s="301" t="str">
        <f>+'A) Base RI'!B254</f>
        <v>Treytorrens (Payerne)</v>
      </c>
      <c r="C252" s="315">
        <f>+'D) Ecrêtage'!M252</f>
        <v>2672.2867063492063</v>
      </c>
      <c r="D252" s="292">
        <v>48080</v>
      </c>
      <c r="E252" s="315">
        <v>4063</v>
      </c>
      <c r="F252" s="292">
        <v>18846</v>
      </c>
      <c r="G252" s="315">
        <f t="shared" si="34"/>
        <v>70989</v>
      </c>
      <c r="H252" s="292">
        <f t="shared" si="35"/>
        <v>21378.29365079365</v>
      </c>
      <c r="I252" s="10">
        <f t="shared" si="36"/>
        <v>49610.706349206346</v>
      </c>
      <c r="J252" s="312">
        <f t="shared" si="31"/>
        <v>-33213.903925346465</v>
      </c>
      <c r="K252" s="14">
        <v>4093</v>
      </c>
      <c r="L252" s="10">
        <f t="shared" si="32"/>
        <v>2672.2867063492063</v>
      </c>
      <c r="M252" s="14">
        <f t="shared" si="42"/>
        <v>1420.7132936507937</v>
      </c>
      <c r="N252" s="2">
        <f t="shared" si="33"/>
        <v>-951.15426312681166</v>
      </c>
      <c r="O252" s="135">
        <f t="shared" si="43"/>
        <v>-34165.058188473275</v>
      </c>
      <c r="P252" s="34">
        <f>O252/'D) Ecrêtage'!C252</f>
        <v>-12.784952343361576</v>
      </c>
    </row>
    <row r="253" spans="1:16" x14ac:dyDescent="0.25">
      <c r="A253" s="50">
        <f>+'A) Base RI'!A255</f>
        <v>5830</v>
      </c>
      <c r="B253" s="301" t="str">
        <f>+'A) Base RI'!B255</f>
        <v>Villarzel</v>
      </c>
      <c r="C253" s="315">
        <f>+'D) Ecrêtage'!M253</f>
        <v>12137.70417721519</v>
      </c>
      <c r="D253" s="292">
        <v>134170</v>
      </c>
      <c r="E253" s="315">
        <v>20831</v>
      </c>
      <c r="F253" s="292">
        <v>70746</v>
      </c>
      <c r="G253" s="315">
        <f t="shared" si="34"/>
        <v>225747</v>
      </c>
      <c r="H253" s="292">
        <f t="shared" si="35"/>
        <v>97101.633417721518</v>
      </c>
      <c r="I253" s="10">
        <f t="shared" si="36"/>
        <v>128645.36658227848</v>
      </c>
      <c r="J253" s="312">
        <f t="shared" si="31"/>
        <v>-86126.869793562786</v>
      </c>
      <c r="K253" s="14">
        <v>4551</v>
      </c>
      <c r="L253" s="10">
        <f t="shared" si="32"/>
        <v>12137.70417721519</v>
      </c>
      <c r="M253" s="14">
        <f t="shared" si="42"/>
        <v>0</v>
      </c>
      <c r="N253" s="2">
        <f t="shared" si="33"/>
        <v>0</v>
      </c>
      <c r="O253" s="135">
        <f t="shared" si="43"/>
        <v>-86126.869793562786</v>
      </c>
      <c r="P253" s="34">
        <f>O253/'D) Ecrêtage'!C253</f>
        <v>-7.095812234017</v>
      </c>
    </row>
    <row r="254" spans="1:16" x14ac:dyDescent="0.25">
      <c r="A254" s="50">
        <f>+'A) Base RI'!A256</f>
        <v>5831</v>
      </c>
      <c r="B254" s="301" t="str">
        <f>+'A) Base RI'!B256</f>
        <v>Valbroye</v>
      </c>
      <c r="C254" s="315">
        <f>+'D) Ecrêtage'!M254</f>
        <v>85960.311415525095</v>
      </c>
      <c r="D254" s="292">
        <v>980264</v>
      </c>
      <c r="E254" s="315">
        <v>252690</v>
      </c>
      <c r="F254" s="292">
        <v>462877</v>
      </c>
      <c r="G254" s="315">
        <f t="shared" si="34"/>
        <v>1695831</v>
      </c>
      <c r="H254" s="292">
        <f t="shared" si="35"/>
        <v>687682.49132420076</v>
      </c>
      <c r="I254" s="10">
        <f t="shared" si="36"/>
        <v>1008148.5086757992</v>
      </c>
      <c r="J254" s="312">
        <f t="shared" ref="J254:J313" si="47">-I254*J$4</f>
        <v>-674945.99802598823</v>
      </c>
      <c r="K254" s="14">
        <v>59568</v>
      </c>
      <c r="L254" s="10">
        <f t="shared" ref="L254:L313" si="48">C254*M$4</f>
        <v>85960.311415525095</v>
      </c>
      <c r="M254" s="14">
        <f>IF(K254&gt;L254,K254-L254,0)</f>
        <v>0</v>
      </c>
      <c r="N254" s="2">
        <f t="shared" ref="N254:N313" si="49">-M254*N$4</f>
        <v>0</v>
      </c>
      <c r="O254" s="135">
        <f>N254+J254</f>
        <v>-674945.99802598823</v>
      </c>
      <c r="P254" s="34">
        <f>O254/'D) Ecrêtage'!C254</f>
        <v>-7.8518328623003075</v>
      </c>
    </row>
    <row r="255" spans="1:16" x14ac:dyDescent="0.25">
      <c r="A255" s="50">
        <f>+'A) Base RI'!A257</f>
        <v>5841</v>
      </c>
      <c r="B255" s="301" t="str">
        <f>+'A) Base RI'!B257</f>
        <v>Château-d'Oex</v>
      </c>
      <c r="C255" s="315">
        <f>+'D) Ecrêtage'!M255</f>
        <v>118196.91686746987</v>
      </c>
      <c r="D255" s="292">
        <v>3010250</v>
      </c>
      <c r="E255" s="315">
        <v>233301</v>
      </c>
      <c r="F255" s="292">
        <v>382367</v>
      </c>
      <c r="G255" s="315">
        <f t="shared" si="34"/>
        <v>3625918</v>
      </c>
      <c r="H255" s="292">
        <f t="shared" si="35"/>
        <v>945575.33493975899</v>
      </c>
      <c r="I255" s="10">
        <f t="shared" si="36"/>
        <v>2680342.6650602408</v>
      </c>
      <c r="J255" s="312">
        <f t="shared" si="47"/>
        <v>-1794464.346822228</v>
      </c>
      <c r="K255" s="14">
        <v>45305</v>
      </c>
      <c r="L255" s="10">
        <f t="shared" si="48"/>
        <v>118196.91686746987</v>
      </c>
      <c r="M255" s="14">
        <f>IF(K255&gt;L255,K255-L255,0)</f>
        <v>0</v>
      </c>
      <c r="N255" s="2">
        <f t="shared" si="49"/>
        <v>0</v>
      </c>
      <c r="O255" s="135">
        <f>N255+J255</f>
        <v>-1794464.346822228</v>
      </c>
      <c r="P255" s="34">
        <f>O255/'D) Ecrêtage'!C255</f>
        <v>-15.181989466225239</v>
      </c>
    </row>
    <row r="256" spans="1:16" x14ac:dyDescent="0.25">
      <c r="A256" s="50">
        <f>+'A) Base RI'!A258</f>
        <v>5842</v>
      </c>
      <c r="B256" s="301" t="str">
        <f>+'A) Base RI'!B258</f>
        <v>Rossinière</v>
      </c>
      <c r="C256" s="315">
        <f>+'D) Ecrêtage'!M256</f>
        <v>16178.883744855966</v>
      </c>
      <c r="D256" s="292">
        <v>253284</v>
      </c>
      <c r="E256" s="315">
        <v>37037</v>
      </c>
      <c r="F256" s="292">
        <v>73000</v>
      </c>
      <c r="G256" s="315">
        <f t="shared" si="34"/>
        <v>363321</v>
      </c>
      <c r="H256" s="292">
        <f t="shared" si="35"/>
        <v>129431.06995884773</v>
      </c>
      <c r="I256" s="10">
        <f t="shared" si="36"/>
        <v>233889.93004115229</v>
      </c>
      <c r="J256" s="312">
        <f t="shared" si="47"/>
        <v>-156587.12074792123</v>
      </c>
      <c r="K256" s="14">
        <v>3177</v>
      </c>
      <c r="L256" s="10">
        <f t="shared" si="48"/>
        <v>16178.883744855966</v>
      </c>
      <c r="M256" s="14">
        <f t="shared" si="42"/>
        <v>0</v>
      </c>
      <c r="N256" s="2">
        <f t="shared" si="49"/>
        <v>0</v>
      </c>
      <c r="O256" s="135">
        <f t="shared" si="43"/>
        <v>-156587.12074792123</v>
      </c>
      <c r="P256" s="34">
        <f>O256/'D) Ecrêtage'!C256</f>
        <v>-9.678487293519721</v>
      </c>
    </row>
    <row r="257" spans="1:16" x14ac:dyDescent="0.25">
      <c r="A257" s="50">
        <f>+'A) Base RI'!A259</f>
        <v>5843</v>
      </c>
      <c r="B257" s="301" t="str">
        <f>+'A) Base RI'!B259</f>
        <v>Rougemont</v>
      </c>
      <c r="C257" s="315">
        <f>+'D) Ecrêtage'!M257</f>
        <v>85447.281802796962</v>
      </c>
      <c r="D257" s="292">
        <v>829757</v>
      </c>
      <c r="E257" s="315">
        <v>59939</v>
      </c>
      <c r="F257" s="292">
        <v>85439</v>
      </c>
      <c r="G257" s="315">
        <f t="shared" si="34"/>
        <v>975135</v>
      </c>
      <c r="H257" s="292">
        <f t="shared" si="35"/>
        <v>683578.2544223757</v>
      </c>
      <c r="I257" s="10">
        <f t="shared" si="36"/>
        <v>291556.7455776243</v>
      </c>
      <c r="J257" s="312">
        <f t="shared" si="47"/>
        <v>-195194.51443079105</v>
      </c>
      <c r="K257" s="14">
        <v>-16936</v>
      </c>
      <c r="L257" s="10">
        <f t="shared" si="48"/>
        <v>85447.281802796962</v>
      </c>
      <c r="M257" s="14">
        <f t="shared" si="42"/>
        <v>0</v>
      </c>
      <c r="N257" s="2">
        <f t="shared" si="49"/>
        <v>0</v>
      </c>
      <c r="O257" s="135">
        <f t="shared" si="43"/>
        <v>-195194.51443079105</v>
      </c>
      <c r="P257" s="34">
        <f>O257/'D) Ecrêtage'!C257</f>
        <v>-2.0223632071638806</v>
      </c>
    </row>
    <row r="258" spans="1:16" x14ac:dyDescent="0.25">
      <c r="A258" s="50">
        <f>+'A) Base RI'!A260</f>
        <v>5851</v>
      </c>
      <c r="B258" s="301" t="str">
        <f>+'A) Base RI'!B260</f>
        <v>Allaman</v>
      </c>
      <c r="C258" s="315">
        <f>+'D) Ecrêtage'!M258</f>
        <v>28536.04056416071</v>
      </c>
      <c r="D258" s="292">
        <v>113868</v>
      </c>
      <c r="E258" s="315">
        <v>30903</v>
      </c>
      <c r="F258" s="292">
        <v>44493</v>
      </c>
      <c r="G258" s="315">
        <f t="shared" si="34"/>
        <v>189264</v>
      </c>
      <c r="H258" s="292">
        <f t="shared" si="35"/>
        <v>228288.32451328568</v>
      </c>
      <c r="I258" s="10">
        <f t="shared" si="36"/>
        <v>0</v>
      </c>
      <c r="J258" s="312">
        <f t="shared" si="47"/>
        <v>0</v>
      </c>
      <c r="K258" s="14">
        <v>0</v>
      </c>
      <c r="L258" s="10">
        <f t="shared" si="48"/>
        <v>28536.04056416071</v>
      </c>
      <c r="M258" s="14">
        <f t="shared" si="42"/>
        <v>0</v>
      </c>
      <c r="N258" s="2">
        <f t="shared" si="49"/>
        <v>0</v>
      </c>
      <c r="O258" s="135">
        <f t="shared" si="43"/>
        <v>0</v>
      </c>
      <c r="P258" s="34">
        <f>O258/'D) Ecrêtage'!C258</f>
        <v>0</v>
      </c>
    </row>
    <row r="259" spans="1:16" x14ac:dyDescent="0.25">
      <c r="A259" s="50">
        <f>+'A) Base RI'!A261</f>
        <v>5852</v>
      </c>
      <c r="B259" s="301" t="str">
        <f>+'A) Base RI'!B261</f>
        <v>Bursinel</v>
      </c>
      <c r="C259" s="315">
        <f>+'D) Ecrêtage'!M259</f>
        <v>36961.550510972142</v>
      </c>
      <c r="D259" s="292">
        <v>237348</v>
      </c>
      <c r="E259" s="315">
        <v>13165</v>
      </c>
      <c r="F259" s="292">
        <v>39050</v>
      </c>
      <c r="G259" s="315">
        <f t="shared" si="34"/>
        <v>289563</v>
      </c>
      <c r="H259" s="292">
        <f t="shared" si="35"/>
        <v>295692.40408777713</v>
      </c>
      <c r="I259" s="10">
        <f t="shared" si="36"/>
        <v>0</v>
      </c>
      <c r="J259" s="312">
        <f t="shared" si="47"/>
        <v>0</v>
      </c>
      <c r="K259" s="14">
        <v>4672</v>
      </c>
      <c r="L259" s="10">
        <f t="shared" si="48"/>
        <v>36961.550510972142</v>
      </c>
      <c r="M259" s="14">
        <f t="shared" si="42"/>
        <v>0</v>
      </c>
      <c r="N259" s="2">
        <f t="shared" si="49"/>
        <v>0</v>
      </c>
      <c r="O259" s="135">
        <f t="shared" si="43"/>
        <v>0</v>
      </c>
      <c r="P259" s="34">
        <f>O259/'D) Ecrêtage'!C259</f>
        <v>0</v>
      </c>
    </row>
    <row r="260" spans="1:16" x14ac:dyDescent="0.25">
      <c r="A260" s="50">
        <f>+'A) Base RI'!A262</f>
        <v>5853</v>
      </c>
      <c r="B260" s="301" t="str">
        <f>+'A) Base RI'!B262</f>
        <v>Bursins</v>
      </c>
      <c r="C260" s="315">
        <f>+'D) Ecrêtage'!M260</f>
        <v>36845.197464788725</v>
      </c>
      <c r="D260" s="292">
        <v>216587</v>
      </c>
      <c r="E260" s="315">
        <v>37369</v>
      </c>
      <c r="F260" s="292">
        <v>60347</v>
      </c>
      <c r="G260" s="315">
        <f t="shared" si="34"/>
        <v>314303</v>
      </c>
      <c r="H260" s="292">
        <f t="shared" si="35"/>
        <v>294761.5797183098</v>
      </c>
      <c r="I260" s="10">
        <f t="shared" si="36"/>
        <v>19541.420281690196</v>
      </c>
      <c r="J260" s="312">
        <f t="shared" si="47"/>
        <v>-13082.798120878966</v>
      </c>
      <c r="K260" s="14">
        <v>49751</v>
      </c>
      <c r="L260" s="10">
        <f t="shared" si="48"/>
        <v>36845.197464788725</v>
      </c>
      <c r="M260" s="14">
        <f t="shared" si="42"/>
        <v>12905.802535211275</v>
      </c>
      <c r="N260" s="2">
        <f t="shared" si="49"/>
        <v>-8640.3140980647913</v>
      </c>
      <c r="O260" s="135">
        <f t="shared" si="43"/>
        <v>-21723.112218943759</v>
      </c>
      <c r="P260" s="34">
        <f>O260/'D) Ecrêtage'!C260</f>
        <v>-0.58957784768838728</v>
      </c>
    </row>
    <row r="261" spans="1:16" x14ac:dyDescent="0.25">
      <c r="A261" s="50">
        <f>+'A) Base RI'!A263</f>
        <v>5854</v>
      </c>
      <c r="B261" s="301" t="str">
        <f>+'A) Base RI'!B263</f>
        <v>Burtigny</v>
      </c>
      <c r="C261" s="315">
        <f>+'D) Ecrêtage'!M261</f>
        <v>15320.932833333329</v>
      </c>
      <c r="D261" s="292">
        <v>87269</v>
      </c>
      <c r="E261" s="315">
        <v>9739</v>
      </c>
      <c r="F261" s="292">
        <v>41743</v>
      </c>
      <c r="G261" s="315">
        <f t="shared" si="34"/>
        <v>138751</v>
      </c>
      <c r="H261" s="292">
        <f t="shared" si="35"/>
        <v>122567.46266666663</v>
      </c>
      <c r="I261" s="10">
        <f t="shared" si="36"/>
        <v>16183.53733333337</v>
      </c>
      <c r="J261" s="312">
        <f t="shared" si="47"/>
        <v>-10834.726890966576</v>
      </c>
      <c r="K261" s="14">
        <v>3403</v>
      </c>
      <c r="L261" s="10">
        <f t="shared" si="48"/>
        <v>15320.932833333329</v>
      </c>
      <c r="M261" s="14">
        <f t="shared" si="42"/>
        <v>0</v>
      </c>
      <c r="N261" s="2">
        <f t="shared" si="49"/>
        <v>0</v>
      </c>
      <c r="O261" s="135">
        <f t="shared" si="43"/>
        <v>-10834.726890966576</v>
      </c>
      <c r="P261" s="34">
        <f>O261/'D) Ecrêtage'!C261</f>
        <v>-0.70718454344984538</v>
      </c>
    </row>
    <row r="262" spans="1:16" x14ac:dyDescent="0.25">
      <c r="A262" s="50">
        <f>+'A) Base RI'!A264</f>
        <v>5855</v>
      </c>
      <c r="B262" s="301" t="str">
        <f>+'A) Base RI'!B264</f>
        <v>Dully</v>
      </c>
      <c r="C262" s="315">
        <f>+'D) Ecrêtage'!M262</f>
        <v>76995.87834963089</v>
      </c>
      <c r="D262" s="292">
        <v>261608</v>
      </c>
      <c r="E262" s="315">
        <v>32711</v>
      </c>
      <c r="F262" s="292">
        <v>43495</v>
      </c>
      <c r="G262" s="315">
        <f t="shared" ref="G262:G313" si="50">SUM(D262:F262)</f>
        <v>337814</v>
      </c>
      <c r="H262" s="292">
        <f t="shared" ref="H262:H313" si="51">+C262*$I$4</f>
        <v>615967.02679704712</v>
      </c>
      <c r="I262" s="10">
        <f t="shared" ref="I262:I313" si="52">IF(G262&gt;H262,G262-H262,0)</f>
        <v>0</v>
      </c>
      <c r="J262" s="312">
        <f t="shared" si="47"/>
        <v>0</v>
      </c>
      <c r="K262" s="14">
        <v>5106</v>
      </c>
      <c r="L262" s="10">
        <f t="shared" si="48"/>
        <v>76995.87834963089</v>
      </c>
      <c r="M262" s="14">
        <f t="shared" si="42"/>
        <v>0</v>
      </c>
      <c r="N262" s="2">
        <f t="shared" si="49"/>
        <v>0</v>
      </c>
      <c r="O262" s="135">
        <f t="shared" si="43"/>
        <v>0</v>
      </c>
      <c r="P262" s="34">
        <f>O262/'D) Ecrêtage'!C262</f>
        <v>0</v>
      </c>
    </row>
    <row r="263" spans="1:16" x14ac:dyDescent="0.25">
      <c r="A263" s="50">
        <f>+'A) Base RI'!A265</f>
        <v>5856</v>
      </c>
      <c r="B263" s="301" t="str">
        <f>+'A) Base RI'!B265</f>
        <v>Essertines-sur-Rolle</v>
      </c>
      <c r="C263" s="315">
        <f>+'D) Ecrêtage'!M263</f>
        <v>37425.966018099534</v>
      </c>
      <c r="D263" s="292">
        <v>166290</v>
      </c>
      <c r="E263" s="315">
        <v>18776</v>
      </c>
      <c r="F263" s="292">
        <v>52495</v>
      </c>
      <c r="G263" s="315">
        <f t="shared" si="50"/>
        <v>237561</v>
      </c>
      <c r="H263" s="292">
        <f t="shared" si="51"/>
        <v>299407.72814479627</v>
      </c>
      <c r="I263" s="10">
        <f t="shared" si="52"/>
        <v>0</v>
      </c>
      <c r="J263" s="312">
        <f t="shared" si="47"/>
        <v>0</v>
      </c>
      <c r="K263" s="14">
        <v>-7033</v>
      </c>
      <c r="L263" s="10">
        <f t="shared" si="48"/>
        <v>37425.966018099534</v>
      </c>
      <c r="M263" s="14">
        <f t="shared" si="42"/>
        <v>0</v>
      </c>
      <c r="N263" s="2">
        <f t="shared" si="49"/>
        <v>0</v>
      </c>
      <c r="O263" s="135">
        <f t="shared" si="43"/>
        <v>0</v>
      </c>
      <c r="P263" s="34">
        <f>O263/'D) Ecrêtage'!C263</f>
        <v>0</v>
      </c>
    </row>
    <row r="264" spans="1:16" x14ac:dyDescent="0.25">
      <c r="A264" s="50">
        <f>+'A) Base RI'!A266</f>
        <v>5857</v>
      </c>
      <c r="B264" s="301" t="str">
        <f>+'A) Base RI'!B266</f>
        <v>Gilly</v>
      </c>
      <c r="C264" s="315">
        <f>+'D) Ecrêtage'!M264</f>
        <v>86953.061939550258</v>
      </c>
      <c r="D264" s="292">
        <v>192738</v>
      </c>
      <c r="E264" s="315">
        <v>63437</v>
      </c>
      <c r="F264" s="292">
        <v>92048</v>
      </c>
      <c r="G264" s="315">
        <f t="shared" si="50"/>
        <v>348223</v>
      </c>
      <c r="H264" s="292">
        <f t="shared" si="51"/>
        <v>695624.49551640206</v>
      </c>
      <c r="I264" s="10">
        <f t="shared" si="52"/>
        <v>0</v>
      </c>
      <c r="J264" s="312">
        <f t="shared" si="47"/>
        <v>0</v>
      </c>
      <c r="K264" s="14">
        <v>30740</v>
      </c>
      <c r="L264" s="10">
        <f t="shared" si="48"/>
        <v>86953.061939550258</v>
      </c>
      <c r="M264" s="14">
        <f t="shared" si="42"/>
        <v>0</v>
      </c>
      <c r="N264" s="2">
        <f t="shared" si="49"/>
        <v>0</v>
      </c>
      <c r="O264" s="135">
        <f t="shared" si="43"/>
        <v>0</v>
      </c>
      <c r="P264" s="34">
        <f>O264/'D) Ecrêtage'!C264</f>
        <v>0</v>
      </c>
    </row>
    <row r="265" spans="1:16" x14ac:dyDescent="0.25">
      <c r="A265" s="50">
        <f>+'A) Base RI'!A267</f>
        <v>5858</v>
      </c>
      <c r="B265" s="301" t="str">
        <f>+'A) Base RI'!B267</f>
        <v>Luins</v>
      </c>
      <c r="C265" s="315">
        <f>+'D) Ecrêtage'!M265</f>
        <v>41997.103540905235</v>
      </c>
      <c r="D265" s="292">
        <v>38903</v>
      </c>
      <c r="E265" s="315">
        <v>30062</v>
      </c>
      <c r="F265" s="292">
        <v>50009</v>
      </c>
      <c r="G265" s="315">
        <f t="shared" si="50"/>
        <v>118974</v>
      </c>
      <c r="H265" s="292">
        <f t="shared" si="51"/>
        <v>335976.82832724188</v>
      </c>
      <c r="I265" s="10">
        <f t="shared" si="52"/>
        <v>0</v>
      </c>
      <c r="J265" s="312">
        <f t="shared" si="47"/>
        <v>0</v>
      </c>
      <c r="K265" s="14">
        <v>3374</v>
      </c>
      <c r="L265" s="10">
        <f t="shared" si="48"/>
        <v>41997.103540905235</v>
      </c>
      <c r="M265" s="14">
        <f t="shared" ref="M265:M313" si="53">IF(K265&gt;L265,K265-L265,0)</f>
        <v>0</v>
      </c>
      <c r="N265" s="2">
        <f t="shared" si="49"/>
        <v>0</v>
      </c>
      <c r="O265" s="135">
        <f t="shared" ref="O265:O313" si="54">N265+J265</f>
        <v>0</v>
      </c>
      <c r="P265" s="34">
        <f>O265/'D) Ecrêtage'!C265</f>
        <v>0</v>
      </c>
    </row>
    <row r="266" spans="1:16" x14ac:dyDescent="0.25">
      <c r="A266" s="50">
        <f>+'A) Base RI'!A268</f>
        <v>5859</v>
      </c>
      <c r="B266" s="301" t="str">
        <f>+'A) Base RI'!B268</f>
        <v>Mont-sur-Rolle</v>
      </c>
      <c r="C266" s="315">
        <f>+'D) Ecrêtage'!M266</f>
        <v>142920.65553846155</v>
      </c>
      <c r="D266" s="292">
        <v>482989</v>
      </c>
      <c r="E266" s="315">
        <v>145730</v>
      </c>
      <c r="F266" s="292">
        <v>218757</v>
      </c>
      <c r="G266" s="315">
        <f t="shared" si="50"/>
        <v>847476</v>
      </c>
      <c r="H266" s="292">
        <f t="shared" si="51"/>
        <v>1143365.2443076924</v>
      </c>
      <c r="I266" s="10">
        <f t="shared" si="52"/>
        <v>0</v>
      </c>
      <c r="J266" s="312">
        <f t="shared" si="47"/>
        <v>0</v>
      </c>
      <c r="K266" s="14">
        <v>3712</v>
      </c>
      <c r="L266" s="10">
        <f t="shared" si="48"/>
        <v>142920.65553846155</v>
      </c>
      <c r="M266" s="14">
        <f t="shared" si="53"/>
        <v>0</v>
      </c>
      <c r="N266" s="2">
        <f t="shared" si="49"/>
        <v>0</v>
      </c>
      <c r="O266" s="135">
        <f t="shared" si="54"/>
        <v>0</v>
      </c>
      <c r="P266" s="34">
        <f>O266/'D) Ecrêtage'!C266</f>
        <v>0</v>
      </c>
    </row>
    <row r="267" spans="1:16" x14ac:dyDescent="0.25">
      <c r="A267" s="50">
        <f>+'A) Base RI'!A269</f>
        <v>5860</v>
      </c>
      <c r="B267" s="301" t="str">
        <f>+'A) Base RI'!B269</f>
        <v>Perroy</v>
      </c>
      <c r="C267" s="315">
        <f>+'D) Ecrêtage'!M267</f>
        <v>93915.344201922679</v>
      </c>
      <c r="D267" s="292">
        <v>148414</v>
      </c>
      <c r="E267" s="315">
        <v>61265</v>
      </c>
      <c r="F267" s="292">
        <v>124800</v>
      </c>
      <c r="G267" s="315">
        <f t="shared" si="50"/>
        <v>334479</v>
      </c>
      <c r="H267" s="292">
        <f t="shared" si="51"/>
        <v>751322.75361538143</v>
      </c>
      <c r="I267" s="10">
        <f t="shared" si="52"/>
        <v>0</v>
      </c>
      <c r="J267" s="312">
        <f t="shared" si="47"/>
        <v>0</v>
      </c>
      <c r="K267" s="14">
        <v>4363</v>
      </c>
      <c r="L267" s="10">
        <f t="shared" si="48"/>
        <v>93915.344201922679</v>
      </c>
      <c r="M267" s="14">
        <f t="shared" si="53"/>
        <v>0</v>
      </c>
      <c r="N267" s="2">
        <f t="shared" si="49"/>
        <v>0</v>
      </c>
      <c r="O267" s="135">
        <f t="shared" si="54"/>
        <v>0</v>
      </c>
      <c r="P267" s="34">
        <f>O267/'D) Ecrêtage'!C267</f>
        <v>0</v>
      </c>
    </row>
    <row r="268" spans="1:16" x14ac:dyDescent="0.25">
      <c r="A268" s="50">
        <f>+'A) Base RI'!A270</f>
        <v>5861</v>
      </c>
      <c r="B268" s="301" t="str">
        <f>+'A) Base RI'!B270</f>
        <v>Rolle</v>
      </c>
      <c r="C268" s="315">
        <f>+'D) Ecrêtage'!M268</f>
        <v>583882.08549392514</v>
      </c>
      <c r="D268" s="292">
        <v>2437372</v>
      </c>
      <c r="E268" s="315">
        <v>791206</v>
      </c>
      <c r="F268" s="292">
        <v>514023</v>
      </c>
      <c r="G268" s="315">
        <f t="shared" si="50"/>
        <v>3742601</v>
      </c>
      <c r="H268" s="292">
        <f t="shared" si="51"/>
        <v>4671056.6839514012</v>
      </c>
      <c r="I268" s="10">
        <f t="shared" si="52"/>
        <v>0</v>
      </c>
      <c r="J268" s="312">
        <f t="shared" si="47"/>
        <v>0</v>
      </c>
      <c r="K268" s="14">
        <v>85459</v>
      </c>
      <c r="L268" s="10">
        <f t="shared" si="48"/>
        <v>583882.08549392514</v>
      </c>
      <c r="M268" s="14">
        <f t="shared" si="53"/>
        <v>0</v>
      </c>
      <c r="N268" s="2">
        <f t="shared" si="49"/>
        <v>0</v>
      </c>
      <c r="O268" s="135">
        <f t="shared" si="54"/>
        <v>0</v>
      </c>
      <c r="P268" s="34">
        <f>O268/'D) Ecrêtage'!C268</f>
        <v>0</v>
      </c>
    </row>
    <row r="269" spans="1:16" x14ac:dyDescent="0.25">
      <c r="A269" s="50">
        <f>+'A) Base RI'!A271</f>
        <v>5862</v>
      </c>
      <c r="B269" s="301" t="str">
        <f>+'A) Base RI'!B271</f>
        <v>Tartegnin</v>
      </c>
      <c r="C269" s="315">
        <f>+'D) Ecrêtage'!M269</f>
        <v>12310.23827160494</v>
      </c>
      <c r="D269" s="292">
        <v>28646</v>
      </c>
      <c r="E269" s="315">
        <v>11389</v>
      </c>
      <c r="F269" s="292">
        <v>20577</v>
      </c>
      <c r="G269" s="315">
        <f t="shared" si="50"/>
        <v>60612</v>
      </c>
      <c r="H269" s="292">
        <f t="shared" si="51"/>
        <v>98481.906172839517</v>
      </c>
      <c r="I269" s="10">
        <f t="shared" si="52"/>
        <v>0</v>
      </c>
      <c r="J269" s="312">
        <f t="shared" si="47"/>
        <v>0</v>
      </c>
      <c r="K269" s="14">
        <v>4429</v>
      </c>
      <c r="L269" s="10">
        <f t="shared" si="48"/>
        <v>12310.23827160494</v>
      </c>
      <c r="M269" s="14">
        <f t="shared" si="53"/>
        <v>0</v>
      </c>
      <c r="N269" s="2">
        <f t="shared" si="49"/>
        <v>0</v>
      </c>
      <c r="O269" s="135">
        <f t="shared" si="54"/>
        <v>0</v>
      </c>
      <c r="P269" s="34">
        <f>O269/'D) Ecrêtage'!C269</f>
        <v>0</v>
      </c>
    </row>
    <row r="270" spans="1:16" x14ac:dyDescent="0.25">
      <c r="A270" s="50">
        <f>+'A) Base RI'!A272</f>
        <v>5863</v>
      </c>
      <c r="B270" s="301" t="str">
        <f>+'A) Base RI'!B272</f>
        <v>Vinzel</v>
      </c>
      <c r="C270" s="315">
        <f>+'D) Ecrêtage'!M270</f>
        <v>22026.585112000605</v>
      </c>
      <c r="D270" s="292">
        <v>15406</v>
      </c>
      <c r="E270" s="315">
        <v>20993</v>
      </c>
      <c r="F270" s="292">
        <v>25985</v>
      </c>
      <c r="G270" s="315">
        <f t="shared" si="50"/>
        <v>62384</v>
      </c>
      <c r="H270" s="292">
        <f t="shared" si="51"/>
        <v>176212.68089600484</v>
      </c>
      <c r="I270" s="10">
        <f t="shared" si="52"/>
        <v>0</v>
      </c>
      <c r="J270" s="312">
        <f t="shared" si="47"/>
        <v>0</v>
      </c>
      <c r="K270" s="14">
        <v>2097</v>
      </c>
      <c r="L270" s="10">
        <f t="shared" si="48"/>
        <v>22026.585112000605</v>
      </c>
      <c r="M270" s="14">
        <f t="shared" si="53"/>
        <v>0</v>
      </c>
      <c r="N270" s="2">
        <f t="shared" si="49"/>
        <v>0</v>
      </c>
      <c r="O270" s="135">
        <f t="shared" si="54"/>
        <v>0</v>
      </c>
      <c r="P270" s="34">
        <f>O270/'D) Ecrêtage'!C270</f>
        <v>0</v>
      </c>
    </row>
    <row r="271" spans="1:16" x14ac:dyDescent="0.25">
      <c r="A271" s="50">
        <f>+'A) Base RI'!A273</f>
        <v>5871</v>
      </c>
      <c r="B271" s="301" t="str">
        <f>+'A) Base RI'!B273</f>
        <v>L'Abbaye</v>
      </c>
      <c r="C271" s="315">
        <f>+'D) Ecrêtage'!M271</f>
        <v>44627.892122623205</v>
      </c>
      <c r="D271" s="292">
        <v>491623</v>
      </c>
      <c r="E271" s="315">
        <v>155704</v>
      </c>
      <c r="F271" s="292">
        <v>205301</v>
      </c>
      <c r="G271" s="315">
        <f t="shared" si="50"/>
        <v>852628</v>
      </c>
      <c r="H271" s="292">
        <f t="shared" si="51"/>
        <v>357023.13698098564</v>
      </c>
      <c r="I271" s="10">
        <f t="shared" si="52"/>
        <v>495604.86301901436</v>
      </c>
      <c r="J271" s="312">
        <f t="shared" si="47"/>
        <v>-331802.82073350024</v>
      </c>
      <c r="K271" s="14">
        <v>72037</v>
      </c>
      <c r="L271" s="10">
        <f t="shared" si="48"/>
        <v>44627.892122623205</v>
      </c>
      <c r="M271" s="14">
        <f t="shared" si="53"/>
        <v>27409.107877376795</v>
      </c>
      <c r="N271" s="2">
        <f t="shared" si="49"/>
        <v>-18350.141385020081</v>
      </c>
      <c r="O271" s="135">
        <f t="shared" si="54"/>
        <v>-350152.96211852034</v>
      </c>
      <c r="P271" s="34">
        <f>O271/'D) Ecrêtage'!C271</f>
        <v>-7.8460564786795608</v>
      </c>
    </row>
    <row r="272" spans="1:16" x14ac:dyDescent="0.25">
      <c r="A272" s="50">
        <f>+'A) Base RI'!A274</f>
        <v>5872</v>
      </c>
      <c r="B272" s="301" t="str">
        <f>+'A) Base RI'!B274</f>
        <v>Le Chenit</v>
      </c>
      <c r="C272" s="315">
        <f>+'D) Ecrêtage'!M272</f>
        <v>195855.08877191509</v>
      </c>
      <c r="D272" s="292">
        <v>2674444</v>
      </c>
      <c r="E272" s="315">
        <v>481505</v>
      </c>
      <c r="F272" s="292">
        <v>672810</v>
      </c>
      <c r="G272" s="315">
        <f t="shared" si="50"/>
        <v>3828759</v>
      </c>
      <c r="H272" s="292">
        <f t="shared" si="51"/>
        <v>1566840.7101753207</v>
      </c>
      <c r="I272" s="10">
        <f t="shared" si="52"/>
        <v>2261918.2898246795</v>
      </c>
      <c r="J272" s="312">
        <f t="shared" si="47"/>
        <v>-1514333.1408427474</v>
      </c>
      <c r="K272" s="14">
        <v>177122</v>
      </c>
      <c r="L272" s="10">
        <f t="shared" si="48"/>
        <v>195855.08877191509</v>
      </c>
      <c r="M272" s="14">
        <f t="shared" si="53"/>
        <v>0</v>
      </c>
      <c r="N272" s="2">
        <f t="shared" si="49"/>
        <v>0</v>
      </c>
      <c r="O272" s="135">
        <f t="shared" si="54"/>
        <v>-1514333.1408427474</v>
      </c>
      <c r="P272" s="34">
        <f>O272/'D) Ecrêtage'!C272</f>
        <v>-7.7319060246950153</v>
      </c>
    </row>
    <row r="273" spans="1:16" x14ac:dyDescent="0.25">
      <c r="A273" s="50">
        <f>+'A) Base RI'!A275</f>
        <v>5873</v>
      </c>
      <c r="B273" s="301" t="str">
        <f>+'A) Base RI'!B275</f>
        <v>Le Lieu</v>
      </c>
      <c r="C273" s="315">
        <f>+'D) Ecrêtage'!M273</f>
        <v>31663.23595238095</v>
      </c>
      <c r="D273" s="292">
        <v>916973</v>
      </c>
      <c r="E273" s="315">
        <v>89580</v>
      </c>
      <c r="F273" s="292">
        <v>115653</v>
      </c>
      <c r="G273" s="315">
        <f t="shared" si="50"/>
        <v>1122206</v>
      </c>
      <c r="H273" s="292">
        <f t="shared" si="51"/>
        <v>253305.8876190476</v>
      </c>
      <c r="I273" s="10">
        <f t="shared" si="52"/>
        <v>868900.11238095234</v>
      </c>
      <c r="J273" s="312">
        <f t="shared" si="47"/>
        <v>-581720.49900284037</v>
      </c>
      <c r="K273" s="14">
        <v>210593</v>
      </c>
      <c r="L273" s="10">
        <f t="shared" si="48"/>
        <v>31663.23595238095</v>
      </c>
      <c r="M273" s="14">
        <f t="shared" si="53"/>
        <v>178929.76404761904</v>
      </c>
      <c r="N273" s="2">
        <f t="shared" si="49"/>
        <v>-119791.80362058287</v>
      </c>
      <c r="O273" s="135">
        <f t="shared" si="54"/>
        <v>-701512.30262342328</v>
      </c>
      <c r="P273" s="34">
        <f>O273/'D) Ecrêtage'!C273</f>
        <v>-22.155420364439166</v>
      </c>
    </row>
    <row r="274" spans="1:16" x14ac:dyDescent="0.25">
      <c r="A274" s="50">
        <f>+'A) Base RI'!A276</f>
        <v>5881</v>
      </c>
      <c r="B274" s="301" t="str">
        <f>+'A) Base RI'!B276</f>
        <v>Blonay</v>
      </c>
      <c r="C274" s="315">
        <f>+'D) Ecrêtage'!M274</f>
        <v>333471.52885714278</v>
      </c>
      <c r="D274" s="292">
        <v>2085167</v>
      </c>
      <c r="E274" s="315">
        <v>983593</v>
      </c>
      <c r="F274" s="292">
        <v>461190</v>
      </c>
      <c r="G274" s="315">
        <f t="shared" si="50"/>
        <v>3529950</v>
      </c>
      <c r="H274" s="292">
        <f t="shared" si="51"/>
        <v>2667772.2308571422</v>
      </c>
      <c r="I274" s="10">
        <f t="shared" si="52"/>
        <v>862177.76914285775</v>
      </c>
      <c r="J274" s="312">
        <f t="shared" si="47"/>
        <v>-577219.95307447447</v>
      </c>
      <c r="K274" s="14">
        <v>316879</v>
      </c>
      <c r="L274" s="10">
        <f t="shared" si="48"/>
        <v>333471.52885714278</v>
      </c>
      <c r="M274" s="14">
        <f t="shared" si="53"/>
        <v>0</v>
      </c>
      <c r="N274" s="2">
        <f t="shared" si="49"/>
        <v>0</v>
      </c>
      <c r="O274" s="135">
        <f t="shared" si="54"/>
        <v>-577219.95307447447</v>
      </c>
      <c r="P274" s="34">
        <f>O274/'D) Ecrêtage'!C274</f>
        <v>-1.7309422338173646</v>
      </c>
    </row>
    <row r="275" spans="1:16" x14ac:dyDescent="0.25">
      <c r="A275" s="50">
        <f>+'A) Base RI'!A277</f>
        <v>5882</v>
      </c>
      <c r="B275" s="301" t="str">
        <f>+'A) Base RI'!B277</f>
        <v>Chardonne</v>
      </c>
      <c r="C275" s="315">
        <f>+'D) Ecrêtage'!M275</f>
        <v>161419.68117647059</v>
      </c>
      <c r="D275" s="292">
        <v>1414315</v>
      </c>
      <c r="E275" s="315">
        <v>248133</v>
      </c>
      <c r="F275" s="292">
        <v>159654</v>
      </c>
      <c r="G275" s="315">
        <f t="shared" si="50"/>
        <v>1822102</v>
      </c>
      <c r="H275" s="292">
        <f t="shared" si="51"/>
        <v>1291357.4494117647</v>
      </c>
      <c r="I275" s="10">
        <f t="shared" si="52"/>
        <v>530744.55058823526</v>
      </c>
      <c r="J275" s="312">
        <f t="shared" si="47"/>
        <v>-355328.51292331656</v>
      </c>
      <c r="K275" s="14">
        <v>6316</v>
      </c>
      <c r="L275" s="10">
        <f t="shared" si="48"/>
        <v>161419.68117647059</v>
      </c>
      <c r="M275" s="14">
        <f t="shared" si="53"/>
        <v>0</v>
      </c>
      <c r="N275" s="2">
        <f t="shared" si="49"/>
        <v>0</v>
      </c>
      <c r="O275" s="135">
        <f t="shared" si="54"/>
        <v>-355328.51292331656</v>
      </c>
      <c r="P275" s="34">
        <f>O275/'D) Ecrêtage'!C275</f>
        <v>-2.2012713092578648</v>
      </c>
    </row>
    <row r="276" spans="1:16" x14ac:dyDescent="0.25">
      <c r="A276" s="50">
        <f>+'A) Base RI'!A278</f>
        <v>5883</v>
      </c>
      <c r="B276" s="301" t="str">
        <f>+'A) Base RI'!B278</f>
        <v>Corseaux</v>
      </c>
      <c r="C276" s="315">
        <f>+'D) Ecrêtage'!M276</f>
        <v>151018.5452053966</v>
      </c>
      <c r="D276" s="292">
        <v>459495</v>
      </c>
      <c r="E276" s="315">
        <v>533875</v>
      </c>
      <c r="F276" s="292">
        <v>115669</v>
      </c>
      <c r="G276" s="315">
        <f t="shared" si="50"/>
        <v>1109039</v>
      </c>
      <c r="H276" s="292">
        <f t="shared" si="51"/>
        <v>1208148.3616431728</v>
      </c>
      <c r="I276" s="10">
        <f t="shared" si="52"/>
        <v>0</v>
      </c>
      <c r="J276" s="312">
        <f t="shared" si="47"/>
        <v>0</v>
      </c>
      <c r="K276" s="14">
        <v>202</v>
      </c>
      <c r="L276" s="10">
        <f t="shared" si="48"/>
        <v>151018.5452053966</v>
      </c>
      <c r="M276" s="14">
        <f t="shared" si="53"/>
        <v>0</v>
      </c>
      <c r="N276" s="2">
        <f t="shared" si="49"/>
        <v>0</v>
      </c>
      <c r="O276" s="135">
        <f t="shared" si="54"/>
        <v>0</v>
      </c>
      <c r="P276" s="34">
        <f>O276/'D) Ecrêtage'!C276</f>
        <v>0</v>
      </c>
    </row>
    <row r="277" spans="1:16" x14ac:dyDescent="0.25">
      <c r="A277" s="50">
        <f>+'A) Base RI'!A279</f>
        <v>5884</v>
      </c>
      <c r="B277" s="301" t="str">
        <f>+'A) Base RI'!B279</f>
        <v>Corsier-sur-Vevey</v>
      </c>
      <c r="C277" s="315">
        <f>+'D) Ecrêtage'!M277</f>
        <v>119111.03626262626</v>
      </c>
      <c r="D277" s="292">
        <v>1535776</v>
      </c>
      <c r="E277" s="315">
        <v>997939</v>
      </c>
      <c r="F277" s="292">
        <v>202388</v>
      </c>
      <c r="G277" s="315">
        <f t="shared" si="50"/>
        <v>2736103</v>
      </c>
      <c r="H277" s="292">
        <f t="shared" si="51"/>
        <v>952888.29010101012</v>
      </c>
      <c r="I277" s="10">
        <f t="shared" si="52"/>
        <v>1783214.7098989899</v>
      </c>
      <c r="J277" s="312">
        <f t="shared" si="47"/>
        <v>-1193845.5710739363</v>
      </c>
      <c r="K277" s="14">
        <v>-7484</v>
      </c>
      <c r="L277" s="10">
        <f t="shared" si="48"/>
        <v>119111.03626262626</v>
      </c>
      <c r="M277" s="14">
        <f t="shared" si="53"/>
        <v>0</v>
      </c>
      <c r="N277" s="2">
        <f t="shared" si="49"/>
        <v>0</v>
      </c>
      <c r="O277" s="135">
        <f t="shared" si="54"/>
        <v>-1193845.5710739363</v>
      </c>
      <c r="P277" s="34">
        <f>O277/'D) Ecrêtage'!C277</f>
        <v>-10.022963518188549</v>
      </c>
    </row>
    <row r="278" spans="1:16" x14ac:dyDescent="0.25">
      <c r="A278" s="50">
        <f>+'A) Base RI'!A280</f>
        <v>5885</v>
      </c>
      <c r="B278" s="301" t="str">
        <f>+'A) Base RI'!B280</f>
        <v>Jongny</v>
      </c>
      <c r="C278" s="315">
        <f>+'D) Ecrêtage'!M278</f>
        <v>83805.46166666667</v>
      </c>
      <c r="D278" s="292">
        <v>485979</v>
      </c>
      <c r="E278" s="315">
        <v>111036</v>
      </c>
      <c r="F278" s="292">
        <v>96345</v>
      </c>
      <c r="G278" s="315">
        <f t="shared" si="50"/>
        <v>693360</v>
      </c>
      <c r="H278" s="292">
        <f t="shared" si="51"/>
        <v>670443.69333333336</v>
      </c>
      <c r="I278" s="10">
        <f t="shared" si="52"/>
        <v>22916.306666666642</v>
      </c>
      <c r="J278" s="312">
        <f t="shared" si="47"/>
        <v>-15342.252992586527</v>
      </c>
      <c r="K278" s="14">
        <v>6459</v>
      </c>
      <c r="L278" s="10">
        <f t="shared" si="48"/>
        <v>83805.46166666667</v>
      </c>
      <c r="M278" s="14">
        <f t="shared" si="53"/>
        <v>0</v>
      </c>
      <c r="N278" s="2">
        <f t="shared" si="49"/>
        <v>0</v>
      </c>
      <c r="O278" s="135">
        <f t="shared" si="54"/>
        <v>-15342.252992586527</v>
      </c>
      <c r="P278" s="34">
        <f>O278/'D) Ecrêtage'!C278</f>
        <v>-0.18306984637361476</v>
      </c>
    </row>
    <row r="279" spans="1:16" x14ac:dyDescent="0.25">
      <c r="A279" s="50">
        <f>+'A) Base RI'!A281</f>
        <v>5886</v>
      </c>
      <c r="B279" s="301" t="str">
        <f>+'A) Base RI'!B281</f>
        <v>Montreux</v>
      </c>
      <c r="C279" s="315">
        <f>+'D) Ecrêtage'!M279</f>
        <v>1120949.2064615386</v>
      </c>
      <c r="D279" s="292">
        <v>10664981</v>
      </c>
      <c r="E279" s="315">
        <v>6497526</v>
      </c>
      <c r="F279" s="292">
        <v>265515</v>
      </c>
      <c r="G279" s="315">
        <f t="shared" si="50"/>
        <v>17428022</v>
      </c>
      <c r="H279" s="292">
        <f t="shared" si="51"/>
        <v>8967593.6516923085</v>
      </c>
      <c r="I279" s="10">
        <f t="shared" si="52"/>
        <v>8460428.3483076915</v>
      </c>
      <c r="J279" s="312">
        <f t="shared" si="47"/>
        <v>-5664177.6545168003</v>
      </c>
      <c r="K279" s="14">
        <v>1836529</v>
      </c>
      <c r="L279" s="10">
        <f t="shared" si="48"/>
        <v>1120949.2064615386</v>
      </c>
      <c r="M279" s="14">
        <f t="shared" si="53"/>
        <v>715579.79353846144</v>
      </c>
      <c r="N279" s="2">
        <f t="shared" si="49"/>
        <v>-479073.97943923721</v>
      </c>
      <c r="O279" s="135">
        <f t="shared" si="54"/>
        <v>-6143251.6339560375</v>
      </c>
      <c r="P279" s="34">
        <f>O279/'D) Ecrêtage'!C279</f>
        <v>-5.4804014299169062</v>
      </c>
    </row>
    <row r="280" spans="1:16" x14ac:dyDescent="0.25">
      <c r="A280" s="50">
        <f>+'A) Base RI'!A282</f>
        <v>5888</v>
      </c>
      <c r="B280" s="301" t="str">
        <f>+'A) Base RI'!B282</f>
        <v>Saint-Légier-La Chiésaz</v>
      </c>
      <c r="C280" s="315">
        <f>+'D) Ecrêtage'!M280</f>
        <v>313162.47635948134</v>
      </c>
      <c r="D280" s="292">
        <v>1560223</v>
      </c>
      <c r="E280" s="315">
        <v>880467</v>
      </c>
      <c r="F280" s="292">
        <v>350193</v>
      </c>
      <c r="G280" s="315">
        <f t="shared" si="50"/>
        <v>2790883</v>
      </c>
      <c r="H280" s="292">
        <f t="shared" si="51"/>
        <v>2505299.8108758507</v>
      </c>
      <c r="I280" s="10">
        <f t="shared" si="52"/>
        <v>285583.18912414927</v>
      </c>
      <c r="J280" s="312">
        <f t="shared" si="47"/>
        <v>-191195.27425183062</v>
      </c>
      <c r="K280" s="14">
        <v>819757</v>
      </c>
      <c r="L280" s="10">
        <f t="shared" si="48"/>
        <v>313162.47635948134</v>
      </c>
      <c r="M280" s="14">
        <f t="shared" si="53"/>
        <v>506594.52364051866</v>
      </c>
      <c r="N280" s="2">
        <f t="shared" si="49"/>
        <v>-339160.29574072006</v>
      </c>
      <c r="O280" s="135">
        <f t="shared" si="54"/>
        <v>-530355.56999255065</v>
      </c>
      <c r="P280" s="34">
        <f>O280/'D) Ecrêtage'!C280</f>
        <v>-1.6640201992023445</v>
      </c>
    </row>
    <row r="281" spans="1:16" x14ac:dyDescent="0.25">
      <c r="A281" s="50">
        <f>+'A) Base RI'!A283</f>
        <v>5889</v>
      </c>
      <c r="B281" s="301" t="str">
        <f>+'A) Base RI'!B283</f>
        <v>La Tour-de-Peilz</v>
      </c>
      <c r="C281" s="315">
        <f>+'D) Ecrêtage'!M281</f>
        <v>645590.04875000007</v>
      </c>
      <c r="D281" s="292">
        <v>2199924</v>
      </c>
      <c r="E281" s="315">
        <v>2726217</v>
      </c>
      <c r="F281" s="292">
        <v>0</v>
      </c>
      <c r="G281" s="315">
        <f t="shared" si="50"/>
        <v>4926141</v>
      </c>
      <c r="H281" s="292">
        <f t="shared" si="51"/>
        <v>5164720.3900000006</v>
      </c>
      <c r="I281" s="10">
        <f t="shared" si="52"/>
        <v>0</v>
      </c>
      <c r="J281" s="312">
        <f t="shared" si="47"/>
        <v>0</v>
      </c>
      <c r="K281" s="14">
        <v>24230</v>
      </c>
      <c r="L281" s="10">
        <f t="shared" si="48"/>
        <v>645590.04875000007</v>
      </c>
      <c r="M281" s="14">
        <f t="shared" si="53"/>
        <v>0</v>
      </c>
      <c r="N281" s="2">
        <f t="shared" si="49"/>
        <v>0</v>
      </c>
      <c r="O281" s="135">
        <f t="shared" si="54"/>
        <v>0</v>
      </c>
      <c r="P281" s="34">
        <f>O281/'D) Ecrêtage'!C281</f>
        <v>0</v>
      </c>
    </row>
    <row r="282" spans="1:16" x14ac:dyDescent="0.25">
      <c r="A282" s="50">
        <f>+'A) Base RI'!A284</f>
        <v>5890</v>
      </c>
      <c r="B282" s="301" t="str">
        <f>+'A) Base RI'!B284</f>
        <v>Vevey</v>
      </c>
      <c r="C282" s="315">
        <f>+'D) Ecrêtage'!M282</f>
        <v>923815.49078947364</v>
      </c>
      <c r="D282" s="292">
        <v>6721552</v>
      </c>
      <c r="E282" s="315">
        <v>4834797</v>
      </c>
      <c r="F282" s="292">
        <v>133399</v>
      </c>
      <c r="G282" s="315">
        <f t="shared" si="50"/>
        <v>11689748</v>
      </c>
      <c r="H282" s="292">
        <f t="shared" si="51"/>
        <v>7390523.9263157891</v>
      </c>
      <c r="I282" s="10">
        <f t="shared" si="52"/>
        <v>4299224.0736842109</v>
      </c>
      <c r="J282" s="312">
        <f t="shared" si="47"/>
        <v>-2878290.3095909739</v>
      </c>
      <c r="K282" s="14">
        <v>100000</v>
      </c>
      <c r="L282" s="10">
        <f t="shared" si="48"/>
        <v>923815.49078947364</v>
      </c>
      <c r="M282" s="14">
        <f t="shared" si="53"/>
        <v>0</v>
      </c>
      <c r="N282" s="2">
        <f t="shared" si="49"/>
        <v>0</v>
      </c>
      <c r="O282" s="135">
        <f t="shared" si="54"/>
        <v>-2878290.3095909739</v>
      </c>
      <c r="P282" s="34">
        <f>O282/'D) Ecrêtage'!C282</f>
        <v>-3.1156549530591291</v>
      </c>
    </row>
    <row r="283" spans="1:16" x14ac:dyDescent="0.25">
      <c r="A283" s="50">
        <f>+'A) Base RI'!A285</f>
        <v>5891</v>
      </c>
      <c r="B283" s="301" t="str">
        <f>+'A) Base RI'!B285</f>
        <v>Veytaux</v>
      </c>
      <c r="C283" s="315">
        <f>+'D) Ecrêtage'!M283</f>
        <v>37468.229154929577</v>
      </c>
      <c r="D283" s="292">
        <v>259102</v>
      </c>
      <c r="E283" s="315">
        <v>278906</v>
      </c>
      <c r="F283" s="292">
        <v>30000</v>
      </c>
      <c r="G283" s="315">
        <f t="shared" si="50"/>
        <v>568008</v>
      </c>
      <c r="H283" s="292">
        <f t="shared" si="51"/>
        <v>299745.83323943662</v>
      </c>
      <c r="I283" s="10">
        <f t="shared" si="52"/>
        <v>268262.16676056338</v>
      </c>
      <c r="J283" s="312">
        <f t="shared" si="47"/>
        <v>-179599.01177123963</v>
      </c>
      <c r="K283" s="14">
        <v>424946</v>
      </c>
      <c r="L283" s="10">
        <f t="shared" si="48"/>
        <v>37468.229154929577</v>
      </c>
      <c r="M283" s="14">
        <f t="shared" si="53"/>
        <v>387477.77084507042</v>
      </c>
      <c r="N283" s="2">
        <f t="shared" si="49"/>
        <v>-259412.74376274759</v>
      </c>
      <c r="O283" s="135">
        <f t="shared" si="54"/>
        <v>-439011.75553398719</v>
      </c>
      <c r="P283" s="34">
        <f>O283/'D) Ecrêtage'!C283</f>
        <v>-11.71690697520536</v>
      </c>
    </row>
    <row r="284" spans="1:16" x14ac:dyDescent="0.25">
      <c r="A284" s="50">
        <f>+'A) Base RI'!A286</f>
        <v>5902</v>
      </c>
      <c r="B284" s="301" t="str">
        <f>+'A) Base RI'!B286</f>
        <v>Belmont-sur-Yverdon</v>
      </c>
      <c r="C284" s="315">
        <f>+'D) Ecrêtage'!M284</f>
        <v>10322.452500000001</v>
      </c>
      <c r="D284" s="292">
        <v>11444</v>
      </c>
      <c r="E284" s="315">
        <v>15586</v>
      </c>
      <c r="F284" s="292">
        <v>43215</v>
      </c>
      <c r="G284" s="315">
        <f t="shared" si="50"/>
        <v>70245</v>
      </c>
      <c r="H284" s="292">
        <f t="shared" si="51"/>
        <v>82579.62000000001</v>
      </c>
      <c r="I284" s="10">
        <f t="shared" si="52"/>
        <v>0</v>
      </c>
      <c r="J284" s="312">
        <f t="shared" si="47"/>
        <v>0</v>
      </c>
      <c r="K284" s="14">
        <v>20399</v>
      </c>
      <c r="L284" s="10">
        <f t="shared" si="48"/>
        <v>10322.452500000001</v>
      </c>
      <c r="M284" s="14">
        <f t="shared" si="53"/>
        <v>10076.547499999999</v>
      </c>
      <c r="N284" s="2">
        <f t="shared" si="49"/>
        <v>-6746.1543121033219</v>
      </c>
      <c r="O284" s="135">
        <f t="shared" si="54"/>
        <v>-6746.1543121033219</v>
      </c>
      <c r="P284" s="34">
        <f>O284/'D) Ecrêtage'!C284</f>
        <v>-0.65354181209391093</v>
      </c>
    </row>
    <row r="285" spans="1:16" x14ac:dyDescent="0.25">
      <c r="A285" s="50">
        <f>+'A) Base RI'!A287</f>
        <v>5903</v>
      </c>
      <c r="B285" s="301" t="str">
        <f>+'A) Base RI'!B287</f>
        <v>Bioley-Magnoux</v>
      </c>
      <c r="C285" s="315">
        <f>+'D) Ecrêtage'!M285</f>
        <v>5492.9202895752896</v>
      </c>
      <c r="D285" s="292">
        <v>313363</v>
      </c>
      <c r="E285" s="315">
        <v>9278</v>
      </c>
      <c r="F285" s="292">
        <v>20809</v>
      </c>
      <c r="G285" s="315">
        <f t="shared" si="50"/>
        <v>343450</v>
      </c>
      <c r="H285" s="292">
        <f t="shared" si="51"/>
        <v>43943.362316602317</v>
      </c>
      <c r="I285" s="10">
        <f t="shared" si="52"/>
        <v>299506.63768339768</v>
      </c>
      <c r="J285" s="312">
        <f t="shared" si="47"/>
        <v>-200516.89284563198</v>
      </c>
      <c r="K285" s="14">
        <v>20059</v>
      </c>
      <c r="L285" s="10">
        <f t="shared" si="48"/>
        <v>5492.9202895752896</v>
      </c>
      <c r="M285" s="14">
        <f t="shared" si="53"/>
        <v>14566.07971042471</v>
      </c>
      <c r="N285" s="2">
        <f t="shared" si="49"/>
        <v>-9751.8541394185231</v>
      </c>
      <c r="O285" s="135">
        <f t="shared" si="54"/>
        <v>-210268.7469850505</v>
      </c>
      <c r="P285" s="34">
        <f>O285/'D) Ecrêtage'!C285</f>
        <v>-38.279955997924809</v>
      </c>
    </row>
    <row r="286" spans="1:16" x14ac:dyDescent="0.25">
      <c r="A286" s="50">
        <f>+'A) Base RI'!A288</f>
        <v>5904</v>
      </c>
      <c r="B286" s="301" t="str">
        <f>+'A) Base RI'!B288</f>
        <v>Chamblon</v>
      </c>
      <c r="C286" s="315">
        <f>+'D) Ecrêtage'!M286</f>
        <v>20041.272272727278</v>
      </c>
      <c r="D286" s="292">
        <v>56309</v>
      </c>
      <c r="E286" s="315">
        <v>22019</v>
      </c>
      <c r="F286" s="292">
        <v>19069</v>
      </c>
      <c r="G286" s="315">
        <f t="shared" si="50"/>
        <v>97397</v>
      </c>
      <c r="H286" s="292">
        <f t="shared" si="51"/>
        <v>160330.17818181822</v>
      </c>
      <c r="I286" s="10">
        <f t="shared" si="52"/>
        <v>0</v>
      </c>
      <c r="J286" s="312">
        <f t="shared" si="47"/>
        <v>0</v>
      </c>
      <c r="K286" s="14">
        <v>5652</v>
      </c>
      <c r="L286" s="10">
        <f t="shared" si="48"/>
        <v>20041.272272727278</v>
      </c>
      <c r="M286" s="14">
        <f t="shared" si="53"/>
        <v>0</v>
      </c>
      <c r="N286" s="2">
        <f t="shared" si="49"/>
        <v>0</v>
      </c>
      <c r="O286" s="135">
        <f t="shared" si="54"/>
        <v>0</v>
      </c>
      <c r="P286" s="34">
        <f>O286/'D) Ecrêtage'!C286</f>
        <v>0</v>
      </c>
    </row>
    <row r="287" spans="1:16" x14ac:dyDescent="0.25">
      <c r="A287" s="50">
        <f>+'A) Base RI'!A289</f>
        <v>5905</v>
      </c>
      <c r="B287" s="301" t="str">
        <f>+'A) Base RI'!B289</f>
        <v>Champvent</v>
      </c>
      <c r="C287" s="315">
        <f>+'D) Ecrêtage'!M287</f>
        <v>24102.36943661972</v>
      </c>
      <c r="D287" s="292">
        <v>107973</v>
      </c>
      <c r="E287" s="315">
        <v>68963</v>
      </c>
      <c r="F287" s="292">
        <v>36207</v>
      </c>
      <c r="G287" s="315">
        <f t="shared" si="50"/>
        <v>213143</v>
      </c>
      <c r="H287" s="292">
        <f t="shared" si="51"/>
        <v>192818.95549295776</v>
      </c>
      <c r="I287" s="10">
        <f t="shared" si="52"/>
        <v>20324.044507042243</v>
      </c>
      <c r="J287" s="312">
        <f t="shared" si="47"/>
        <v>-13606.757720396086</v>
      </c>
      <c r="K287" s="14">
        <v>34112</v>
      </c>
      <c r="L287" s="10">
        <f t="shared" si="48"/>
        <v>24102.36943661972</v>
      </c>
      <c r="M287" s="14">
        <f t="shared" si="53"/>
        <v>10009.63056338028</v>
      </c>
      <c r="N287" s="2">
        <f t="shared" si="49"/>
        <v>-6701.3540488653571</v>
      </c>
      <c r="O287" s="135">
        <f t="shared" si="54"/>
        <v>-20308.111769261443</v>
      </c>
      <c r="P287" s="34">
        <f>O287/'D) Ecrêtage'!C287</f>
        <v>-0.84257739981391599</v>
      </c>
    </row>
    <row r="288" spans="1:16" x14ac:dyDescent="0.25">
      <c r="A288" s="50">
        <f>+'A) Base RI'!A290</f>
        <v>5907</v>
      </c>
      <c r="B288" s="301" t="str">
        <f>+'A) Base RI'!B290</f>
        <v>Chavannes-le-Chêne</v>
      </c>
      <c r="C288" s="315">
        <f>+'D) Ecrêtage'!M288</f>
        <v>8071.0708974358949</v>
      </c>
      <c r="D288" s="292">
        <v>110198</v>
      </c>
      <c r="E288" s="315">
        <v>12288</v>
      </c>
      <c r="F288" s="292">
        <v>25593</v>
      </c>
      <c r="G288" s="315">
        <f t="shared" si="50"/>
        <v>148079</v>
      </c>
      <c r="H288" s="292">
        <f t="shared" si="51"/>
        <v>64568.56717948716</v>
      </c>
      <c r="I288" s="10">
        <f t="shared" si="52"/>
        <v>83510.43282051284</v>
      </c>
      <c r="J288" s="312">
        <f t="shared" si="47"/>
        <v>-55909.453756628202</v>
      </c>
      <c r="K288" s="14">
        <v>7142</v>
      </c>
      <c r="L288" s="10">
        <f t="shared" si="48"/>
        <v>8071.0708974358949</v>
      </c>
      <c r="M288" s="14">
        <f t="shared" si="53"/>
        <v>0</v>
      </c>
      <c r="N288" s="2">
        <f t="shared" si="49"/>
        <v>0</v>
      </c>
      <c r="O288" s="135">
        <f t="shared" si="54"/>
        <v>-55909.453756628202</v>
      </c>
      <c r="P288" s="34">
        <f>O288/'D) Ecrêtage'!C288</f>
        <v>-6.9271419452392768</v>
      </c>
    </row>
    <row r="289" spans="1:16" x14ac:dyDescent="0.25">
      <c r="A289" s="50">
        <f>+'A) Base RI'!A291</f>
        <v>5908</v>
      </c>
      <c r="B289" s="301" t="str">
        <f>+'A) Base RI'!B291</f>
        <v>Chêne-Pâquier</v>
      </c>
      <c r="C289" s="315">
        <f>+'D) Ecrêtage'!M289</f>
        <v>3125.58</v>
      </c>
      <c r="D289" s="292">
        <v>15662</v>
      </c>
      <c r="E289" s="315">
        <v>5731</v>
      </c>
      <c r="F289" s="292">
        <v>10481</v>
      </c>
      <c r="G289" s="315">
        <f t="shared" si="50"/>
        <v>31874</v>
      </c>
      <c r="H289" s="292">
        <f t="shared" si="51"/>
        <v>25004.639999999999</v>
      </c>
      <c r="I289" s="10">
        <f t="shared" si="52"/>
        <v>6869.3600000000006</v>
      </c>
      <c r="J289" s="312">
        <f t="shared" si="47"/>
        <v>-4598.9722755130251</v>
      </c>
      <c r="K289" s="14">
        <v>13749</v>
      </c>
      <c r="L289" s="10">
        <f t="shared" si="48"/>
        <v>3125.58</v>
      </c>
      <c r="M289" s="14">
        <f t="shared" si="53"/>
        <v>10623.42</v>
      </c>
      <c r="N289" s="2">
        <f t="shared" si="49"/>
        <v>-7112.2803363239918</v>
      </c>
      <c r="O289" s="135">
        <f t="shared" si="54"/>
        <v>-11711.252611837017</v>
      </c>
      <c r="P289" s="34">
        <f>O289/'D) Ecrêtage'!C289</f>
        <v>-3.7469054101437229</v>
      </c>
    </row>
    <row r="290" spans="1:16" x14ac:dyDescent="0.25">
      <c r="A290" s="50">
        <f>+'A) Base RI'!A292</f>
        <v>5909</v>
      </c>
      <c r="B290" s="301" t="str">
        <f>+'A) Base RI'!B292</f>
        <v>Cheseaux-Noréaz</v>
      </c>
      <c r="C290" s="315">
        <f>+'D) Ecrêtage'!M290</f>
        <v>32763.333428571434</v>
      </c>
      <c r="D290" s="292">
        <v>198147</v>
      </c>
      <c r="E290" s="315">
        <v>130100</v>
      </c>
      <c r="F290" s="292">
        <v>34310</v>
      </c>
      <c r="G290" s="315">
        <f t="shared" si="50"/>
        <v>362557</v>
      </c>
      <c r="H290" s="292">
        <f t="shared" si="51"/>
        <v>262106.66742857147</v>
      </c>
      <c r="I290" s="10">
        <f t="shared" si="52"/>
        <v>100450.33257142853</v>
      </c>
      <c r="J290" s="312">
        <f t="shared" si="47"/>
        <v>-67250.558212419026</v>
      </c>
      <c r="K290" s="14">
        <v>8148</v>
      </c>
      <c r="L290" s="10">
        <f t="shared" si="48"/>
        <v>32763.333428571434</v>
      </c>
      <c r="M290" s="14">
        <f t="shared" si="53"/>
        <v>0</v>
      </c>
      <c r="N290" s="2">
        <f t="shared" si="49"/>
        <v>0</v>
      </c>
      <c r="O290" s="135">
        <f t="shared" si="54"/>
        <v>-67250.558212419026</v>
      </c>
      <c r="P290" s="34">
        <f>O290/'D) Ecrêtage'!C290</f>
        <v>-2.0526164823562438</v>
      </c>
    </row>
    <row r="291" spans="1:16" x14ac:dyDescent="0.25">
      <c r="A291" s="50">
        <f>+'A) Base RI'!A293</f>
        <v>5910</v>
      </c>
      <c r="B291" s="301" t="str">
        <f>+'A) Base RI'!B293</f>
        <v>Cronay</v>
      </c>
      <c r="C291" s="315">
        <f>+'D) Ecrêtage'!M291</f>
        <v>9653.2049367088639</v>
      </c>
      <c r="D291" s="292">
        <v>82301</v>
      </c>
      <c r="E291" s="315">
        <v>23503</v>
      </c>
      <c r="F291" s="292">
        <v>31777</v>
      </c>
      <c r="G291" s="315">
        <f t="shared" si="50"/>
        <v>137581</v>
      </c>
      <c r="H291" s="292">
        <f t="shared" si="51"/>
        <v>77225.639493670911</v>
      </c>
      <c r="I291" s="10">
        <f t="shared" si="52"/>
        <v>60355.360506329089</v>
      </c>
      <c r="J291" s="312">
        <f t="shared" si="47"/>
        <v>-40407.349396042897</v>
      </c>
      <c r="K291" s="14">
        <v>71309</v>
      </c>
      <c r="L291" s="10">
        <f t="shared" si="48"/>
        <v>9653.2049367088639</v>
      </c>
      <c r="M291" s="14">
        <f t="shared" si="53"/>
        <v>61655.795063291138</v>
      </c>
      <c r="N291" s="2">
        <f t="shared" si="49"/>
        <v>-41277.978169842427</v>
      </c>
      <c r="O291" s="135">
        <f t="shared" si="54"/>
        <v>-81685.327565885324</v>
      </c>
      <c r="P291" s="34">
        <f>O291/'D) Ecrêtage'!C291</f>
        <v>-8.4619904064457678</v>
      </c>
    </row>
    <row r="292" spans="1:16" x14ac:dyDescent="0.25">
      <c r="A292" s="50">
        <f>+'A) Base RI'!A294</f>
        <v>5911</v>
      </c>
      <c r="B292" s="301" t="str">
        <f>+'A) Base RI'!B294</f>
        <v>Cuarny</v>
      </c>
      <c r="C292" s="315">
        <f>+'D) Ecrêtage'!M292</f>
        <v>6896.824556962024</v>
      </c>
      <c r="D292" s="292">
        <v>168316</v>
      </c>
      <c r="E292" s="315">
        <v>9937</v>
      </c>
      <c r="F292" s="292">
        <v>16976</v>
      </c>
      <c r="G292" s="315">
        <f t="shared" si="50"/>
        <v>195229</v>
      </c>
      <c r="H292" s="292">
        <f t="shared" si="51"/>
        <v>55174.596455696192</v>
      </c>
      <c r="I292" s="10">
        <f t="shared" si="52"/>
        <v>140054.40354430382</v>
      </c>
      <c r="J292" s="312">
        <f t="shared" si="47"/>
        <v>-93765.113338617623</v>
      </c>
      <c r="K292" s="14">
        <v>14640</v>
      </c>
      <c r="L292" s="10">
        <f t="shared" si="48"/>
        <v>6896.824556962024</v>
      </c>
      <c r="M292" s="14">
        <f t="shared" si="53"/>
        <v>7743.175443037976</v>
      </c>
      <c r="N292" s="2">
        <f t="shared" si="49"/>
        <v>-5183.9835424209732</v>
      </c>
      <c r="O292" s="135">
        <f t="shared" si="54"/>
        <v>-98949.096881038597</v>
      </c>
      <c r="P292" s="34">
        <f>O292/'D) Ecrêtage'!C292</f>
        <v>-14.34705146749805</v>
      </c>
    </row>
    <row r="293" spans="1:16" x14ac:dyDescent="0.25">
      <c r="A293" s="50">
        <f>+'A) Base RI'!A295</f>
        <v>5912</v>
      </c>
      <c r="B293" s="301" t="str">
        <f>+'A) Base RI'!B295</f>
        <v>Démoret</v>
      </c>
      <c r="C293" s="315">
        <f>+'D) Ecrêtage'!M293</f>
        <v>3136.4120987654323</v>
      </c>
      <c r="D293" s="292">
        <v>42980</v>
      </c>
      <c r="E293" s="315">
        <v>6020</v>
      </c>
      <c r="F293" s="292">
        <v>8233</v>
      </c>
      <c r="G293" s="315">
        <f t="shared" si="50"/>
        <v>57233</v>
      </c>
      <c r="H293" s="292">
        <f t="shared" si="51"/>
        <v>25091.296790123459</v>
      </c>
      <c r="I293" s="10">
        <f t="shared" si="52"/>
        <v>32141.703209876541</v>
      </c>
      <c r="J293" s="312">
        <f t="shared" si="47"/>
        <v>-21518.569699359214</v>
      </c>
      <c r="K293" s="14">
        <v>48440</v>
      </c>
      <c r="L293" s="10">
        <f t="shared" si="48"/>
        <v>3136.4120987654323</v>
      </c>
      <c r="M293" s="14">
        <f t="shared" si="53"/>
        <v>45303.587901234569</v>
      </c>
      <c r="N293" s="2">
        <f t="shared" si="49"/>
        <v>-30330.328406000717</v>
      </c>
      <c r="O293" s="135">
        <f t="shared" si="54"/>
        <v>-51848.898105359927</v>
      </c>
      <c r="P293" s="34">
        <f>O293/'D) Ecrêtage'!C293</f>
        <v>-16.53127729158069</v>
      </c>
    </row>
    <row r="294" spans="1:16" x14ac:dyDescent="0.25">
      <c r="A294" s="50">
        <f>+'A) Base RI'!A296</f>
        <v>5913</v>
      </c>
      <c r="B294" s="301" t="str">
        <f>+'A) Base RI'!B296</f>
        <v>Donneloye</v>
      </c>
      <c r="C294" s="315">
        <f>+'D) Ecrêtage'!M294</f>
        <v>20372.909452054791</v>
      </c>
      <c r="D294" s="292">
        <v>62885</v>
      </c>
      <c r="E294" s="315">
        <v>50284</v>
      </c>
      <c r="F294" s="292">
        <v>74527</v>
      </c>
      <c r="G294" s="315">
        <f t="shared" si="50"/>
        <v>187696</v>
      </c>
      <c r="H294" s="292">
        <f t="shared" si="51"/>
        <v>162983.27561643833</v>
      </c>
      <c r="I294" s="10">
        <f t="shared" si="52"/>
        <v>24712.724383561668</v>
      </c>
      <c r="J294" s="312">
        <f t="shared" si="47"/>
        <v>-16544.937853365496</v>
      </c>
      <c r="K294" s="14">
        <v>52316</v>
      </c>
      <c r="L294" s="10">
        <f t="shared" si="48"/>
        <v>20372.909452054791</v>
      </c>
      <c r="M294" s="14">
        <f t="shared" si="53"/>
        <v>31943.090547945209</v>
      </c>
      <c r="N294" s="2">
        <f t="shared" si="49"/>
        <v>-21385.600379686341</v>
      </c>
      <c r="O294" s="135">
        <f t="shared" si="54"/>
        <v>-37930.538233051833</v>
      </c>
      <c r="P294" s="34">
        <f>O294/'D) Ecrêtage'!C294</f>
        <v>-1.861812537002475</v>
      </c>
    </row>
    <row r="295" spans="1:16" x14ac:dyDescent="0.25">
      <c r="A295" s="50">
        <f>+'A) Base RI'!A297</f>
        <v>5914</v>
      </c>
      <c r="B295" s="301" t="str">
        <f>+'A) Base RI'!B297</f>
        <v>Ependes</v>
      </c>
      <c r="C295" s="315">
        <f>+'D) Ecrêtage'!M295</f>
        <v>9355.5792000000001</v>
      </c>
      <c r="D295" s="292">
        <v>45474</v>
      </c>
      <c r="E295" s="315">
        <v>37213</v>
      </c>
      <c r="F295" s="292">
        <v>45343</v>
      </c>
      <c r="G295" s="315">
        <f t="shared" si="50"/>
        <v>128030</v>
      </c>
      <c r="H295" s="292">
        <f t="shared" si="51"/>
        <v>74844.633600000001</v>
      </c>
      <c r="I295" s="10">
        <f t="shared" si="52"/>
        <v>53185.366399999999</v>
      </c>
      <c r="J295" s="312">
        <f t="shared" si="47"/>
        <v>-35607.105397970401</v>
      </c>
      <c r="K295" s="14">
        <v>19916</v>
      </c>
      <c r="L295" s="10">
        <f t="shared" si="48"/>
        <v>9355.5792000000001</v>
      </c>
      <c r="M295" s="14">
        <f t="shared" si="53"/>
        <v>10560.4208</v>
      </c>
      <c r="N295" s="2">
        <f t="shared" si="49"/>
        <v>-7070.1029611129825</v>
      </c>
      <c r="O295" s="135">
        <f t="shared" si="54"/>
        <v>-42677.208359083386</v>
      </c>
      <c r="P295" s="34">
        <f>O295/'D) Ecrêtage'!C295</f>
        <v>-4.5616853266640494</v>
      </c>
    </row>
    <row r="296" spans="1:16" x14ac:dyDescent="0.25">
      <c r="A296" s="50">
        <f>+'A) Base RI'!A298</f>
        <v>5919</v>
      </c>
      <c r="B296" s="301" t="str">
        <f>+'A) Base RI'!B298</f>
        <v>Mathod</v>
      </c>
      <c r="C296" s="315">
        <f>+'D) Ecrêtage'!M296</f>
        <v>17162.928379629626</v>
      </c>
      <c r="D296" s="292">
        <v>155354</v>
      </c>
      <c r="E296" s="315">
        <v>38162</v>
      </c>
      <c r="F296" s="292">
        <v>29745</v>
      </c>
      <c r="G296" s="315">
        <f t="shared" si="50"/>
        <v>223261</v>
      </c>
      <c r="H296" s="292">
        <f t="shared" si="51"/>
        <v>137303.42703703701</v>
      </c>
      <c r="I296" s="10">
        <f t="shared" si="52"/>
        <v>85957.572962962993</v>
      </c>
      <c r="J296" s="312">
        <f t="shared" si="47"/>
        <v>-57547.791195548751</v>
      </c>
      <c r="K296" s="14">
        <v>8476</v>
      </c>
      <c r="L296" s="10">
        <f t="shared" si="48"/>
        <v>17162.928379629626</v>
      </c>
      <c r="M296" s="14">
        <f t="shared" si="53"/>
        <v>0</v>
      </c>
      <c r="N296" s="2">
        <f t="shared" si="49"/>
        <v>0</v>
      </c>
      <c r="O296" s="135">
        <f t="shared" si="54"/>
        <v>-57547.791195548751</v>
      </c>
      <c r="P296" s="34">
        <f>O296/'D) Ecrêtage'!C296</f>
        <v>-3.3530286861682184</v>
      </c>
    </row>
    <row r="297" spans="1:16" x14ac:dyDescent="0.25">
      <c r="A297" s="50">
        <f>+'A) Base RI'!A299</f>
        <v>5921</v>
      </c>
      <c r="B297" s="301" t="str">
        <f>+'A) Base RI'!B299</f>
        <v>Molondin</v>
      </c>
      <c r="C297" s="315">
        <f>+'D) Ecrêtage'!M297</f>
        <v>5558.427777777777</v>
      </c>
      <c r="D297" s="292">
        <v>30902</v>
      </c>
      <c r="E297" s="315">
        <v>9566</v>
      </c>
      <c r="F297" s="292">
        <v>15621</v>
      </c>
      <c r="G297" s="315">
        <f t="shared" si="50"/>
        <v>56089</v>
      </c>
      <c r="H297" s="292">
        <f t="shared" si="51"/>
        <v>44467.422222222216</v>
      </c>
      <c r="I297" s="10">
        <f t="shared" si="52"/>
        <v>11621.577777777784</v>
      </c>
      <c r="J297" s="312">
        <f t="shared" si="47"/>
        <v>-7780.5376334503208</v>
      </c>
      <c r="K297" s="14">
        <v>49193</v>
      </c>
      <c r="L297" s="10">
        <f t="shared" si="48"/>
        <v>5558.427777777777</v>
      </c>
      <c r="M297" s="14">
        <f t="shared" si="53"/>
        <v>43634.572222222225</v>
      </c>
      <c r="N297" s="2">
        <f t="shared" si="49"/>
        <v>-29212.938018078941</v>
      </c>
      <c r="O297" s="135">
        <f t="shared" si="54"/>
        <v>-36993.475651529261</v>
      </c>
      <c r="P297" s="34">
        <f>O297/'D) Ecrêtage'!C297</f>
        <v>-6.6553847833422797</v>
      </c>
    </row>
    <row r="298" spans="1:16" x14ac:dyDescent="0.25">
      <c r="A298" s="50">
        <f>+'A) Base RI'!A300</f>
        <v>5922</v>
      </c>
      <c r="B298" s="301" t="str">
        <f>+'A) Base RI'!B300</f>
        <v>Montagny-près-Yverdon</v>
      </c>
      <c r="C298" s="315">
        <f>+'D) Ecrêtage'!M298</f>
        <v>39297.928807692319</v>
      </c>
      <c r="D298" s="292">
        <v>150355</v>
      </c>
      <c r="E298" s="315">
        <v>273123</v>
      </c>
      <c r="F298" s="292">
        <v>119948</v>
      </c>
      <c r="G298" s="315">
        <f t="shared" si="50"/>
        <v>543426</v>
      </c>
      <c r="H298" s="292">
        <f t="shared" si="51"/>
        <v>314383.43046153855</v>
      </c>
      <c r="I298" s="10">
        <f t="shared" si="52"/>
        <v>229042.56953846145</v>
      </c>
      <c r="J298" s="312">
        <f t="shared" si="47"/>
        <v>-153341.85822546034</v>
      </c>
      <c r="K298" s="14">
        <v>2035</v>
      </c>
      <c r="L298" s="10">
        <f t="shared" si="48"/>
        <v>39297.928807692319</v>
      </c>
      <c r="M298" s="14">
        <f t="shared" si="53"/>
        <v>0</v>
      </c>
      <c r="N298" s="2">
        <f t="shared" si="49"/>
        <v>0</v>
      </c>
      <c r="O298" s="135">
        <f t="shared" si="54"/>
        <v>-153341.85822546034</v>
      </c>
      <c r="P298" s="34">
        <f>O298/'D) Ecrêtage'!C298</f>
        <v>-3.9020340989432665</v>
      </c>
    </row>
    <row r="299" spans="1:16" x14ac:dyDescent="0.25">
      <c r="A299" s="50">
        <f>+'A) Base RI'!A301</f>
        <v>5923</v>
      </c>
      <c r="B299" s="301" t="str">
        <f>+'A) Base RI'!B301</f>
        <v>Oppens</v>
      </c>
      <c r="C299" s="315">
        <f>+'D) Ecrêtage'!M299</f>
        <v>5148.3425925925922</v>
      </c>
      <c r="D299" s="292">
        <v>58896</v>
      </c>
      <c r="E299" s="315">
        <v>7710</v>
      </c>
      <c r="F299" s="292">
        <v>17142</v>
      </c>
      <c r="G299" s="315">
        <f t="shared" si="50"/>
        <v>83748</v>
      </c>
      <c r="H299" s="292">
        <f t="shared" si="51"/>
        <v>41186.740740740737</v>
      </c>
      <c r="I299" s="10">
        <f t="shared" si="52"/>
        <v>42561.259259259263</v>
      </c>
      <c r="J299" s="312">
        <f t="shared" si="47"/>
        <v>-28494.365027346852</v>
      </c>
      <c r="K299" s="14">
        <v>21866</v>
      </c>
      <c r="L299" s="10">
        <f t="shared" si="48"/>
        <v>5148.3425925925922</v>
      </c>
      <c r="M299" s="14">
        <f t="shared" si="53"/>
        <v>16717.657407407409</v>
      </c>
      <c r="N299" s="2">
        <f t="shared" si="49"/>
        <v>-11192.315285294646</v>
      </c>
      <c r="O299" s="135">
        <f t="shared" si="54"/>
        <v>-39686.680312641496</v>
      </c>
      <c r="P299" s="34">
        <f>O299/'D) Ecrêtage'!C299</f>
        <v>-7.7086323605858089</v>
      </c>
    </row>
    <row r="300" spans="1:16" x14ac:dyDescent="0.25">
      <c r="A300" s="50">
        <f>+'A) Base RI'!A302</f>
        <v>5924</v>
      </c>
      <c r="B300" s="301" t="str">
        <f>+'A) Base RI'!B302</f>
        <v>Orges</v>
      </c>
      <c r="C300" s="315">
        <f>+'D) Ecrêtage'!M300</f>
        <v>10554.565405405407</v>
      </c>
      <c r="D300" s="292">
        <v>42764</v>
      </c>
      <c r="E300" s="315">
        <v>13854</v>
      </c>
      <c r="F300" s="292">
        <v>26161</v>
      </c>
      <c r="G300" s="315">
        <f t="shared" si="50"/>
        <v>82779</v>
      </c>
      <c r="H300" s="292">
        <f t="shared" si="51"/>
        <v>84436.523243243253</v>
      </c>
      <c r="I300" s="10">
        <f t="shared" si="52"/>
        <v>0</v>
      </c>
      <c r="J300" s="312">
        <f t="shared" si="47"/>
        <v>0</v>
      </c>
      <c r="K300" s="14">
        <v>1047</v>
      </c>
      <c r="L300" s="10">
        <f t="shared" si="48"/>
        <v>10554.565405405407</v>
      </c>
      <c r="M300" s="14">
        <f t="shared" si="53"/>
        <v>0</v>
      </c>
      <c r="N300" s="2">
        <f t="shared" si="49"/>
        <v>0</v>
      </c>
      <c r="O300" s="135">
        <f t="shared" si="54"/>
        <v>0</v>
      </c>
      <c r="P300" s="34">
        <f>O300/'D) Ecrêtage'!C300</f>
        <v>0</v>
      </c>
    </row>
    <row r="301" spans="1:16" x14ac:dyDescent="0.25">
      <c r="A301" s="50">
        <f>+'A) Base RI'!A303</f>
        <v>5925</v>
      </c>
      <c r="B301" s="301" t="str">
        <f>+'A) Base RI'!B303</f>
        <v>Orzens</v>
      </c>
      <c r="C301" s="315">
        <f>+'D) Ecrêtage'!M301</f>
        <v>5593.0722784810123</v>
      </c>
      <c r="D301" s="292">
        <v>6790</v>
      </c>
      <c r="E301" s="315">
        <v>8041</v>
      </c>
      <c r="F301" s="292">
        <v>17876</v>
      </c>
      <c r="G301" s="315">
        <f t="shared" si="50"/>
        <v>32707</v>
      </c>
      <c r="H301" s="292">
        <f t="shared" si="51"/>
        <v>44744.578227848098</v>
      </c>
      <c r="I301" s="10">
        <f t="shared" si="52"/>
        <v>0</v>
      </c>
      <c r="J301" s="312">
        <f t="shared" si="47"/>
        <v>0</v>
      </c>
      <c r="K301" s="14">
        <v>28242</v>
      </c>
      <c r="L301" s="10">
        <f t="shared" si="48"/>
        <v>5593.0722784810123</v>
      </c>
      <c r="M301" s="14">
        <f t="shared" si="53"/>
        <v>22648.927721518987</v>
      </c>
      <c r="N301" s="2">
        <f t="shared" si="49"/>
        <v>-15163.245289424955</v>
      </c>
      <c r="O301" s="135">
        <f t="shared" si="54"/>
        <v>-15163.245289424955</v>
      </c>
      <c r="P301" s="34">
        <f>O301/'D) Ecrêtage'!C301</f>
        <v>-2.7110762268824184</v>
      </c>
    </row>
    <row r="302" spans="1:16" x14ac:dyDescent="0.25">
      <c r="A302" s="50">
        <f>+'A) Base RI'!A304</f>
        <v>5926</v>
      </c>
      <c r="B302" s="301" t="str">
        <f>+'A) Base RI'!B304</f>
        <v>Pomy</v>
      </c>
      <c r="C302" s="315">
        <f>+'D) Ecrêtage'!M302</f>
        <v>26612.015633802817</v>
      </c>
      <c r="D302" s="292">
        <v>91810</v>
      </c>
      <c r="E302" s="315">
        <v>48552</v>
      </c>
      <c r="F302" s="292">
        <v>70969</v>
      </c>
      <c r="G302" s="315">
        <f t="shared" si="50"/>
        <v>211331</v>
      </c>
      <c r="H302" s="292">
        <f t="shared" si="51"/>
        <v>212896.12507042254</v>
      </c>
      <c r="I302" s="10">
        <f t="shared" si="52"/>
        <v>0</v>
      </c>
      <c r="J302" s="312">
        <f t="shared" si="47"/>
        <v>0</v>
      </c>
      <c r="K302" s="14">
        <v>43526</v>
      </c>
      <c r="L302" s="10">
        <f t="shared" si="48"/>
        <v>26612.015633802817</v>
      </c>
      <c r="M302" s="14">
        <f t="shared" si="53"/>
        <v>16913.984366197183</v>
      </c>
      <c r="N302" s="2">
        <f t="shared" si="49"/>
        <v>-11323.754348090883</v>
      </c>
      <c r="O302" s="135">
        <f t="shared" si="54"/>
        <v>-11323.754348090883</v>
      </c>
      <c r="P302" s="34">
        <f>O302/'D) Ecrêtage'!C302</f>
        <v>-0.4255128399108315</v>
      </c>
    </row>
    <row r="303" spans="1:16" x14ac:dyDescent="0.25">
      <c r="A303" s="50">
        <f>+'A) Base RI'!A305</f>
        <v>5928</v>
      </c>
      <c r="B303" s="301" t="str">
        <f>+'A) Base RI'!B305</f>
        <v>Rovray</v>
      </c>
      <c r="C303" s="315">
        <f>+'D) Ecrêtage'!M303</f>
        <v>4333.9980821917816</v>
      </c>
      <c r="D303" s="292">
        <v>24142</v>
      </c>
      <c r="E303" s="315">
        <v>7711</v>
      </c>
      <c r="F303" s="292">
        <v>16333</v>
      </c>
      <c r="G303" s="315">
        <f t="shared" si="50"/>
        <v>48186</v>
      </c>
      <c r="H303" s="292">
        <f t="shared" si="51"/>
        <v>34671.984657534253</v>
      </c>
      <c r="I303" s="10">
        <f t="shared" si="52"/>
        <v>13514.015342465747</v>
      </c>
      <c r="J303" s="312">
        <f t="shared" si="47"/>
        <v>-9047.5068843178451</v>
      </c>
      <c r="K303" s="14">
        <v>1896</v>
      </c>
      <c r="L303" s="10">
        <f t="shared" si="48"/>
        <v>4333.9980821917816</v>
      </c>
      <c r="M303" s="14">
        <f t="shared" si="53"/>
        <v>0</v>
      </c>
      <c r="N303" s="2">
        <f t="shared" si="49"/>
        <v>0</v>
      </c>
      <c r="O303" s="135">
        <f t="shared" si="54"/>
        <v>-9047.5068843178451</v>
      </c>
      <c r="P303" s="34">
        <f>O303/'D) Ecrêtage'!C303</f>
        <v>-2.087565963975313</v>
      </c>
    </row>
    <row r="304" spans="1:16" x14ac:dyDescent="0.25">
      <c r="A304" s="50">
        <f>+'A) Base RI'!A306</f>
        <v>5929</v>
      </c>
      <c r="B304" s="301" t="str">
        <f>+'A) Base RI'!B306</f>
        <v>Suchy</v>
      </c>
      <c r="C304" s="315">
        <f>+'D) Ecrêtage'!M304</f>
        <v>17148.792607142859</v>
      </c>
      <c r="D304" s="292">
        <v>34402</v>
      </c>
      <c r="E304" s="315">
        <v>24946</v>
      </c>
      <c r="F304" s="292">
        <v>80309</v>
      </c>
      <c r="G304" s="315">
        <f t="shared" si="50"/>
        <v>139657</v>
      </c>
      <c r="H304" s="292">
        <f t="shared" si="51"/>
        <v>137190.34085714287</v>
      </c>
      <c r="I304" s="10">
        <f t="shared" si="52"/>
        <v>2466.6591428571264</v>
      </c>
      <c r="J304" s="312">
        <f t="shared" si="47"/>
        <v>-1651.4052271449809</v>
      </c>
      <c r="K304" s="14">
        <v>37695</v>
      </c>
      <c r="L304" s="10">
        <f t="shared" si="48"/>
        <v>17148.792607142859</v>
      </c>
      <c r="M304" s="14">
        <f t="shared" si="53"/>
        <v>20546.207392857141</v>
      </c>
      <c r="N304" s="2">
        <f t="shared" si="49"/>
        <v>-13755.493694709658</v>
      </c>
      <c r="O304" s="135">
        <f t="shared" si="54"/>
        <v>-15406.898921854638</v>
      </c>
      <c r="P304" s="34">
        <f>O304/'D) Ecrêtage'!C304</f>
        <v>-0.89842470398979091</v>
      </c>
    </row>
    <row r="305" spans="1:16" x14ac:dyDescent="0.25">
      <c r="A305" s="50">
        <f>+'A) Base RI'!A307</f>
        <v>5930</v>
      </c>
      <c r="B305" s="301" t="str">
        <f>+'A) Base RI'!B307</f>
        <v>Suscévaz</v>
      </c>
      <c r="C305" s="315">
        <f>+'D) Ecrêtage'!M305</f>
        <v>5907.1765277777777</v>
      </c>
      <c r="D305" s="292">
        <v>63469</v>
      </c>
      <c r="E305" s="315">
        <v>12370</v>
      </c>
      <c r="F305" s="292">
        <v>10288</v>
      </c>
      <c r="G305" s="315">
        <f t="shared" si="50"/>
        <v>86127</v>
      </c>
      <c r="H305" s="292">
        <f t="shared" si="51"/>
        <v>47257.412222222221</v>
      </c>
      <c r="I305" s="10">
        <f t="shared" si="52"/>
        <v>38869.587777777779</v>
      </c>
      <c r="J305" s="312">
        <f t="shared" si="47"/>
        <v>-26022.825496206333</v>
      </c>
      <c r="K305" s="14">
        <v>5362</v>
      </c>
      <c r="L305" s="10">
        <f t="shared" si="48"/>
        <v>5907.1765277777777</v>
      </c>
      <c r="M305" s="14">
        <f t="shared" si="53"/>
        <v>0</v>
      </c>
      <c r="N305" s="2">
        <f t="shared" si="49"/>
        <v>0</v>
      </c>
      <c r="O305" s="135">
        <f t="shared" si="54"/>
        <v>-26022.825496206333</v>
      </c>
      <c r="P305" s="34">
        <f>O305/'D) Ecrêtage'!C305</f>
        <v>-4.405289967861493</v>
      </c>
    </row>
    <row r="306" spans="1:16" x14ac:dyDescent="0.25">
      <c r="A306" s="50">
        <f>+'A) Base RI'!A308</f>
        <v>5931</v>
      </c>
      <c r="B306" s="301" t="str">
        <f>+'A) Base RI'!B308</f>
        <v>Treycovagnes</v>
      </c>
      <c r="C306" s="315">
        <f>+'D) Ecrêtage'!M306</f>
        <v>12973.060799999999</v>
      </c>
      <c r="D306" s="292">
        <v>67240</v>
      </c>
      <c r="E306" s="315">
        <v>28204</v>
      </c>
      <c r="F306" s="292">
        <v>19420</v>
      </c>
      <c r="G306" s="315">
        <f t="shared" si="50"/>
        <v>114864</v>
      </c>
      <c r="H306" s="292">
        <f t="shared" si="51"/>
        <v>103784.48639999999</v>
      </c>
      <c r="I306" s="10">
        <f t="shared" si="52"/>
        <v>11079.513600000006</v>
      </c>
      <c r="J306" s="312">
        <f t="shared" si="47"/>
        <v>-7417.6307359884368</v>
      </c>
      <c r="K306" s="14">
        <v>839</v>
      </c>
      <c r="L306" s="10">
        <f t="shared" si="48"/>
        <v>12973.060799999999</v>
      </c>
      <c r="M306" s="14">
        <f t="shared" si="53"/>
        <v>0</v>
      </c>
      <c r="N306" s="2">
        <f t="shared" si="49"/>
        <v>0</v>
      </c>
      <c r="O306" s="135">
        <f t="shared" si="54"/>
        <v>-7417.6307359884368</v>
      </c>
      <c r="P306" s="34">
        <f>O306/'D) Ecrêtage'!C306</f>
        <v>-0.57177183167047496</v>
      </c>
    </row>
    <row r="307" spans="1:16" x14ac:dyDescent="0.25">
      <c r="A307" s="50">
        <f>+'A) Base RI'!A309</f>
        <v>5932</v>
      </c>
      <c r="B307" s="301" t="str">
        <f>+'A) Base RI'!B309</f>
        <v>Ursins</v>
      </c>
      <c r="C307" s="315">
        <f>+'D) Ecrêtage'!M307</f>
        <v>6683.323116883118</v>
      </c>
      <c r="D307" s="292">
        <v>21410</v>
      </c>
      <c r="E307" s="315">
        <v>8899</v>
      </c>
      <c r="F307" s="292">
        <v>8523</v>
      </c>
      <c r="G307" s="315">
        <f t="shared" si="50"/>
        <v>38832</v>
      </c>
      <c r="H307" s="292">
        <f t="shared" si="51"/>
        <v>53466.584935064944</v>
      </c>
      <c r="I307" s="10">
        <f t="shared" si="52"/>
        <v>0</v>
      </c>
      <c r="J307" s="312">
        <f t="shared" si="47"/>
        <v>0</v>
      </c>
      <c r="K307" s="14">
        <v>20430</v>
      </c>
      <c r="L307" s="10">
        <f t="shared" si="48"/>
        <v>6683.323116883118</v>
      </c>
      <c r="M307" s="14">
        <f t="shared" si="53"/>
        <v>13746.676883116881</v>
      </c>
      <c r="N307" s="2">
        <f t="shared" si="49"/>
        <v>-9203.2716098574456</v>
      </c>
      <c r="O307" s="135">
        <f t="shared" si="54"/>
        <v>-9203.2716098574456</v>
      </c>
      <c r="P307" s="34">
        <f>O307/'D) Ecrêtage'!C307</f>
        <v>-1.3770502261978841</v>
      </c>
    </row>
    <row r="308" spans="1:16" x14ac:dyDescent="0.25">
      <c r="A308" s="50">
        <f>+'A) Base RI'!A310</f>
        <v>5933</v>
      </c>
      <c r="B308" s="301" t="str">
        <f>+'A) Base RI'!B310</f>
        <v>Valeyres-sous-Montagny</v>
      </c>
      <c r="C308" s="315">
        <f>+'D) Ecrêtage'!M308</f>
        <v>22363.871527777774</v>
      </c>
      <c r="D308" s="292">
        <v>217039</v>
      </c>
      <c r="E308" s="315">
        <v>72674</v>
      </c>
      <c r="F308" s="292">
        <v>92113</v>
      </c>
      <c r="G308" s="315">
        <f t="shared" si="50"/>
        <v>381826</v>
      </c>
      <c r="H308" s="292">
        <f t="shared" si="51"/>
        <v>178910.97222222219</v>
      </c>
      <c r="I308" s="10">
        <f t="shared" si="52"/>
        <v>202915.02777777781</v>
      </c>
      <c r="J308" s="312">
        <f t="shared" si="47"/>
        <v>-135849.71336994355</v>
      </c>
      <c r="K308" s="14">
        <v>4858</v>
      </c>
      <c r="L308" s="10">
        <f t="shared" si="48"/>
        <v>22363.871527777774</v>
      </c>
      <c r="M308" s="14">
        <f t="shared" si="53"/>
        <v>0</v>
      </c>
      <c r="N308" s="2">
        <f t="shared" si="49"/>
        <v>0</v>
      </c>
      <c r="O308" s="135">
        <f t="shared" si="54"/>
        <v>-135849.71336994355</v>
      </c>
      <c r="P308" s="34">
        <f>O308/'D) Ecrêtage'!C308</f>
        <v>-6.0745168027462055</v>
      </c>
    </row>
    <row r="309" spans="1:16" x14ac:dyDescent="0.25">
      <c r="A309" s="50">
        <f>+'A) Base RI'!A311</f>
        <v>5934</v>
      </c>
      <c r="B309" s="301" t="str">
        <f>+'A) Base RI'!B311</f>
        <v>Valeyres-sous-Ursins</v>
      </c>
      <c r="C309" s="315">
        <f>+'D) Ecrêtage'!M309</f>
        <v>7624.9658227848104</v>
      </c>
      <c r="D309" s="292">
        <v>9999</v>
      </c>
      <c r="E309" s="315">
        <v>9814</v>
      </c>
      <c r="F309" s="292">
        <v>11401</v>
      </c>
      <c r="G309" s="315">
        <f t="shared" si="50"/>
        <v>31214</v>
      </c>
      <c r="H309" s="292">
        <f t="shared" si="51"/>
        <v>60999.726582278483</v>
      </c>
      <c r="I309" s="10">
        <f t="shared" si="52"/>
        <v>0</v>
      </c>
      <c r="J309" s="312">
        <f t="shared" si="47"/>
        <v>0</v>
      </c>
      <c r="K309" s="14">
        <v>16891</v>
      </c>
      <c r="L309" s="10">
        <f t="shared" si="48"/>
        <v>7624.9658227848104</v>
      </c>
      <c r="M309" s="14">
        <f t="shared" si="53"/>
        <v>9266.0341772151896</v>
      </c>
      <c r="N309" s="2">
        <f t="shared" si="49"/>
        <v>-6203.5232226828693</v>
      </c>
      <c r="O309" s="135">
        <f t="shared" si="54"/>
        <v>-6203.5232226828693</v>
      </c>
      <c r="P309" s="34">
        <f>O309/'D) Ecrêtage'!C309</f>
        <v>-0.81358046276687468</v>
      </c>
    </row>
    <row r="310" spans="1:16" x14ac:dyDescent="0.25">
      <c r="A310" s="50">
        <f>+'A) Base RI'!A312</f>
        <v>5935</v>
      </c>
      <c r="B310" s="301" t="str">
        <f>+'A) Base RI'!B312</f>
        <v>Villars-Epeney</v>
      </c>
      <c r="C310" s="315">
        <f>+'D) Ecrêtage'!M310</f>
        <v>5594.2837181991172</v>
      </c>
      <c r="D310" s="292">
        <v>12379</v>
      </c>
      <c r="E310" s="315">
        <v>4371</v>
      </c>
      <c r="F310" s="292">
        <v>7356</v>
      </c>
      <c r="G310" s="315">
        <f t="shared" si="50"/>
        <v>24106</v>
      </c>
      <c r="H310" s="292">
        <f t="shared" si="51"/>
        <v>44754.269745592937</v>
      </c>
      <c r="I310" s="10">
        <f t="shared" si="52"/>
        <v>0</v>
      </c>
      <c r="J310" s="312">
        <f t="shared" si="47"/>
        <v>0</v>
      </c>
      <c r="K310" s="14">
        <v>14937</v>
      </c>
      <c r="L310" s="10">
        <f t="shared" si="48"/>
        <v>5594.2837181991172</v>
      </c>
      <c r="M310" s="14">
        <f t="shared" si="53"/>
        <v>9342.7162818008837</v>
      </c>
      <c r="N310" s="2">
        <f t="shared" si="49"/>
        <v>-6254.8611745470316</v>
      </c>
      <c r="O310" s="135">
        <f t="shared" si="54"/>
        <v>-6254.8611745470316</v>
      </c>
      <c r="P310" s="34">
        <f>O310/'D) Ecrêtage'!C310</f>
        <v>-1.1162087773516536</v>
      </c>
    </row>
    <row r="311" spans="1:16" x14ac:dyDescent="0.25">
      <c r="A311" s="50">
        <f>+'A) Base RI'!A313</f>
        <v>5937</v>
      </c>
      <c r="B311" s="301" t="str">
        <f>+'A) Base RI'!B313</f>
        <v>Vugelles-La Mothe</v>
      </c>
      <c r="C311" s="315">
        <f>+'D) Ecrêtage'!M311</f>
        <v>2433.2134081632657</v>
      </c>
      <c r="D311" s="292">
        <v>25422</v>
      </c>
      <c r="E311" s="315">
        <v>5031</v>
      </c>
      <c r="F311" s="292">
        <v>23727</v>
      </c>
      <c r="G311" s="315">
        <f t="shared" si="50"/>
        <v>54180</v>
      </c>
      <c r="H311" s="292">
        <f t="shared" si="51"/>
        <v>19465.707265306126</v>
      </c>
      <c r="I311" s="10">
        <f t="shared" si="52"/>
        <v>34714.292734693874</v>
      </c>
      <c r="J311" s="312">
        <f t="shared" si="47"/>
        <v>-23240.894326531197</v>
      </c>
      <c r="K311" s="14">
        <v>16668</v>
      </c>
      <c r="L311" s="10">
        <f t="shared" si="48"/>
        <v>2433.2134081632657</v>
      </c>
      <c r="M311" s="14">
        <f t="shared" si="53"/>
        <v>14234.786591836735</v>
      </c>
      <c r="N311" s="2">
        <f t="shared" si="49"/>
        <v>-9530.056494884775</v>
      </c>
      <c r="O311" s="135">
        <f t="shared" si="54"/>
        <v>-32770.950821415972</v>
      </c>
      <c r="P311" s="34">
        <f>O311/'D) Ecrêtage'!C311</f>
        <v>-13.468177806135564</v>
      </c>
    </row>
    <row r="312" spans="1:16" x14ac:dyDescent="0.25">
      <c r="A312" s="50">
        <f>+'A) Base RI'!A314</f>
        <v>5938</v>
      </c>
      <c r="B312" s="301" t="str">
        <f>+'A) Base RI'!B314</f>
        <v>Yverdon-les-Bains</v>
      </c>
      <c r="C312" s="315">
        <f>+'D) Ecrêtage'!M312</f>
        <v>774658.89816993475</v>
      </c>
      <c r="D312" s="292">
        <v>9606441</v>
      </c>
      <c r="E312" s="315">
        <v>7291815</v>
      </c>
      <c r="F312" s="292">
        <v>800580</v>
      </c>
      <c r="G312" s="315">
        <f t="shared" si="50"/>
        <v>17698836</v>
      </c>
      <c r="H312" s="292">
        <f t="shared" si="51"/>
        <v>6197271.185359478</v>
      </c>
      <c r="I312" s="10">
        <f t="shared" si="52"/>
        <v>11501564.814640522</v>
      </c>
      <c r="J312" s="312">
        <f t="shared" si="47"/>
        <v>-7700190.0770301549</v>
      </c>
      <c r="K312" s="14">
        <v>205363</v>
      </c>
      <c r="L312" s="10">
        <f t="shared" si="48"/>
        <v>774658.89816993475</v>
      </c>
      <c r="M312" s="14">
        <f t="shared" si="53"/>
        <v>0</v>
      </c>
      <c r="N312" s="2">
        <f t="shared" si="49"/>
        <v>0</v>
      </c>
      <c r="O312" s="135">
        <f t="shared" si="54"/>
        <v>-7700190.0770301549</v>
      </c>
      <c r="P312" s="34">
        <f>O312/'D) Ecrêtage'!C312</f>
        <v>-9.9401040835149423</v>
      </c>
    </row>
    <row r="313" spans="1:16" x14ac:dyDescent="0.25">
      <c r="A313" s="50">
        <f>+'A) Base RI'!A315</f>
        <v>5939</v>
      </c>
      <c r="B313" s="301" t="str">
        <f>+'A) Base RI'!B315</f>
        <v>Yvonand</v>
      </c>
      <c r="C313" s="315">
        <f>+'D) Ecrêtage'!M313</f>
        <v>93821.233287671232</v>
      </c>
      <c r="D313" s="292">
        <v>423529</v>
      </c>
      <c r="E313" s="315">
        <v>345434</v>
      </c>
      <c r="F313" s="292">
        <v>288992</v>
      </c>
      <c r="G313" s="315">
        <f t="shared" si="50"/>
        <v>1057955</v>
      </c>
      <c r="H313" s="292">
        <f t="shared" si="51"/>
        <v>750569.86630136985</v>
      </c>
      <c r="I313" s="10">
        <f t="shared" si="52"/>
        <v>307385.13369863015</v>
      </c>
      <c r="J313" s="312">
        <f t="shared" si="47"/>
        <v>-205791.47224557519</v>
      </c>
      <c r="K313" s="75">
        <v>111819</v>
      </c>
      <c r="L313" s="19">
        <f t="shared" si="48"/>
        <v>93821.233287671232</v>
      </c>
      <c r="M313" s="75">
        <f t="shared" si="53"/>
        <v>17997.766712328768</v>
      </c>
      <c r="N313" s="136">
        <f t="shared" si="49"/>
        <v>-12049.336492941295</v>
      </c>
      <c r="O313" s="137">
        <f t="shared" si="54"/>
        <v>-217840.8087385165</v>
      </c>
      <c r="P313" s="34">
        <f>O313/'D) Ecrêtage'!C313</f>
        <v>-2.3218710850941489</v>
      </c>
    </row>
    <row r="314" spans="1:16" x14ac:dyDescent="0.25">
      <c r="A314" s="83"/>
      <c r="B314" s="308">
        <f>COUNTA(B5:B313)</f>
        <v>309</v>
      </c>
      <c r="C314" s="11">
        <f t="shared" ref="C314:O314" si="55">SUM(C5:C313)</f>
        <v>36057927.800654255</v>
      </c>
      <c r="D314" s="309">
        <f t="shared" si="55"/>
        <v>256426623</v>
      </c>
      <c r="E314" s="11">
        <f t="shared" si="55"/>
        <v>169980988</v>
      </c>
      <c r="F314" s="309">
        <f t="shared" si="55"/>
        <v>41237598</v>
      </c>
      <c r="G314" s="11">
        <f t="shared" si="55"/>
        <v>467645209</v>
      </c>
      <c r="H314" s="309">
        <f t="shared" si="55"/>
        <v>288463422.40523404</v>
      </c>
      <c r="I314" s="11">
        <f t="shared" si="55"/>
        <v>207965212.06128219</v>
      </c>
      <c r="J314" s="313">
        <f t="shared" si="55"/>
        <v>-139230764.5167852</v>
      </c>
      <c r="K314" s="126">
        <f t="shared" si="55"/>
        <v>20804824</v>
      </c>
      <c r="L314" s="19">
        <f t="shared" si="55"/>
        <v>36057927.800654255</v>
      </c>
      <c r="M314" s="11">
        <f t="shared" si="55"/>
        <v>7469778.2608296722</v>
      </c>
      <c r="N314" s="313">
        <f t="shared" si="55"/>
        <v>-5000946.685831802</v>
      </c>
      <c r="O314" s="313">
        <f t="shared" si="55"/>
        <v>-144231711.20261699</v>
      </c>
      <c r="P314" s="20">
        <f>O314/'D) Ecrêtage'!C314</f>
        <v>-3.8962824567096486</v>
      </c>
    </row>
  </sheetData>
  <mergeCells count="10">
    <mergeCell ref="D3:D4"/>
    <mergeCell ref="C3:C4"/>
    <mergeCell ref="B3:B4"/>
    <mergeCell ref="A3:A4"/>
    <mergeCell ref="L3:L4"/>
    <mergeCell ref="K3:K4"/>
    <mergeCell ref="H3:H4"/>
    <mergeCell ref="G3:G4"/>
    <mergeCell ref="F3:F4"/>
    <mergeCell ref="E3:E4"/>
  </mergeCells>
  <phoneticPr fontId="0" type="noConversion"/>
  <printOptions horizontalCentered="1"/>
  <pageMargins left="0" right="0" top="0" bottom="0" header="0.51181102362204722" footer="0.51181102362204722"/>
  <pageSetup paperSize="9" scale="64" orientation="landscape" horizontalDpi="1200" verticalDpi="1200"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3">
    <tabColor rgb="FF00B050"/>
  </sheetPr>
  <dimension ref="A1:Y320"/>
  <sheetViews>
    <sheetView workbookViewId="0">
      <pane ySplit="4" topLeftCell="A5" activePane="bottomLeft" state="frozen"/>
      <selection pane="bottomLeft" activeCell="A5" sqref="A5"/>
    </sheetView>
  </sheetViews>
  <sheetFormatPr baseColWidth="10" defaultColWidth="10.75" defaultRowHeight="15" x14ac:dyDescent="0.25"/>
  <cols>
    <col min="1" max="1" width="7.25" style="13" customWidth="1"/>
    <col min="2" max="2" width="19.875" style="13" customWidth="1"/>
    <col min="3" max="4" width="10" style="13" customWidth="1"/>
    <col min="5" max="5" width="11.125" style="13" customWidth="1"/>
    <col min="6" max="7" width="10" style="13" customWidth="1"/>
    <col min="8" max="8" width="10" style="144" customWidth="1"/>
    <col min="9" max="9" width="10" style="13" customWidth="1"/>
    <col min="10" max="10" width="10" style="15" customWidth="1"/>
    <col min="11" max="11" width="12.125" style="15" customWidth="1"/>
    <col min="12" max="14" width="12.125" style="13" customWidth="1"/>
    <col min="15" max="17" width="8.125" style="13" customWidth="1"/>
    <col min="18" max="16384" width="10.75" style="13"/>
  </cols>
  <sheetData>
    <row r="1" spans="1:25" s="44" customFormat="1" ht="21" x14ac:dyDescent="0.25">
      <c r="A1" s="52" t="s">
        <v>216</v>
      </c>
      <c r="B1" s="43"/>
      <c r="C1" s="73"/>
      <c r="D1" s="73"/>
      <c r="E1" s="73"/>
      <c r="F1" s="73"/>
      <c r="G1" s="73"/>
      <c r="H1" s="143"/>
      <c r="I1" s="73"/>
      <c r="J1" s="138"/>
      <c r="K1" s="139"/>
      <c r="L1" s="60"/>
      <c r="N1" s="13"/>
      <c r="O1" s="13"/>
      <c r="P1" s="13"/>
      <c r="Q1" s="13"/>
      <c r="R1" s="13"/>
      <c r="Y1" s="13"/>
    </row>
    <row r="3" spans="1:25" ht="30" x14ac:dyDescent="0.25">
      <c r="A3" s="535" t="s">
        <v>50</v>
      </c>
      <c r="B3" s="535" t="s">
        <v>101</v>
      </c>
      <c r="C3" s="535" t="s">
        <v>376</v>
      </c>
      <c r="D3" s="535" t="s">
        <v>98</v>
      </c>
      <c r="E3" s="535" t="s">
        <v>334</v>
      </c>
      <c r="F3" s="535" t="s">
        <v>374</v>
      </c>
      <c r="G3" s="561" t="s">
        <v>363</v>
      </c>
      <c r="H3" s="145" t="s">
        <v>151</v>
      </c>
      <c r="I3" s="559" t="s">
        <v>377</v>
      </c>
      <c r="J3" s="566" t="s">
        <v>346</v>
      </c>
    </row>
    <row r="4" spans="1:25" x14ac:dyDescent="0.25">
      <c r="A4" s="537"/>
      <c r="B4" s="536"/>
      <c r="C4" s="537"/>
      <c r="D4" s="536"/>
      <c r="E4" s="537"/>
      <c r="F4" s="536"/>
      <c r="G4" s="572"/>
      <c r="H4" s="261">
        <f>Paramètres!B47</f>
        <v>45</v>
      </c>
      <c r="I4" s="571"/>
      <c r="J4" s="567"/>
    </row>
    <row r="5" spans="1:25" x14ac:dyDescent="0.25">
      <c r="A5" s="47">
        <f>'A) Base RI'!A7</f>
        <v>5401</v>
      </c>
      <c r="B5" s="301" t="str">
        <f>'A) Base RI'!B7</f>
        <v>Aigle</v>
      </c>
      <c r="C5" s="99">
        <f>'B) D RI'!U7</f>
        <v>276325.40780246921</v>
      </c>
      <c r="D5" s="116">
        <f>'E) Fact soc'!G11/C5</f>
        <v>19.038522807154767</v>
      </c>
      <c r="E5" s="140">
        <f>'H) Péréquation directe'!I16/C5</f>
        <v>-11.493485396314856</v>
      </c>
      <c r="F5" s="116">
        <f>+'I) Dépenses thématiques'!O5/'J) Plafonnement effort'!C5</f>
        <v>-8.0004101058734367</v>
      </c>
      <c r="G5" s="140">
        <f>SUM(D5:F5)</f>
        <v>-0.4553726950335264</v>
      </c>
      <c r="H5" s="316">
        <f t="shared" ref="H5" si="0">IF(G5&gt;H$4,H$4-G5,0)</f>
        <v>0</v>
      </c>
      <c r="I5" s="105">
        <f>H5*C5</f>
        <v>0</v>
      </c>
      <c r="J5" s="92">
        <f>G5+H5</f>
        <v>-0.4553726950335264</v>
      </c>
    </row>
    <row r="6" spans="1:25" x14ac:dyDescent="0.25">
      <c r="A6" s="50">
        <f>'A) Base RI'!A8</f>
        <v>5402</v>
      </c>
      <c r="B6" s="301" t="str">
        <f>'A) Base RI'!B8</f>
        <v>Bex</v>
      </c>
      <c r="C6" s="100">
        <f>'B) D RI'!U8</f>
        <v>172586.81591549295</v>
      </c>
      <c r="D6" s="116">
        <f>'E) Fact soc'!G12/C6</f>
        <v>17.542502442224958</v>
      </c>
      <c r="E6" s="141">
        <f>'H) Péréquation directe'!I17/C6</f>
        <v>-21.534440236731719</v>
      </c>
      <c r="F6" s="116">
        <f>+'I) Dépenses thématiques'!O6/'J) Plafonnement effort'!C6</f>
        <v>-9.8192828908289744</v>
      </c>
      <c r="G6" s="141">
        <f t="shared" ref="G6:G69" si="1">SUM(D6:F6)</f>
        <v>-13.811220685335735</v>
      </c>
      <c r="H6" s="316">
        <f t="shared" ref="H6:H69" si="2">IF(G6&gt;H$4,H$4-G6,0)</f>
        <v>0</v>
      </c>
      <c r="I6" s="58">
        <f t="shared" ref="I6:I69" si="3">H6*C6</f>
        <v>0</v>
      </c>
      <c r="J6" s="34">
        <f t="shared" ref="J6:J69" si="4">G6+H6</f>
        <v>-13.811220685335735</v>
      </c>
    </row>
    <row r="7" spans="1:25" x14ac:dyDescent="0.25">
      <c r="A7" s="50">
        <f>'A) Base RI'!A9</f>
        <v>5403</v>
      </c>
      <c r="B7" s="301" t="str">
        <f>'A) Base RI'!B9</f>
        <v>Chessel</v>
      </c>
      <c r="C7" s="100">
        <f>'B) D RI'!U9</f>
        <v>10175.556621621625</v>
      </c>
      <c r="D7" s="116">
        <f>'E) Fact soc'!G13/C7</f>
        <v>17.791323534761236</v>
      </c>
      <c r="E7" s="141">
        <f>'H) Péréquation directe'!I18/C7</f>
        <v>-4.4755296701246055</v>
      </c>
      <c r="F7" s="116">
        <f>+'I) Dépenses thématiques'!O7/'J) Plafonnement effort'!C7</f>
        <v>-3.9588905880751448</v>
      </c>
      <c r="G7" s="141">
        <f t="shared" si="1"/>
        <v>9.3569032765614875</v>
      </c>
      <c r="H7" s="316">
        <f t="shared" si="2"/>
        <v>0</v>
      </c>
      <c r="I7" s="58">
        <f t="shared" si="3"/>
        <v>0</v>
      </c>
      <c r="J7" s="34">
        <f t="shared" si="4"/>
        <v>9.3569032765614875</v>
      </c>
    </row>
    <row r="8" spans="1:25" x14ac:dyDescent="0.25">
      <c r="A8" s="50">
        <f>'A) Base RI'!A10</f>
        <v>5404</v>
      </c>
      <c r="B8" s="301" t="str">
        <f>'A) Base RI'!B10</f>
        <v>Corbeyrier</v>
      </c>
      <c r="C8" s="100">
        <f>'B) D RI'!U10</f>
        <v>12084.741666666667</v>
      </c>
      <c r="D8" s="116">
        <f>'E) Fact soc'!G14/C8</f>
        <v>17.613395115179838</v>
      </c>
      <c r="E8" s="141">
        <f>'H) Péréquation directe'!I19/C8</f>
        <v>3.041045268205091</v>
      </c>
      <c r="F8" s="116">
        <f>+'I) Dépenses thématiques'!O8/'J) Plafonnement effort'!C8</f>
        <v>-11.073967968934925</v>
      </c>
      <c r="G8" s="141">
        <f t="shared" si="1"/>
        <v>9.5804724144500053</v>
      </c>
      <c r="H8" s="316">
        <f t="shared" si="2"/>
        <v>0</v>
      </c>
      <c r="I8" s="58">
        <f t="shared" si="3"/>
        <v>0</v>
      </c>
      <c r="J8" s="34">
        <f t="shared" si="4"/>
        <v>9.5804724144500053</v>
      </c>
    </row>
    <row r="9" spans="1:25" x14ac:dyDescent="0.25">
      <c r="A9" s="50">
        <f>'A) Base RI'!A11</f>
        <v>5405</v>
      </c>
      <c r="B9" s="301" t="str">
        <f>'A) Base RI'!B11</f>
        <v>Gryon</v>
      </c>
      <c r="C9" s="100">
        <f>'B) D RI'!U11</f>
        <v>67578.882888888897</v>
      </c>
      <c r="D9" s="116">
        <f>'E) Fact soc'!G15/C9</f>
        <v>26.293222837230978</v>
      </c>
      <c r="E9" s="141">
        <f>'H) Péréquation directe'!I20/C9</f>
        <v>15.785359823564907</v>
      </c>
      <c r="F9" s="116">
        <f>+'I) Dépenses thématiques'!O9/'J) Plafonnement effort'!C9</f>
        <v>-9.993367540752363</v>
      </c>
      <c r="G9" s="141">
        <f t="shared" si="1"/>
        <v>32.085215120043529</v>
      </c>
      <c r="H9" s="316">
        <f t="shared" si="2"/>
        <v>0</v>
      </c>
      <c r="I9" s="58">
        <f t="shared" si="3"/>
        <v>0</v>
      </c>
      <c r="J9" s="34">
        <f t="shared" si="4"/>
        <v>32.085215120043529</v>
      </c>
    </row>
    <row r="10" spans="1:25" x14ac:dyDescent="0.25">
      <c r="A10" s="50">
        <f>'A) Base RI'!A12</f>
        <v>5406</v>
      </c>
      <c r="B10" s="301" t="str">
        <f>'A) Base RI'!B12</f>
        <v>Lavey-Morcles</v>
      </c>
      <c r="C10" s="100">
        <f>'B) D RI'!U12</f>
        <v>21586.094615384616</v>
      </c>
      <c r="D10" s="116">
        <f>'E) Fact soc'!G16/C10</f>
        <v>15.798250399813892</v>
      </c>
      <c r="E10" s="141">
        <f>'H) Péréquation directe'!I21/C10</f>
        <v>-4.9073540479452529</v>
      </c>
      <c r="F10" s="116">
        <f>+'I) Dépenses thématiques'!O10/'J) Plafonnement effort'!C10</f>
        <v>-3.5542224685081787</v>
      </c>
      <c r="G10" s="141">
        <f t="shared" si="1"/>
        <v>7.3366738833604597</v>
      </c>
      <c r="H10" s="316">
        <f t="shared" si="2"/>
        <v>0</v>
      </c>
      <c r="I10" s="58">
        <f t="shared" si="3"/>
        <v>0</v>
      </c>
      <c r="J10" s="34">
        <f t="shared" si="4"/>
        <v>7.3366738833604597</v>
      </c>
    </row>
    <row r="11" spans="1:25" x14ac:dyDescent="0.25">
      <c r="A11" s="50">
        <f>'A) Base RI'!A13</f>
        <v>5407</v>
      </c>
      <c r="B11" s="301" t="str">
        <f>'A) Base RI'!B13</f>
        <v>Leysin</v>
      </c>
      <c r="C11" s="100">
        <f>'B) D RI'!U13</f>
        <v>89616.305299145315</v>
      </c>
      <c r="D11" s="116">
        <f>'E) Fact soc'!G17/C11</f>
        <v>17.122848445994897</v>
      </c>
      <c r="E11" s="141">
        <f>'H) Péréquation directe'!I22/C11</f>
        <v>-18.858842072635611</v>
      </c>
      <c r="F11" s="116">
        <f>+'I) Dépenses thématiques'!O11/'J) Plafonnement effort'!C11</f>
        <v>-19.198202362440174</v>
      </c>
      <c r="G11" s="141">
        <f t="shared" si="1"/>
        <v>-20.934195989080887</v>
      </c>
      <c r="H11" s="316">
        <f t="shared" si="2"/>
        <v>0</v>
      </c>
      <c r="I11" s="58">
        <f t="shared" si="3"/>
        <v>0</v>
      </c>
      <c r="J11" s="34">
        <f t="shared" si="4"/>
        <v>-20.934195989080887</v>
      </c>
    </row>
    <row r="12" spans="1:25" x14ac:dyDescent="0.25">
      <c r="A12" s="50">
        <f>'A) Base RI'!A14</f>
        <v>5408</v>
      </c>
      <c r="B12" s="301" t="str">
        <f>'A) Base RI'!B14</f>
        <v>Noville</v>
      </c>
      <c r="C12" s="100">
        <f>'B) D RI'!U14</f>
        <v>38763.706581740975</v>
      </c>
      <c r="D12" s="116">
        <f>'E) Fact soc'!G18/C12</f>
        <v>21.356367646321413</v>
      </c>
      <c r="E12" s="141">
        <f>'H) Péréquation directe'!I23/C12</f>
        <v>8.1952864844949183</v>
      </c>
      <c r="F12" s="116">
        <f>+'I) Dépenses thématiques'!O12/'J) Plafonnement effort'!C12</f>
        <v>-4.0590922246255428</v>
      </c>
      <c r="G12" s="141">
        <f t="shared" si="1"/>
        <v>25.492561906190787</v>
      </c>
      <c r="H12" s="316">
        <f t="shared" si="2"/>
        <v>0</v>
      </c>
      <c r="I12" s="58">
        <f t="shared" si="3"/>
        <v>0</v>
      </c>
      <c r="J12" s="34">
        <f t="shared" si="4"/>
        <v>25.492561906190787</v>
      </c>
    </row>
    <row r="13" spans="1:25" x14ac:dyDescent="0.25">
      <c r="A13" s="50">
        <f>'A) Base RI'!A15</f>
        <v>5409</v>
      </c>
      <c r="B13" s="301" t="str">
        <f>'A) Base RI'!B15</f>
        <v>Ollon</v>
      </c>
      <c r="C13" s="100">
        <f>'B) D RI'!U15</f>
        <v>369055.23328054306</v>
      </c>
      <c r="D13" s="116">
        <f>'E) Fact soc'!G19/C13</f>
        <v>20.247975623847335</v>
      </c>
      <c r="E13" s="141">
        <f>'H) Péréquation directe'!I24/C13</f>
        <v>10.111951608685612</v>
      </c>
      <c r="F13" s="116">
        <f>+'I) Dépenses thématiques'!O13/'J) Plafonnement effort'!C13</f>
        <v>-5.6778621408955221</v>
      </c>
      <c r="G13" s="141">
        <f t="shared" si="1"/>
        <v>24.682065091637426</v>
      </c>
      <c r="H13" s="316">
        <f t="shared" si="2"/>
        <v>0</v>
      </c>
      <c r="I13" s="58">
        <f t="shared" si="3"/>
        <v>0</v>
      </c>
      <c r="J13" s="34">
        <f t="shared" si="4"/>
        <v>24.682065091637426</v>
      </c>
    </row>
    <row r="14" spans="1:25" x14ac:dyDescent="0.25">
      <c r="A14" s="50">
        <f>'A) Base RI'!A16</f>
        <v>5410</v>
      </c>
      <c r="B14" s="301" t="str">
        <f>'A) Base RI'!B16</f>
        <v>Ormont-Dessous</v>
      </c>
      <c r="C14" s="100">
        <f>'B) D RI'!U16</f>
        <v>43491.149554140131</v>
      </c>
      <c r="D14" s="116">
        <f>'E) Fact soc'!G20/C14</f>
        <v>18.341447794707786</v>
      </c>
      <c r="E14" s="141">
        <f>'H) Péréquation directe'!I25/C14</f>
        <v>11.75993249031362</v>
      </c>
      <c r="F14" s="116">
        <f>+'I) Dépenses thématiques'!O14/'J) Plafonnement effort'!C14</f>
        <v>-19.038272207314819</v>
      </c>
      <c r="G14" s="141">
        <f t="shared" si="1"/>
        <v>11.063108077706588</v>
      </c>
      <c r="H14" s="316">
        <f t="shared" si="2"/>
        <v>0</v>
      </c>
      <c r="I14" s="58">
        <f t="shared" si="3"/>
        <v>0</v>
      </c>
      <c r="J14" s="34">
        <f t="shared" si="4"/>
        <v>11.063108077706588</v>
      </c>
    </row>
    <row r="15" spans="1:25" x14ac:dyDescent="0.25">
      <c r="A15" s="50">
        <f>'A) Base RI'!A17</f>
        <v>5411</v>
      </c>
      <c r="B15" s="301" t="str">
        <f>'A) Base RI'!B17</f>
        <v>Ormont-Dessus</v>
      </c>
      <c r="C15" s="100">
        <f>'B) D RI'!U17</f>
        <v>72912.297236842089</v>
      </c>
      <c r="D15" s="116">
        <f>'E) Fact soc'!G21/C15</f>
        <v>19.73105429711562</v>
      </c>
      <c r="E15" s="141">
        <f>'H) Péréquation directe'!I26/C15</f>
        <v>15.472460115854705</v>
      </c>
      <c r="F15" s="116">
        <f>+'I) Dépenses thématiques'!O15/'J) Plafonnement effort'!C15</f>
        <v>-10.677193023809803</v>
      </c>
      <c r="G15" s="141">
        <f t="shared" si="1"/>
        <v>24.526321389160518</v>
      </c>
      <c r="H15" s="316">
        <f t="shared" si="2"/>
        <v>0</v>
      </c>
      <c r="I15" s="58">
        <f t="shared" si="3"/>
        <v>0</v>
      </c>
      <c r="J15" s="34">
        <f t="shared" si="4"/>
        <v>24.526321389160518</v>
      </c>
    </row>
    <row r="16" spans="1:25" x14ac:dyDescent="0.25">
      <c r="A16" s="50">
        <f>'A) Base RI'!A18</f>
        <v>5412</v>
      </c>
      <c r="B16" s="301" t="str">
        <f>'A) Base RI'!B18</f>
        <v>Rennaz</v>
      </c>
      <c r="C16" s="100">
        <f>'B) D RI'!U18</f>
        <v>28091.749629629627</v>
      </c>
      <c r="D16" s="116">
        <f>'E) Fact soc'!G22/C16</f>
        <v>30.282482603466281</v>
      </c>
      <c r="E16" s="141">
        <f>'H) Péréquation directe'!I27/C16</f>
        <v>10.1645916898726</v>
      </c>
      <c r="F16" s="116">
        <f>+'I) Dépenses thématiques'!O16/'J) Plafonnement effort'!C16</f>
        <v>-0.82600331582661946</v>
      </c>
      <c r="G16" s="141">
        <f t="shared" si="1"/>
        <v>39.621070977512261</v>
      </c>
      <c r="H16" s="316">
        <f t="shared" si="2"/>
        <v>0</v>
      </c>
      <c r="I16" s="58">
        <f t="shared" si="3"/>
        <v>0</v>
      </c>
      <c r="J16" s="34">
        <f t="shared" si="4"/>
        <v>39.621070977512261</v>
      </c>
    </row>
    <row r="17" spans="1:10" x14ac:dyDescent="0.25">
      <c r="A17" s="50">
        <f>'A) Base RI'!A19</f>
        <v>5413</v>
      </c>
      <c r="B17" s="301" t="str">
        <f>'A) Base RI'!B19</f>
        <v>Roche</v>
      </c>
      <c r="C17" s="100">
        <f>'B) D RI'!U19</f>
        <v>39560.237499999996</v>
      </c>
      <c r="D17" s="116">
        <f>'E) Fact soc'!G23/C17</f>
        <v>20.9330599293686</v>
      </c>
      <c r="E17" s="141">
        <f>'H) Péréquation directe'!I28/C17</f>
        <v>-9.1538211510013046</v>
      </c>
      <c r="F17" s="116">
        <f>+'I) Dépenses thématiques'!O17/'J) Plafonnement effort'!C17</f>
        <v>-0.6745822407168216</v>
      </c>
      <c r="G17" s="141">
        <f t="shared" si="1"/>
        <v>11.104656537650474</v>
      </c>
      <c r="H17" s="316">
        <f t="shared" si="2"/>
        <v>0</v>
      </c>
      <c r="I17" s="58">
        <f t="shared" si="3"/>
        <v>0</v>
      </c>
      <c r="J17" s="34">
        <f t="shared" si="4"/>
        <v>11.104656537650474</v>
      </c>
    </row>
    <row r="18" spans="1:10" x14ac:dyDescent="0.25">
      <c r="A18" s="50">
        <f>'A) Base RI'!A20</f>
        <v>5414</v>
      </c>
      <c r="B18" s="301" t="str">
        <f>'A) Base RI'!B20</f>
        <v>Villeneuve</v>
      </c>
      <c r="C18" s="100">
        <f>'B) D RI'!U20</f>
        <v>165641.09797101447</v>
      </c>
      <c r="D18" s="116">
        <f>'E) Fact soc'!G24/C18</f>
        <v>22.176212825518874</v>
      </c>
      <c r="E18" s="141">
        <f>'H) Péréquation directe'!I29/C18</f>
        <v>-5.4390215633326848</v>
      </c>
      <c r="F18" s="116">
        <f>+'I) Dépenses thématiques'!O18/'J) Plafonnement effort'!C18</f>
        <v>-10.43768416277528</v>
      </c>
      <c r="G18" s="141">
        <f t="shared" si="1"/>
        <v>6.2995070994109099</v>
      </c>
      <c r="H18" s="316">
        <f t="shared" si="2"/>
        <v>0</v>
      </c>
      <c r="I18" s="58">
        <f t="shared" si="3"/>
        <v>0</v>
      </c>
      <c r="J18" s="34">
        <f t="shared" si="4"/>
        <v>6.2995070994109099</v>
      </c>
    </row>
    <row r="19" spans="1:10" x14ac:dyDescent="0.25">
      <c r="A19" s="50">
        <f>'A) Base RI'!A21</f>
        <v>5415</v>
      </c>
      <c r="B19" s="301" t="str">
        <f>'A) Base RI'!B21</f>
        <v>Yvorne</v>
      </c>
      <c r="C19" s="100">
        <f>'B) D RI'!U21</f>
        <v>34590.752587412586</v>
      </c>
      <c r="D19" s="116">
        <f>'E) Fact soc'!G25/C19</f>
        <v>16.976352500243319</v>
      </c>
      <c r="E19" s="141">
        <f>'H) Péréquation directe'!I30/C19</f>
        <v>7.5362420805806032</v>
      </c>
      <c r="F19" s="116">
        <f>+'I) Dépenses thématiques'!O19/'J) Plafonnement effort'!C19</f>
        <v>-2.6472122974523797</v>
      </c>
      <c r="G19" s="141">
        <f t="shared" si="1"/>
        <v>21.865382283371542</v>
      </c>
      <c r="H19" s="316">
        <f t="shared" si="2"/>
        <v>0</v>
      </c>
      <c r="I19" s="58">
        <f t="shared" si="3"/>
        <v>0</v>
      </c>
      <c r="J19" s="34">
        <f t="shared" si="4"/>
        <v>21.865382283371542</v>
      </c>
    </row>
    <row r="20" spans="1:10" x14ac:dyDescent="0.25">
      <c r="A20" s="50">
        <f>'A) Base RI'!A22</f>
        <v>5421</v>
      </c>
      <c r="B20" s="301" t="str">
        <f>'A) Base RI'!B22</f>
        <v>Apples</v>
      </c>
      <c r="C20" s="100">
        <f>'B) D RI'!U22</f>
        <v>67631.915526315803</v>
      </c>
      <c r="D20" s="116">
        <f>'E) Fact soc'!G26/C20</f>
        <v>16.104774482394088</v>
      </c>
      <c r="E20" s="141">
        <f>'H) Péréquation directe'!I31/C20</f>
        <v>15.079594393436583</v>
      </c>
      <c r="F20" s="116">
        <f>+'I) Dépenses thématiques'!O20/'J) Plafonnement effort'!C20</f>
        <v>-2.1247956298681978</v>
      </c>
      <c r="G20" s="141">
        <f t="shared" si="1"/>
        <v>29.059573245962472</v>
      </c>
      <c r="H20" s="316">
        <f t="shared" si="2"/>
        <v>0</v>
      </c>
      <c r="I20" s="58">
        <f t="shared" si="3"/>
        <v>0</v>
      </c>
      <c r="J20" s="34">
        <f t="shared" si="4"/>
        <v>29.059573245962472</v>
      </c>
    </row>
    <row r="21" spans="1:10" x14ac:dyDescent="0.25">
      <c r="A21" s="50">
        <f>'A) Base RI'!A23</f>
        <v>5422</v>
      </c>
      <c r="B21" s="301" t="str">
        <f>'A) Base RI'!B23</f>
        <v>Aubonne</v>
      </c>
      <c r="C21" s="100">
        <f>'B) D RI'!U23</f>
        <v>238709.58323529412</v>
      </c>
      <c r="D21" s="116">
        <f>'E) Fact soc'!G27/C21</f>
        <v>26.400156943628765</v>
      </c>
      <c r="E21" s="141">
        <f>'H) Péréquation directe'!I32/C21</f>
        <v>14.231819779697823</v>
      </c>
      <c r="F21" s="116">
        <f>+'I) Dépenses thématiques'!O21/'J) Plafonnement effort'!C21</f>
        <v>0</v>
      </c>
      <c r="G21" s="141">
        <f t="shared" si="1"/>
        <v>40.631976723326588</v>
      </c>
      <c r="H21" s="316">
        <f t="shared" si="2"/>
        <v>0</v>
      </c>
      <c r="I21" s="58">
        <f t="shared" si="3"/>
        <v>0</v>
      </c>
      <c r="J21" s="34">
        <f t="shared" si="4"/>
        <v>40.631976723326588</v>
      </c>
    </row>
    <row r="22" spans="1:10" x14ac:dyDescent="0.25">
      <c r="A22" s="50">
        <f>'A) Base RI'!A24</f>
        <v>5423</v>
      </c>
      <c r="B22" s="301" t="str">
        <f>'A) Base RI'!B24</f>
        <v>Ballens</v>
      </c>
      <c r="C22" s="100">
        <f>'B) D RI'!U24</f>
        <v>13821.516027397261</v>
      </c>
      <c r="D22" s="116">
        <f>'E) Fact soc'!G28/C22</f>
        <v>16.308554531544555</v>
      </c>
      <c r="E22" s="141">
        <f>'H) Péréquation directe'!I33/C22</f>
        <v>-0.70877792836413356</v>
      </c>
      <c r="F22" s="116">
        <f>+'I) Dépenses thématiques'!O22/'J) Plafonnement effort'!C22</f>
        <v>-6.327414613905753</v>
      </c>
      <c r="G22" s="141">
        <f t="shared" si="1"/>
        <v>9.2723619892746676</v>
      </c>
      <c r="H22" s="316">
        <f t="shared" si="2"/>
        <v>0</v>
      </c>
      <c r="I22" s="58">
        <f t="shared" si="3"/>
        <v>0</v>
      </c>
      <c r="J22" s="34">
        <f t="shared" si="4"/>
        <v>9.2723619892746676</v>
      </c>
    </row>
    <row r="23" spans="1:10" x14ac:dyDescent="0.25">
      <c r="A23" s="50">
        <f>'A) Base RI'!A25</f>
        <v>5424</v>
      </c>
      <c r="B23" s="301" t="str">
        <f>'A) Base RI'!B25</f>
        <v>Berolle</v>
      </c>
      <c r="C23" s="100">
        <f>'B) D RI'!U25</f>
        <v>9297.6342857142881</v>
      </c>
      <c r="D23" s="116">
        <f>'E) Fact soc'!G29/C23</f>
        <v>15.091014223307718</v>
      </c>
      <c r="E23" s="141">
        <f>'H) Péréquation directe'!I34/C23</f>
        <v>4.1968944707770923</v>
      </c>
      <c r="F23" s="116">
        <f>+'I) Dépenses thématiques'!O23/'J) Plafonnement effort'!C23</f>
        <v>-3.7013021079320421</v>
      </c>
      <c r="G23" s="141">
        <f t="shared" si="1"/>
        <v>15.586606586152771</v>
      </c>
      <c r="H23" s="316">
        <f t="shared" si="2"/>
        <v>0</v>
      </c>
      <c r="I23" s="58">
        <f t="shared" si="3"/>
        <v>0</v>
      </c>
      <c r="J23" s="34">
        <f t="shared" si="4"/>
        <v>15.586606586152771</v>
      </c>
    </row>
    <row r="24" spans="1:10" x14ac:dyDescent="0.25">
      <c r="A24" s="50">
        <f>'A) Base RI'!A26</f>
        <v>5425</v>
      </c>
      <c r="B24" s="301" t="str">
        <f>'A) Base RI'!B26</f>
        <v>Bière</v>
      </c>
      <c r="C24" s="100">
        <f>'B) D RI'!U26</f>
        <v>39425.527551724139</v>
      </c>
      <c r="D24" s="116">
        <f>'E) Fact soc'!G30/C24</f>
        <v>17.015628964847338</v>
      </c>
      <c r="E24" s="141">
        <f>'H) Péréquation directe'!I35/C24</f>
        <v>-4.841282120234971</v>
      </c>
      <c r="F24" s="116">
        <f>+'I) Dépenses thématiques'!O24/'J) Plafonnement effort'!C24</f>
        <v>-10.335782692959679</v>
      </c>
      <c r="G24" s="141">
        <f t="shared" si="1"/>
        <v>1.8385641516526867</v>
      </c>
      <c r="H24" s="316">
        <f t="shared" si="2"/>
        <v>0</v>
      </c>
      <c r="I24" s="58">
        <f t="shared" si="3"/>
        <v>0</v>
      </c>
      <c r="J24" s="34">
        <f t="shared" si="4"/>
        <v>1.8385641516526867</v>
      </c>
    </row>
    <row r="25" spans="1:10" x14ac:dyDescent="0.25">
      <c r="A25" s="50">
        <f>'A) Base RI'!A27</f>
        <v>5426</v>
      </c>
      <c r="B25" s="301" t="str">
        <f>'A) Base RI'!B27</f>
        <v>Bougy-Villars</v>
      </c>
      <c r="C25" s="100">
        <f>'B) D RI'!U27</f>
        <v>50769.838510101006</v>
      </c>
      <c r="D25" s="116">
        <f>'E) Fact soc'!G31/C25</f>
        <v>49.525021367389805</v>
      </c>
      <c r="E25" s="141">
        <f>'H) Péréquation directe'!I36/C25</f>
        <v>16.016218871552397</v>
      </c>
      <c r="F25" s="116">
        <f>+'I) Dépenses thématiques'!O25/'J) Plafonnement effort'!C25</f>
        <v>0</v>
      </c>
      <c r="G25" s="141">
        <f t="shared" si="1"/>
        <v>65.541240238942208</v>
      </c>
      <c r="H25" s="316">
        <f t="shared" si="2"/>
        <v>-20.541240238942208</v>
      </c>
      <c r="I25" s="58">
        <f t="shared" si="3"/>
        <v>-1042875.4497282845</v>
      </c>
      <c r="J25" s="34">
        <f t="shared" si="4"/>
        <v>45</v>
      </c>
    </row>
    <row r="26" spans="1:10" x14ac:dyDescent="0.25">
      <c r="A26" s="50">
        <f>'A) Base RI'!A28</f>
        <v>5427</v>
      </c>
      <c r="B26" s="301" t="str">
        <f>'A) Base RI'!B28</f>
        <v>Féchy</v>
      </c>
      <c r="C26" s="100">
        <f>'B) D RI'!U28</f>
        <v>73025.207608173092</v>
      </c>
      <c r="D26" s="116">
        <f>'E) Fact soc'!G32/C26</f>
        <v>25.68558015999405</v>
      </c>
      <c r="E26" s="141">
        <f>'H) Péréquation directe'!I37/C26</f>
        <v>16.448550842233235</v>
      </c>
      <c r="F26" s="116">
        <f>+'I) Dépenses thématiques'!O26/'J) Plafonnement effort'!C26</f>
        <v>0</v>
      </c>
      <c r="G26" s="141">
        <f t="shared" si="1"/>
        <v>42.134131002227285</v>
      </c>
      <c r="H26" s="316">
        <f t="shared" si="2"/>
        <v>0</v>
      </c>
      <c r="I26" s="58">
        <f t="shared" si="3"/>
        <v>0</v>
      </c>
      <c r="J26" s="34">
        <f t="shared" si="4"/>
        <v>42.134131002227285</v>
      </c>
    </row>
    <row r="27" spans="1:10" x14ac:dyDescent="0.25">
      <c r="A27" s="50">
        <f>'A) Base RI'!A29</f>
        <v>5428</v>
      </c>
      <c r="B27" s="301" t="str">
        <f>'A) Base RI'!B29</f>
        <v>Gimel</v>
      </c>
      <c r="C27" s="100">
        <f>'B) D RI'!U29</f>
        <v>59817.35356643358</v>
      </c>
      <c r="D27" s="116">
        <f>'E) Fact soc'!G33/C27</f>
        <v>21.665127904595554</v>
      </c>
      <c r="E27" s="141">
        <f>'H) Péréquation directe'!I38/C27</f>
        <v>-2.7492528642231377</v>
      </c>
      <c r="F27" s="116">
        <f>+'I) Dépenses thématiques'!O27/'J) Plafonnement effort'!C27</f>
        <v>-3.7633840710898072</v>
      </c>
      <c r="G27" s="141">
        <f t="shared" si="1"/>
        <v>15.15249096928261</v>
      </c>
      <c r="H27" s="316">
        <f t="shared" si="2"/>
        <v>0</v>
      </c>
      <c r="I27" s="58">
        <f t="shared" si="3"/>
        <v>0</v>
      </c>
      <c r="J27" s="34">
        <f t="shared" si="4"/>
        <v>15.15249096928261</v>
      </c>
    </row>
    <row r="28" spans="1:10" x14ac:dyDescent="0.25">
      <c r="A28" s="50">
        <f>'A) Base RI'!A30</f>
        <v>5429</v>
      </c>
      <c r="B28" s="301" t="str">
        <f>'A) Base RI'!B30</f>
        <v>Longirod</v>
      </c>
      <c r="C28" s="100">
        <f>'B) D RI'!U30</f>
        <v>13793.381358024693</v>
      </c>
      <c r="D28" s="116">
        <f>'E) Fact soc'!G34/C28</f>
        <v>17.269511056156809</v>
      </c>
      <c r="E28" s="141">
        <f>'H) Péréquation directe'!I39/C28</f>
        <v>0.88984981057678225</v>
      </c>
      <c r="F28" s="116">
        <f>+'I) Dépenses thématiques'!O28/'J) Plafonnement effort'!C28</f>
        <v>-8.9300277253226703</v>
      </c>
      <c r="G28" s="141">
        <f t="shared" si="1"/>
        <v>9.229333141410919</v>
      </c>
      <c r="H28" s="316">
        <f t="shared" si="2"/>
        <v>0</v>
      </c>
      <c r="I28" s="58">
        <f t="shared" si="3"/>
        <v>0</v>
      </c>
      <c r="J28" s="34">
        <f t="shared" si="4"/>
        <v>9.229333141410919</v>
      </c>
    </row>
    <row r="29" spans="1:10" x14ac:dyDescent="0.25">
      <c r="A29" s="50">
        <f>'A) Base RI'!A31</f>
        <v>5430</v>
      </c>
      <c r="B29" s="301" t="str">
        <f>'A) Base RI'!B31</f>
        <v>Marchissy</v>
      </c>
      <c r="C29" s="100">
        <f>'B) D RI'!U31</f>
        <v>13616.452025316456</v>
      </c>
      <c r="D29" s="116">
        <f>'E) Fact soc'!G35/C29</f>
        <v>17.335686772262697</v>
      </c>
      <c r="E29" s="141">
        <f>'H) Péréquation directe'!I40/C29</f>
        <v>2.3956821755220994</v>
      </c>
      <c r="F29" s="116">
        <f>+'I) Dépenses thématiques'!O29/'J) Plafonnement effort'!C29</f>
        <v>-5.534441945104442</v>
      </c>
      <c r="G29" s="141">
        <f t="shared" si="1"/>
        <v>14.196927002680356</v>
      </c>
      <c r="H29" s="316">
        <f t="shared" si="2"/>
        <v>0</v>
      </c>
      <c r="I29" s="58">
        <f t="shared" si="3"/>
        <v>0</v>
      </c>
      <c r="J29" s="34">
        <f t="shared" si="4"/>
        <v>14.196927002680356</v>
      </c>
    </row>
    <row r="30" spans="1:10" x14ac:dyDescent="0.25">
      <c r="A30" s="50">
        <f>'A) Base RI'!A32</f>
        <v>5431</v>
      </c>
      <c r="B30" s="301" t="str">
        <f>'A) Base RI'!B32</f>
        <v>Mollens</v>
      </c>
      <c r="C30" s="100">
        <f>'B) D RI'!U32</f>
        <v>8628.4962162162174</v>
      </c>
      <c r="D30" s="116">
        <f>'E) Fact soc'!G36/C30</f>
        <v>20.14972716630006</v>
      </c>
      <c r="E30" s="141">
        <f>'H) Péréquation directe'!I41/C30</f>
        <v>5.3128951003910609</v>
      </c>
      <c r="F30" s="116">
        <f>+'I) Dépenses thématiques'!O30/'J) Plafonnement effort'!C30</f>
        <v>-5.8794707484213999</v>
      </c>
      <c r="G30" s="141">
        <f t="shared" si="1"/>
        <v>19.58315151826972</v>
      </c>
      <c r="H30" s="316">
        <f t="shared" si="2"/>
        <v>0</v>
      </c>
      <c r="I30" s="58">
        <f t="shared" si="3"/>
        <v>0</v>
      </c>
      <c r="J30" s="34">
        <f t="shared" si="4"/>
        <v>19.58315151826972</v>
      </c>
    </row>
    <row r="31" spans="1:10" x14ac:dyDescent="0.25">
      <c r="A31" s="50">
        <f>'A) Base RI'!A33</f>
        <v>5432</v>
      </c>
      <c r="B31" s="301" t="str">
        <f>'A) Base RI'!B33</f>
        <v>Montherod</v>
      </c>
      <c r="C31" s="100">
        <f>'B) D RI'!U33</f>
        <v>18262.77307692308</v>
      </c>
      <c r="D31" s="116">
        <f>'E) Fact soc'!G37/C31</f>
        <v>16.142996115578203</v>
      </c>
      <c r="E31" s="141">
        <f>'H) Péréquation directe'!I42/C31</f>
        <v>8.2577527378144495</v>
      </c>
      <c r="F31" s="116">
        <f>+'I) Dépenses thématiques'!O31/'J) Plafonnement effort'!C31</f>
        <v>-1.2053333195656533</v>
      </c>
      <c r="G31" s="141">
        <f t="shared" si="1"/>
        <v>23.195415533826999</v>
      </c>
      <c r="H31" s="316">
        <f t="shared" si="2"/>
        <v>0</v>
      </c>
      <c r="I31" s="58">
        <f t="shared" si="3"/>
        <v>0</v>
      </c>
      <c r="J31" s="34">
        <f t="shared" si="4"/>
        <v>23.195415533826999</v>
      </c>
    </row>
    <row r="32" spans="1:10" x14ac:dyDescent="0.25">
      <c r="A32" s="50">
        <f>'A) Base RI'!A34</f>
        <v>5434</v>
      </c>
      <c r="B32" s="301" t="str">
        <f>'A) Base RI'!B34</f>
        <v>Saint-George</v>
      </c>
      <c r="C32" s="100">
        <f>'B) D RI'!U34</f>
        <v>36787.196197183097</v>
      </c>
      <c r="D32" s="116">
        <f>'E) Fact soc'!G38/C32</f>
        <v>19.357439259666574</v>
      </c>
      <c r="E32" s="141">
        <f>'H) Péréquation directe'!I43/C32</f>
        <v>10.708650994772684</v>
      </c>
      <c r="F32" s="116">
        <f>+'I) Dépenses thématiques'!O32/'J) Plafonnement effort'!C32</f>
        <v>-2.6501444797140445</v>
      </c>
      <c r="G32" s="141">
        <f t="shared" si="1"/>
        <v>27.415945774725216</v>
      </c>
      <c r="H32" s="316">
        <f t="shared" si="2"/>
        <v>0</v>
      </c>
      <c r="I32" s="58">
        <f t="shared" si="3"/>
        <v>0</v>
      </c>
      <c r="J32" s="34">
        <f t="shared" si="4"/>
        <v>27.415945774725216</v>
      </c>
    </row>
    <row r="33" spans="1:10" x14ac:dyDescent="0.25">
      <c r="A33" s="50">
        <f>'A) Base RI'!A35</f>
        <v>5435</v>
      </c>
      <c r="B33" s="301" t="str">
        <f>'A) Base RI'!B35</f>
        <v>Saint-Livres</v>
      </c>
      <c r="C33" s="100">
        <f>'B) D RI'!U35</f>
        <v>24145.271449275358</v>
      </c>
      <c r="D33" s="116">
        <f>'E) Fact soc'!G39/C33</f>
        <v>16.466350944795071</v>
      </c>
      <c r="E33" s="141">
        <f>'H) Péréquation directe'!I44/C33</f>
        <v>10.687066529121685</v>
      </c>
      <c r="F33" s="116">
        <f>+'I) Dépenses thématiques'!O33/'J) Plafonnement effort'!C33</f>
        <v>-1.0727209818680807</v>
      </c>
      <c r="G33" s="141">
        <f t="shared" si="1"/>
        <v>26.080696492048673</v>
      </c>
      <c r="H33" s="316">
        <f t="shared" si="2"/>
        <v>0</v>
      </c>
      <c r="I33" s="58">
        <f t="shared" si="3"/>
        <v>0</v>
      </c>
      <c r="J33" s="34">
        <f t="shared" si="4"/>
        <v>26.080696492048673</v>
      </c>
    </row>
    <row r="34" spans="1:10" x14ac:dyDescent="0.25">
      <c r="A34" s="50">
        <f>'A) Base RI'!A36</f>
        <v>5436</v>
      </c>
      <c r="B34" s="301" t="str">
        <f>'A) Base RI'!B36</f>
        <v>Saint-Oyens</v>
      </c>
      <c r="C34" s="100">
        <f>'B) D RI'!U36</f>
        <v>15077.325709876546</v>
      </c>
      <c r="D34" s="116">
        <f>'E) Fact soc'!G40/C34</f>
        <v>18.427351907609157</v>
      </c>
      <c r="E34" s="141">
        <f>'H) Péréquation directe'!I45/C34</f>
        <v>7.1830215086392633</v>
      </c>
      <c r="F34" s="116">
        <f>+'I) Dépenses thématiques'!O34/'J) Plafonnement effort'!C34</f>
        <v>-8.0796308011276565</v>
      </c>
      <c r="G34" s="141">
        <f t="shared" si="1"/>
        <v>17.530742615120765</v>
      </c>
      <c r="H34" s="316">
        <f t="shared" si="2"/>
        <v>0</v>
      </c>
      <c r="I34" s="58">
        <f t="shared" si="3"/>
        <v>0</v>
      </c>
      <c r="J34" s="34">
        <f t="shared" si="4"/>
        <v>17.530742615120765</v>
      </c>
    </row>
    <row r="35" spans="1:10" x14ac:dyDescent="0.25">
      <c r="A35" s="50">
        <f>'A) Base RI'!A37</f>
        <v>5437</v>
      </c>
      <c r="B35" s="301" t="str">
        <f>'A) Base RI'!B37</f>
        <v>Saubraz</v>
      </c>
      <c r="C35" s="100">
        <f>'B) D RI'!U37</f>
        <v>11422.239624999998</v>
      </c>
      <c r="D35" s="116">
        <f>'E) Fact soc'!G41/C35</f>
        <v>18.217253128823572</v>
      </c>
      <c r="E35" s="141">
        <f>'H) Péréquation directe'!I46/C35</f>
        <v>-1.1674900726063653</v>
      </c>
      <c r="F35" s="116">
        <f>+'I) Dépenses thématiques'!O35/'J) Plafonnement effort'!C35</f>
        <v>-3.3518284133329295</v>
      </c>
      <c r="G35" s="141">
        <f t="shared" si="1"/>
        <v>13.697934642884276</v>
      </c>
      <c r="H35" s="316">
        <f t="shared" si="2"/>
        <v>0</v>
      </c>
      <c r="I35" s="58">
        <f t="shared" si="3"/>
        <v>0</v>
      </c>
      <c r="J35" s="34">
        <f t="shared" si="4"/>
        <v>13.697934642884276</v>
      </c>
    </row>
    <row r="36" spans="1:10" x14ac:dyDescent="0.25">
      <c r="A36" s="50">
        <f>'A) Base RI'!A38</f>
        <v>5451</v>
      </c>
      <c r="B36" s="301" t="str">
        <f>'A) Base RI'!B38</f>
        <v>Avenches</v>
      </c>
      <c r="C36" s="100">
        <f>'B) D RI'!U38</f>
        <v>150757.73362745097</v>
      </c>
      <c r="D36" s="116">
        <f>'E) Fact soc'!G42/C36</f>
        <v>19.22169040174537</v>
      </c>
      <c r="E36" s="141">
        <f>'H) Péréquation directe'!I47/C36</f>
        <v>4.2934619021624334</v>
      </c>
      <c r="F36" s="116">
        <f>+'I) Dépenses thématiques'!O36/'J) Plafonnement effort'!C36</f>
        <v>-7.6786633497752534</v>
      </c>
      <c r="G36" s="141">
        <f t="shared" si="1"/>
        <v>15.836488954132552</v>
      </c>
      <c r="H36" s="316">
        <f t="shared" si="2"/>
        <v>0</v>
      </c>
      <c r="I36" s="58">
        <f t="shared" si="3"/>
        <v>0</v>
      </c>
      <c r="J36" s="34">
        <f t="shared" si="4"/>
        <v>15.836488954132552</v>
      </c>
    </row>
    <row r="37" spans="1:10" x14ac:dyDescent="0.25">
      <c r="A37" s="50">
        <f>'A) Base RI'!A39</f>
        <v>5456</v>
      </c>
      <c r="B37" s="301" t="str">
        <f>'A) Base RI'!B39</f>
        <v>Cudrefin</v>
      </c>
      <c r="C37" s="100">
        <f>'B) D RI'!U39</f>
        <v>59376.955254237291</v>
      </c>
      <c r="D37" s="116">
        <f>'E) Fact soc'!G43/C37</f>
        <v>18.968662964285667</v>
      </c>
      <c r="E37" s="141">
        <f>'H) Péréquation directe'!I48/C37</f>
        <v>10.263693019364357</v>
      </c>
      <c r="F37" s="116">
        <f>+'I) Dépenses thématiques'!O37/'J) Plafonnement effort'!C37</f>
        <v>-4.4942327330602572</v>
      </c>
      <c r="G37" s="141">
        <f t="shared" si="1"/>
        <v>24.738123250589766</v>
      </c>
      <c r="H37" s="316">
        <f t="shared" si="2"/>
        <v>0</v>
      </c>
      <c r="I37" s="58">
        <f t="shared" si="3"/>
        <v>0</v>
      </c>
      <c r="J37" s="34">
        <f t="shared" si="4"/>
        <v>24.738123250589766</v>
      </c>
    </row>
    <row r="38" spans="1:10" x14ac:dyDescent="0.25">
      <c r="A38" s="50">
        <f>'A) Base RI'!A40</f>
        <v>5458</v>
      </c>
      <c r="B38" s="301" t="str">
        <f>'A) Base RI'!B40</f>
        <v>Faoug</v>
      </c>
      <c r="C38" s="100">
        <f>'B) D RI'!U40</f>
        <v>30529.72296875</v>
      </c>
      <c r="D38" s="116">
        <f>'E) Fact soc'!G44/C38</f>
        <v>18.729971963331405</v>
      </c>
      <c r="E38" s="141">
        <f>'H) Péréquation directe'!I49/C38</f>
        <v>10.586262021768825</v>
      </c>
      <c r="F38" s="116">
        <f>+'I) Dépenses thématiques'!O38/'J) Plafonnement effort'!C38</f>
        <v>-2.8256844083329122</v>
      </c>
      <c r="G38" s="141">
        <f t="shared" si="1"/>
        <v>26.490549576767318</v>
      </c>
      <c r="H38" s="316">
        <f t="shared" si="2"/>
        <v>0</v>
      </c>
      <c r="I38" s="58">
        <f t="shared" si="3"/>
        <v>0</v>
      </c>
      <c r="J38" s="34">
        <f t="shared" si="4"/>
        <v>26.490549576767318</v>
      </c>
    </row>
    <row r="39" spans="1:10" x14ac:dyDescent="0.25">
      <c r="A39" s="50">
        <f>'A) Base RI'!A41</f>
        <v>5464</v>
      </c>
      <c r="B39" s="301" t="str">
        <f>'A) Base RI'!B41</f>
        <v>Vully-les-Lacs</v>
      </c>
      <c r="C39" s="100">
        <f>'B) D RI'!U41</f>
        <v>103962.98910447762</v>
      </c>
      <c r="D39" s="116">
        <f>'E) Fact soc'!G45/C39</f>
        <v>18.381179226125195</v>
      </c>
      <c r="E39" s="141">
        <f>'H) Péréquation directe'!I50/C39</f>
        <v>3.8986378345638606</v>
      </c>
      <c r="F39" s="116">
        <f>+'I) Dépenses thématiques'!O39/'J) Plafonnement effort'!C39</f>
        <v>-5.3490229436974417</v>
      </c>
      <c r="G39" s="141">
        <f t="shared" si="1"/>
        <v>16.930794116991613</v>
      </c>
      <c r="H39" s="316">
        <f t="shared" si="2"/>
        <v>0</v>
      </c>
      <c r="I39" s="58">
        <f t="shared" si="3"/>
        <v>0</v>
      </c>
      <c r="J39" s="34">
        <f t="shared" si="4"/>
        <v>16.930794116991613</v>
      </c>
    </row>
    <row r="40" spans="1:10" x14ac:dyDescent="0.25">
      <c r="A40" s="50">
        <f>'A) Base RI'!A42</f>
        <v>5471</v>
      </c>
      <c r="B40" s="301" t="str">
        <f>'A) Base RI'!B42</f>
        <v>Bettens</v>
      </c>
      <c r="C40" s="100">
        <f>'B) D RI'!U42</f>
        <v>18585.086968253971</v>
      </c>
      <c r="D40" s="116">
        <f>'E) Fact soc'!G46/C40</f>
        <v>16.592916677588406</v>
      </c>
      <c r="E40" s="141">
        <f>'H) Péréquation directe'!I51/C40</f>
        <v>7.3286288267956836</v>
      </c>
      <c r="F40" s="116">
        <f>+'I) Dépenses thématiques'!O40/'J) Plafonnement effort'!C40</f>
        <v>-1.8054118354505764</v>
      </c>
      <c r="G40" s="141">
        <f t="shared" si="1"/>
        <v>22.116133668933511</v>
      </c>
      <c r="H40" s="316">
        <f t="shared" si="2"/>
        <v>0</v>
      </c>
      <c r="I40" s="58">
        <f t="shared" si="3"/>
        <v>0</v>
      </c>
      <c r="J40" s="34">
        <f t="shared" si="4"/>
        <v>22.116133668933511</v>
      </c>
    </row>
    <row r="41" spans="1:10" x14ac:dyDescent="0.25">
      <c r="A41" s="50">
        <f>'A) Base RI'!A43</f>
        <v>5472</v>
      </c>
      <c r="B41" s="301" t="str">
        <f>'A) Base RI'!B43</f>
        <v>Bournens</v>
      </c>
      <c r="C41" s="100">
        <f>'B) D RI'!U43</f>
        <v>16542.658815789473</v>
      </c>
      <c r="D41" s="116">
        <f>'E) Fact soc'!G47/C41</f>
        <v>15.895012116328783</v>
      </c>
      <c r="E41" s="141">
        <f>'H) Péréquation directe'!I52/C41</f>
        <v>14.236517128536816</v>
      </c>
      <c r="F41" s="116">
        <f>+'I) Dépenses thématiques'!O41/'J) Plafonnement effort'!C41</f>
        <v>-1.3699017555243624</v>
      </c>
      <c r="G41" s="141">
        <f t="shared" si="1"/>
        <v>28.761627489341233</v>
      </c>
      <c r="H41" s="316">
        <f t="shared" si="2"/>
        <v>0</v>
      </c>
      <c r="I41" s="58">
        <f t="shared" si="3"/>
        <v>0</v>
      </c>
      <c r="J41" s="34">
        <f t="shared" si="4"/>
        <v>28.761627489341233</v>
      </c>
    </row>
    <row r="42" spans="1:10" x14ac:dyDescent="0.25">
      <c r="A42" s="50">
        <f>'A) Base RI'!A44</f>
        <v>5473</v>
      </c>
      <c r="B42" s="301" t="str">
        <f>'A) Base RI'!B44</f>
        <v>Boussens</v>
      </c>
      <c r="C42" s="100">
        <f>'B) D RI'!U44</f>
        <v>36720.844927536244</v>
      </c>
      <c r="D42" s="116">
        <f>'E) Fact soc'!G48/C42</f>
        <v>15.729963197536904</v>
      </c>
      <c r="E42" s="141">
        <f>'H) Péréquation directe'!I53/C42</f>
        <v>12.795962793669897</v>
      </c>
      <c r="F42" s="116">
        <f>+'I) Dépenses thématiques'!O42/'J) Plafonnement effort'!C42</f>
        <v>0</v>
      </c>
      <c r="G42" s="141">
        <f t="shared" si="1"/>
        <v>28.525925991206801</v>
      </c>
      <c r="H42" s="316">
        <f t="shared" si="2"/>
        <v>0</v>
      </c>
      <c r="I42" s="58">
        <f t="shared" si="3"/>
        <v>0</v>
      </c>
      <c r="J42" s="34">
        <f t="shared" si="4"/>
        <v>28.525925991206801</v>
      </c>
    </row>
    <row r="43" spans="1:10" x14ac:dyDescent="0.25">
      <c r="A43" s="50">
        <f>'A) Base RI'!A45</f>
        <v>5474</v>
      </c>
      <c r="B43" s="301" t="str">
        <f>'A) Base RI'!B45</f>
        <v>La Chaux (Cossonay)</v>
      </c>
      <c r="C43" s="100">
        <f>'B) D RI'!U45</f>
        <v>12985.393549783552</v>
      </c>
      <c r="D43" s="116">
        <f>'E) Fact soc'!G49/C43</f>
        <v>14.482558499384368</v>
      </c>
      <c r="E43" s="141">
        <f>'H) Péréquation directe'!I54/C43</f>
        <v>5.8742730026993115</v>
      </c>
      <c r="F43" s="116">
        <f>+'I) Dépenses thématiques'!O43/'J) Plafonnement effort'!C43</f>
        <v>-7.1527614330635974</v>
      </c>
      <c r="G43" s="141">
        <f t="shared" si="1"/>
        <v>13.204070069020082</v>
      </c>
      <c r="H43" s="316">
        <f t="shared" si="2"/>
        <v>0</v>
      </c>
      <c r="I43" s="58">
        <f t="shared" si="3"/>
        <v>0</v>
      </c>
      <c r="J43" s="34">
        <f t="shared" si="4"/>
        <v>13.204070069020082</v>
      </c>
    </row>
    <row r="44" spans="1:10" x14ac:dyDescent="0.25">
      <c r="A44" s="50">
        <f>'A) Base RI'!A46</f>
        <v>5475</v>
      </c>
      <c r="B44" s="301" t="str">
        <f>'A) Base RI'!B46</f>
        <v>Chavannes-le-Veyron</v>
      </c>
      <c r="C44" s="100">
        <f>'B) D RI'!U46</f>
        <v>4956.4012987012984</v>
      </c>
      <c r="D44" s="116">
        <f>'E) Fact soc'!G50/C44</f>
        <v>21.152266400374465</v>
      </c>
      <c r="E44" s="141">
        <f>'H) Péréquation directe'!I55/C44</f>
        <v>9.2681303352291042</v>
      </c>
      <c r="F44" s="116">
        <f>+'I) Dépenses thématiques'!O44/'J) Plafonnement effort'!C44</f>
        <v>-9.0947708282909048</v>
      </c>
      <c r="G44" s="141">
        <f t="shared" si="1"/>
        <v>21.325625907312663</v>
      </c>
      <c r="H44" s="316">
        <f t="shared" si="2"/>
        <v>0</v>
      </c>
      <c r="I44" s="58">
        <f t="shared" si="3"/>
        <v>0</v>
      </c>
      <c r="J44" s="34">
        <f t="shared" si="4"/>
        <v>21.325625907312663</v>
      </c>
    </row>
    <row r="45" spans="1:10" x14ac:dyDescent="0.25">
      <c r="A45" s="50">
        <f>'A) Base RI'!A47</f>
        <v>5476</v>
      </c>
      <c r="B45" s="301" t="str">
        <f>'A) Base RI'!B47</f>
        <v>Chevilly</v>
      </c>
      <c r="C45" s="100">
        <f>'B) D RI'!U47</f>
        <v>10630.648108108109</v>
      </c>
      <c r="D45" s="116">
        <f>'E) Fact soc'!G51/C45</f>
        <v>14.615468830870624</v>
      </c>
      <c r="E45" s="141">
        <f>'H) Péréquation directe'!I56/C45</f>
        <v>8.8335279369007722</v>
      </c>
      <c r="F45" s="116">
        <f>+'I) Dépenses thématiques'!O45/'J) Plafonnement effort'!C45</f>
        <v>-2.3705209172164854</v>
      </c>
      <c r="G45" s="141">
        <f t="shared" si="1"/>
        <v>21.078475850554913</v>
      </c>
      <c r="H45" s="316">
        <f t="shared" si="2"/>
        <v>0</v>
      </c>
      <c r="I45" s="58">
        <f t="shared" si="3"/>
        <v>0</v>
      </c>
      <c r="J45" s="34">
        <f t="shared" si="4"/>
        <v>21.078475850554913</v>
      </c>
    </row>
    <row r="46" spans="1:10" x14ac:dyDescent="0.25">
      <c r="A46" s="50">
        <f>'A) Base RI'!A48</f>
        <v>5477</v>
      </c>
      <c r="B46" s="301" t="str">
        <f>'A) Base RI'!B48</f>
        <v>Cossonay</v>
      </c>
      <c r="C46" s="100">
        <f>'B) D RI'!U48</f>
        <v>133477.09521126762</v>
      </c>
      <c r="D46" s="116">
        <f>'E) Fact soc'!G52/C46</f>
        <v>17.700997327618147</v>
      </c>
      <c r="E46" s="141">
        <f>'H) Péréquation directe'!I57/C46</f>
        <v>3.5924539706854866</v>
      </c>
      <c r="F46" s="116">
        <f>+'I) Dépenses thématiques'!O46/'J) Plafonnement effort'!C46</f>
        <v>-4.0818563344100163</v>
      </c>
      <c r="G46" s="141">
        <f t="shared" si="1"/>
        <v>17.211594963893617</v>
      </c>
      <c r="H46" s="316">
        <f t="shared" si="2"/>
        <v>0</v>
      </c>
      <c r="I46" s="58">
        <f t="shared" si="3"/>
        <v>0</v>
      </c>
      <c r="J46" s="34">
        <f t="shared" si="4"/>
        <v>17.211594963893617</v>
      </c>
    </row>
    <row r="47" spans="1:10" x14ac:dyDescent="0.25">
      <c r="A47" s="50">
        <f>'A) Base RI'!A49</f>
        <v>5478</v>
      </c>
      <c r="B47" s="301" t="str">
        <f>'A) Base RI'!B49</f>
        <v>Cottens</v>
      </c>
      <c r="C47" s="100">
        <f>'B) D RI'!U49</f>
        <v>14377.418378378377</v>
      </c>
      <c r="D47" s="116">
        <f>'E) Fact soc'!G53/C47</f>
        <v>16.247148545666576</v>
      </c>
      <c r="E47" s="141">
        <f>'H) Péréquation directe'!I58/C47</f>
        <v>4.2282127227052646</v>
      </c>
      <c r="F47" s="116">
        <f>+'I) Dépenses thématiques'!O47/'J) Plafonnement effort'!C47</f>
        <v>-2.0766622558550263</v>
      </c>
      <c r="G47" s="141">
        <f t="shared" si="1"/>
        <v>18.398699012516815</v>
      </c>
      <c r="H47" s="316">
        <f t="shared" si="2"/>
        <v>0</v>
      </c>
      <c r="I47" s="58">
        <f t="shared" si="3"/>
        <v>0</v>
      </c>
      <c r="J47" s="34">
        <f t="shared" si="4"/>
        <v>18.398699012516815</v>
      </c>
    </row>
    <row r="48" spans="1:10" x14ac:dyDescent="0.25">
      <c r="A48" s="50">
        <f>'A) Base RI'!A50</f>
        <v>5479</v>
      </c>
      <c r="B48" s="301" t="str">
        <f>'A) Base RI'!B50</f>
        <v>Cuarnens</v>
      </c>
      <c r="C48" s="100">
        <f>'B) D RI'!U50</f>
        <v>16455.372077922078</v>
      </c>
      <c r="D48" s="116">
        <f>'E) Fact soc'!G54/C48</f>
        <v>17.251039693841768</v>
      </c>
      <c r="E48" s="141">
        <f>'H) Péréquation directe'!I59/C48</f>
        <v>8.7351445951022573</v>
      </c>
      <c r="F48" s="116">
        <f>+'I) Dépenses thématiques'!O48/'J) Plafonnement effort'!C48</f>
        <v>-7.1878866186096504</v>
      </c>
      <c r="G48" s="141">
        <f t="shared" si="1"/>
        <v>18.798297670334374</v>
      </c>
      <c r="H48" s="316">
        <f t="shared" si="2"/>
        <v>0</v>
      </c>
      <c r="I48" s="58">
        <f t="shared" si="3"/>
        <v>0</v>
      </c>
      <c r="J48" s="34">
        <f t="shared" si="4"/>
        <v>18.798297670334374</v>
      </c>
    </row>
    <row r="49" spans="1:10" x14ac:dyDescent="0.25">
      <c r="A49" s="50">
        <f>'A) Base RI'!A51</f>
        <v>5480</v>
      </c>
      <c r="B49" s="301" t="str">
        <f>'A) Base RI'!B51</f>
        <v>Daillens</v>
      </c>
      <c r="C49" s="100">
        <f>'B) D RI'!U51</f>
        <v>41472.794507042257</v>
      </c>
      <c r="D49" s="116">
        <f>'E) Fact soc'!G55/C49</f>
        <v>18.900824553887269</v>
      </c>
      <c r="E49" s="141">
        <f>'H) Péréquation directe'!I60/C49</f>
        <v>14.025135456701785</v>
      </c>
      <c r="F49" s="116">
        <f>+'I) Dépenses thématiques'!O49/'J) Plafonnement effort'!C49</f>
        <v>-3.0270600497483984</v>
      </c>
      <c r="G49" s="141">
        <f t="shared" si="1"/>
        <v>29.898899960840652</v>
      </c>
      <c r="H49" s="316">
        <f t="shared" si="2"/>
        <v>0</v>
      </c>
      <c r="I49" s="58">
        <f t="shared" si="3"/>
        <v>0</v>
      </c>
      <c r="J49" s="34">
        <f t="shared" si="4"/>
        <v>29.898899960840652</v>
      </c>
    </row>
    <row r="50" spans="1:10" x14ac:dyDescent="0.25">
      <c r="A50" s="50">
        <f>'A) Base RI'!A52</f>
        <v>5481</v>
      </c>
      <c r="B50" s="301" t="str">
        <f>'A) Base RI'!B52</f>
        <v>Dizy</v>
      </c>
      <c r="C50" s="100">
        <f>'B) D RI'!U52</f>
        <v>11087.272784810126</v>
      </c>
      <c r="D50" s="116">
        <f>'E) Fact soc'!G56/C50</f>
        <v>16.148405281874229</v>
      </c>
      <c r="E50" s="141">
        <f>'H) Péréquation directe'!I61/C50</f>
        <v>16.972073805454162</v>
      </c>
      <c r="F50" s="116">
        <f>+'I) Dépenses thématiques'!O50/'J) Plafonnement effort'!C50</f>
        <v>0</v>
      </c>
      <c r="G50" s="141">
        <f t="shared" si="1"/>
        <v>33.120479087328391</v>
      </c>
      <c r="H50" s="316">
        <f t="shared" si="2"/>
        <v>0</v>
      </c>
      <c r="I50" s="58">
        <f t="shared" si="3"/>
        <v>0</v>
      </c>
      <c r="J50" s="34">
        <f t="shared" si="4"/>
        <v>33.120479087328391</v>
      </c>
    </row>
    <row r="51" spans="1:10" x14ac:dyDescent="0.25">
      <c r="A51" s="50">
        <f>'A) Base RI'!A53</f>
        <v>5482</v>
      </c>
      <c r="B51" s="301" t="str">
        <f>'A) Base RI'!B53</f>
        <v>Eclépens</v>
      </c>
      <c r="C51" s="100">
        <f>'B) D RI'!U53</f>
        <v>49011.702173913051</v>
      </c>
      <c r="D51" s="116">
        <f>'E) Fact soc'!G57/C51</f>
        <v>17.343157200047028</v>
      </c>
      <c r="E51" s="141">
        <f>'H) Péréquation directe'!I62/C51</f>
        <v>14.484824516185563</v>
      </c>
      <c r="F51" s="116">
        <f>+'I) Dépenses thématiques'!O51/'J) Plafonnement effort'!C51</f>
        <v>-2.0196261893309995</v>
      </c>
      <c r="G51" s="141">
        <f t="shared" si="1"/>
        <v>29.808355526901593</v>
      </c>
      <c r="H51" s="316">
        <f t="shared" si="2"/>
        <v>0</v>
      </c>
      <c r="I51" s="58">
        <f t="shared" si="3"/>
        <v>0</v>
      </c>
      <c r="J51" s="34">
        <f t="shared" si="4"/>
        <v>29.808355526901593</v>
      </c>
    </row>
    <row r="52" spans="1:10" x14ac:dyDescent="0.25">
      <c r="A52" s="50">
        <f>'A) Base RI'!A54</f>
        <v>5483</v>
      </c>
      <c r="B52" s="301" t="str">
        <f>'A) Base RI'!B54</f>
        <v>Ferreyres</v>
      </c>
      <c r="C52" s="100">
        <f>'B) D RI'!U54</f>
        <v>8858.2019736842121</v>
      </c>
      <c r="D52" s="116">
        <f>'E) Fact soc'!G58/C52</f>
        <v>17.184165191950065</v>
      </c>
      <c r="E52" s="141">
        <f>'H) Péréquation directe'!I63/C52</f>
        <v>2.2531982876794419</v>
      </c>
      <c r="F52" s="116">
        <f>+'I) Dépenses thématiques'!O52/'J) Plafonnement effort'!C52</f>
        <v>-3.1964754553567878</v>
      </c>
      <c r="G52" s="141">
        <f t="shared" si="1"/>
        <v>16.240888024272721</v>
      </c>
      <c r="H52" s="316">
        <f t="shared" si="2"/>
        <v>0</v>
      </c>
      <c r="I52" s="58">
        <f t="shared" si="3"/>
        <v>0</v>
      </c>
      <c r="J52" s="34">
        <f t="shared" si="4"/>
        <v>16.240888024272721</v>
      </c>
    </row>
    <row r="53" spans="1:10" x14ac:dyDescent="0.25">
      <c r="A53" s="50">
        <f>'A) Base RI'!A55</f>
        <v>5484</v>
      </c>
      <c r="B53" s="301" t="str">
        <f>'A) Base RI'!B55</f>
        <v>Gollion</v>
      </c>
      <c r="C53" s="100">
        <f>'B) D RI'!U55</f>
        <v>32194.381081081083</v>
      </c>
      <c r="D53" s="116">
        <f>'E) Fact soc'!G59/C53</f>
        <v>19.107058841557627</v>
      </c>
      <c r="E53" s="141">
        <f>'H) Péréquation directe'!I64/C53</f>
        <v>9.2336909201252091</v>
      </c>
      <c r="F53" s="116">
        <f>+'I) Dépenses thématiques'!O53/'J) Plafonnement effort'!C53</f>
        <v>-2.1639670106476232</v>
      </c>
      <c r="G53" s="141">
        <f t="shared" si="1"/>
        <v>26.176782751035212</v>
      </c>
      <c r="H53" s="316">
        <f t="shared" si="2"/>
        <v>0</v>
      </c>
      <c r="I53" s="58">
        <f t="shared" si="3"/>
        <v>0</v>
      </c>
      <c r="J53" s="34">
        <f t="shared" si="4"/>
        <v>26.176782751035212</v>
      </c>
    </row>
    <row r="54" spans="1:10" x14ac:dyDescent="0.25">
      <c r="A54" s="50">
        <f>'A) Base RI'!A56</f>
        <v>5485</v>
      </c>
      <c r="B54" s="301" t="str">
        <f>'A) Base RI'!B56</f>
        <v>Grancy</v>
      </c>
      <c r="C54" s="100">
        <f>'B) D RI'!U56</f>
        <v>18697.252714285714</v>
      </c>
      <c r="D54" s="116">
        <f>'E) Fact soc'!G60/C54</f>
        <v>15.498320606345773</v>
      </c>
      <c r="E54" s="141">
        <f>'H) Péréquation directe'!I65/C54</f>
        <v>16.85485205389779</v>
      </c>
      <c r="F54" s="116">
        <f>+'I) Dépenses thématiques'!O54/'J) Plafonnement effort'!C54</f>
        <v>-23.260008819770007</v>
      </c>
      <c r="G54" s="141">
        <f t="shared" si="1"/>
        <v>9.093163840473558</v>
      </c>
      <c r="H54" s="316">
        <f t="shared" si="2"/>
        <v>0</v>
      </c>
      <c r="I54" s="58">
        <f t="shared" si="3"/>
        <v>0</v>
      </c>
      <c r="J54" s="34">
        <f t="shared" si="4"/>
        <v>9.093163840473558</v>
      </c>
    </row>
    <row r="55" spans="1:10" x14ac:dyDescent="0.25">
      <c r="A55" s="50">
        <f>'A) Base RI'!A57</f>
        <v>5486</v>
      </c>
      <c r="B55" s="301" t="str">
        <f>'A) Base RI'!B57</f>
        <v>L'Isle</v>
      </c>
      <c r="C55" s="100">
        <f>'B) D RI'!U57</f>
        <v>31254.420526315782</v>
      </c>
      <c r="D55" s="116">
        <f>'E) Fact soc'!G61/C55</f>
        <v>17.555407481973621</v>
      </c>
      <c r="E55" s="141">
        <f>'H) Péréquation directe'!I66/C55</f>
        <v>5.4321437528478027</v>
      </c>
      <c r="F55" s="116">
        <f>+'I) Dépenses thématiques'!O55/'J) Plafonnement effort'!C55</f>
        <v>-9.722418594437416</v>
      </c>
      <c r="G55" s="141">
        <f t="shared" si="1"/>
        <v>13.265132640384008</v>
      </c>
      <c r="H55" s="316">
        <f t="shared" si="2"/>
        <v>0</v>
      </c>
      <c r="I55" s="58">
        <f t="shared" si="3"/>
        <v>0</v>
      </c>
      <c r="J55" s="34">
        <f t="shared" si="4"/>
        <v>13.265132640384008</v>
      </c>
    </row>
    <row r="56" spans="1:10" x14ac:dyDescent="0.25">
      <c r="A56" s="50">
        <f>'A) Base RI'!A58</f>
        <v>5487</v>
      </c>
      <c r="B56" s="301" t="str">
        <f>'A) Base RI'!B58</f>
        <v>Lussery-Villars</v>
      </c>
      <c r="C56" s="100">
        <f>'B) D RI'!U58</f>
        <v>14791.264800000001</v>
      </c>
      <c r="D56" s="116">
        <f>'E) Fact soc'!G62/C56</f>
        <v>15.302516778153302</v>
      </c>
      <c r="E56" s="141">
        <f>'H) Péréquation directe'!I67/C56</f>
        <v>6.759927360266424</v>
      </c>
      <c r="F56" s="116">
        <f>+'I) Dépenses thématiques'!O56/'J) Plafonnement effort'!C56</f>
        <v>-1.0559251195285448</v>
      </c>
      <c r="G56" s="141">
        <f t="shared" si="1"/>
        <v>21.006519018891183</v>
      </c>
      <c r="H56" s="316">
        <f t="shared" si="2"/>
        <v>0</v>
      </c>
      <c r="I56" s="58">
        <f t="shared" si="3"/>
        <v>0</v>
      </c>
      <c r="J56" s="34">
        <f t="shared" si="4"/>
        <v>21.006519018891183</v>
      </c>
    </row>
    <row r="57" spans="1:10" x14ac:dyDescent="0.25">
      <c r="A57" s="50">
        <f>'A) Base RI'!A59</f>
        <v>5488</v>
      </c>
      <c r="B57" s="301" t="str">
        <f>'A) Base RI'!B59</f>
        <v>Mauraz</v>
      </c>
      <c r="C57" s="100">
        <f>'B) D RI'!U59</f>
        <v>1908.9349999999995</v>
      </c>
      <c r="D57" s="116">
        <f>'E) Fact soc'!G63/C57</f>
        <v>17.934165598042764</v>
      </c>
      <c r="E57" s="141">
        <f>'H) Péréquation directe'!I68/C57</f>
        <v>6.4063087969713104</v>
      </c>
      <c r="F57" s="116">
        <f>+'I) Dépenses thématiques'!O57/'J) Plafonnement effort'!C57</f>
        <v>0</v>
      </c>
      <c r="G57" s="141">
        <f t="shared" si="1"/>
        <v>24.340474395014073</v>
      </c>
      <c r="H57" s="316">
        <f t="shared" si="2"/>
        <v>0</v>
      </c>
      <c r="I57" s="58">
        <f t="shared" si="3"/>
        <v>0</v>
      </c>
      <c r="J57" s="34">
        <f t="shared" si="4"/>
        <v>24.340474395014073</v>
      </c>
    </row>
    <row r="58" spans="1:10" x14ac:dyDescent="0.25">
      <c r="A58" s="50">
        <f>'A) Base RI'!A60</f>
        <v>5489</v>
      </c>
      <c r="B58" s="301" t="str">
        <f>'A) Base RI'!B60</f>
        <v>Mex</v>
      </c>
      <c r="C58" s="100">
        <f>'B) D RI'!U60</f>
        <v>70574.798032786901</v>
      </c>
      <c r="D58" s="116">
        <f>'E) Fact soc'!G64/C58</f>
        <v>26.009849197188419</v>
      </c>
      <c r="E58" s="141">
        <f>'H) Péréquation directe'!I69/C58</f>
        <v>16.167496244070275</v>
      </c>
      <c r="F58" s="116">
        <f>+'I) Dépenses thématiques'!O58/'J) Plafonnement effort'!C58</f>
        <v>0</v>
      </c>
      <c r="G58" s="141">
        <f t="shared" si="1"/>
        <v>42.177345441258694</v>
      </c>
      <c r="H58" s="316">
        <f t="shared" si="2"/>
        <v>0</v>
      </c>
      <c r="I58" s="58">
        <f t="shared" si="3"/>
        <v>0</v>
      </c>
      <c r="J58" s="34">
        <f t="shared" si="4"/>
        <v>42.177345441258694</v>
      </c>
    </row>
    <row r="59" spans="1:10" x14ac:dyDescent="0.25">
      <c r="A59" s="50">
        <f>'A) Base RI'!A61</f>
        <v>5490</v>
      </c>
      <c r="B59" s="301" t="str">
        <f>'A) Base RI'!B61</f>
        <v>Moiry</v>
      </c>
      <c r="C59" s="100">
        <f>'B) D RI'!U61</f>
        <v>9296.4079999999994</v>
      </c>
      <c r="D59" s="116">
        <f>'E) Fact soc'!G65/C59</f>
        <v>16.359745005589883</v>
      </c>
      <c r="E59" s="141">
        <f>'H) Péréquation directe'!I70/C59</f>
        <v>2.8772950660936596</v>
      </c>
      <c r="F59" s="116">
        <f>+'I) Dépenses thématiques'!O59/'J) Plafonnement effort'!C59</f>
        <v>-4.5045133320197657</v>
      </c>
      <c r="G59" s="141">
        <f t="shared" si="1"/>
        <v>14.732526739663776</v>
      </c>
      <c r="H59" s="316">
        <f t="shared" si="2"/>
        <v>0</v>
      </c>
      <c r="I59" s="58">
        <f t="shared" si="3"/>
        <v>0</v>
      </c>
      <c r="J59" s="34">
        <f t="shared" si="4"/>
        <v>14.732526739663776</v>
      </c>
    </row>
    <row r="60" spans="1:10" x14ac:dyDescent="0.25">
      <c r="A60" s="50">
        <f>'A) Base RI'!A62</f>
        <v>5491</v>
      </c>
      <c r="B60" s="301" t="str">
        <f>'A) Base RI'!B62</f>
        <v>Mont-la-Ville</v>
      </c>
      <c r="C60" s="100">
        <f>'B) D RI'!U62</f>
        <v>12324.548552631581</v>
      </c>
      <c r="D60" s="116">
        <f>'E) Fact soc'!G66/C60</f>
        <v>18.354984430968482</v>
      </c>
      <c r="E60" s="141">
        <f>'H) Péréquation directe'!I71/C60</f>
        <v>-0.93684415789417164</v>
      </c>
      <c r="F60" s="116">
        <f>+'I) Dépenses thématiques'!O60/'J) Plafonnement effort'!C60</f>
        <v>-12.522354439175084</v>
      </c>
      <c r="G60" s="141">
        <f t="shared" si="1"/>
        <v>4.8957858338992271</v>
      </c>
      <c r="H60" s="316">
        <f t="shared" si="2"/>
        <v>0</v>
      </c>
      <c r="I60" s="58">
        <f t="shared" si="3"/>
        <v>0</v>
      </c>
      <c r="J60" s="34">
        <f t="shared" si="4"/>
        <v>4.8957858338992271</v>
      </c>
    </row>
    <row r="61" spans="1:10" x14ac:dyDescent="0.25">
      <c r="A61" s="50">
        <f>'A) Base RI'!A63</f>
        <v>5492</v>
      </c>
      <c r="B61" s="301" t="str">
        <f>'A) Base RI'!B63</f>
        <v>Montricher</v>
      </c>
      <c r="C61" s="100">
        <f>'B) D RI'!U63</f>
        <v>236409.63453124999</v>
      </c>
      <c r="D61" s="116">
        <f>'E) Fact soc'!G67/C61</f>
        <v>42.099564319073643</v>
      </c>
      <c r="E61" s="141">
        <f>'H) Péréquation directe'!I72/C61</f>
        <v>14.209247106112185</v>
      </c>
      <c r="F61" s="116">
        <f>+'I) Dépenses thématiques'!O61/'J) Plafonnement effort'!C61</f>
        <v>-0.34786900604376009</v>
      </c>
      <c r="G61" s="141">
        <f t="shared" si="1"/>
        <v>55.960942419142071</v>
      </c>
      <c r="H61" s="316">
        <f t="shared" si="2"/>
        <v>-10.960942419142071</v>
      </c>
      <c r="I61" s="58">
        <f t="shared" si="3"/>
        <v>-2591272.3914274522</v>
      </c>
      <c r="J61" s="34">
        <f t="shared" si="4"/>
        <v>45</v>
      </c>
    </row>
    <row r="62" spans="1:10" x14ac:dyDescent="0.25">
      <c r="A62" s="50">
        <f>'A) Base RI'!A64</f>
        <v>5493</v>
      </c>
      <c r="B62" s="301" t="str">
        <f>'A) Base RI'!B64</f>
        <v>Orny</v>
      </c>
      <c r="C62" s="100">
        <f>'B) D RI'!U64</f>
        <v>10717.748314014751</v>
      </c>
      <c r="D62" s="116">
        <f>'E) Fact soc'!G68/C62</f>
        <v>19.679146789979647</v>
      </c>
      <c r="E62" s="141">
        <f>'H) Péréquation directe'!I73/C62</f>
        <v>3.9726554274565062</v>
      </c>
      <c r="F62" s="116">
        <f>+'I) Dépenses thématiques'!O62/'J) Plafonnement effort'!C62</f>
        <v>-61.48427256575814</v>
      </c>
      <c r="G62" s="141">
        <f t="shared" si="1"/>
        <v>-37.832470348321991</v>
      </c>
      <c r="H62" s="316">
        <f t="shared" si="2"/>
        <v>0</v>
      </c>
      <c r="I62" s="58">
        <f t="shared" si="3"/>
        <v>0</v>
      </c>
      <c r="J62" s="34">
        <f t="shared" si="4"/>
        <v>-37.832470348321991</v>
      </c>
    </row>
    <row r="63" spans="1:10" x14ac:dyDescent="0.25">
      <c r="A63" s="50">
        <f>'A) Base RI'!A65</f>
        <v>5494</v>
      </c>
      <c r="B63" s="301" t="str">
        <f>'A) Base RI'!B65</f>
        <v>Pampigny</v>
      </c>
      <c r="C63" s="100">
        <f>'B) D RI'!U65</f>
        <v>37813.321536507938</v>
      </c>
      <c r="D63" s="116">
        <f>'E) Fact soc'!G69/C63</f>
        <v>18.673275924369236</v>
      </c>
      <c r="E63" s="141">
        <f>'H) Péréquation directe'!I74/C63</f>
        <v>8.0054887111194599</v>
      </c>
      <c r="F63" s="116">
        <f>+'I) Dépenses thématiques'!O63/'J) Plafonnement effort'!C63</f>
        <v>-5.0927121224223342</v>
      </c>
      <c r="G63" s="141">
        <f t="shared" si="1"/>
        <v>21.586052513066363</v>
      </c>
      <c r="H63" s="316">
        <f t="shared" si="2"/>
        <v>0</v>
      </c>
      <c r="I63" s="58">
        <f t="shared" si="3"/>
        <v>0</v>
      </c>
      <c r="J63" s="34">
        <f t="shared" si="4"/>
        <v>21.586052513066363</v>
      </c>
    </row>
    <row r="64" spans="1:10" x14ac:dyDescent="0.25">
      <c r="A64" s="50">
        <f>'A) Base RI'!A66</f>
        <v>5495</v>
      </c>
      <c r="B64" s="301" t="str">
        <f>'A) Base RI'!B66</f>
        <v>Penthalaz</v>
      </c>
      <c r="C64" s="100">
        <f>'B) D RI'!U66</f>
        <v>92917.674594594588</v>
      </c>
      <c r="D64" s="116">
        <f>'E) Fact soc'!G70/C64</f>
        <v>17.304359140182054</v>
      </c>
      <c r="E64" s="141">
        <f>'H) Péréquation directe'!I75/C64</f>
        <v>-4.0156141140472412</v>
      </c>
      <c r="F64" s="116">
        <f>+'I) Dépenses thématiques'!O64/'J) Plafonnement effort'!C64</f>
        <v>-5.4111545452171868</v>
      </c>
      <c r="G64" s="141">
        <f t="shared" si="1"/>
        <v>7.8775904809176254</v>
      </c>
      <c r="H64" s="316">
        <f t="shared" si="2"/>
        <v>0</v>
      </c>
      <c r="I64" s="58">
        <f t="shared" si="3"/>
        <v>0</v>
      </c>
      <c r="J64" s="34">
        <f t="shared" si="4"/>
        <v>7.8775904809176254</v>
      </c>
    </row>
    <row r="65" spans="1:10" x14ac:dyDescent="0.25">
      <c r="A65" s="50">
        <f>'A) Base RI'!A67</f>
        <v>5496</v>
      </c>
      <c r="B65" s="301" t="str">
        <f>'A) Base RI'!B67</f>
        <v>Penthaz</v>
      </c>
      <c r="C65" s="100">
        <f>'B) D RI'!U67</f>
        <v>57442.135633802813</v>
      </c>
      <c r="D65" s="116">
        <f>'E) Fact soc'!G71/C65</f>
        <v>19.044207414748982</v>
      </c>
      <c r="E65" s="141">
        <f>'H) Péréquation directe'!I76/C65</f>
        <v>5.2798914988710113</v>
      </c>
      <c r="F65" s="116">
        <f>+'I) Dépenses thématiques'!O65/'J) Plafonnement effort'!C65</f>
        <v>-3.8955228109613613</v>
      </c>
      <c r="G65" s="141">
        <f t="shared" si="1"/>
        <v>20.428576102658631</v>
      </c>
      <c r="H65" s="316">
        <f t="shared" si="2"/>
        <v>0</v>
      </c>
      <c r="I65" s="58">
        <f t="shared" si="3"/>
        <v>0</v>
      </c>
      <c r="J65" s="34">
        <f t="shared" si="4"/>
        <v>20.428576102658631</v>
      </c>
    </row>
    <row r="66" spans="1:10" x14ac:dyDescent="0.25">
      <c r="A66" s="50">
        <f>'A) Base RI'!A68</f>
        <v>5497</v>
      </c>
      <c r="B66" s="301" t="str">
        <f>'A) Base RI'!B68</f>
        <v>Pompaples</v>
      </c>
      <c r="C66" s="100">
        <f>'B) D RI'!U68</f>
        <v>22516.582121212119</v>
      </c>
      <c r="D66" s="116">
        <f>'E) Fact soc'!G72/C66</f>
        <v>20.674220005898214</v>
      </c>
      <c r="E66" s="141">
        <f>'H) Péréquation directe'!I77/C66</f>
        <v>3.201887389716692</v>
      </c>
      <c r="F66" s="116">
        <f>+'I) Dépenses thématiques'!O66/'J) Plafonnement effort'!C66</f>
        <v>-7.9095243154033525</v>
      </c>
      <c r="G66" s="141">
        <f t="shared" si="1"/>
        <v>15.966583080211553</v>
      </c>
      <c r="H66" s="316">
        <f t="shared" si="2"/>
        <v>0</v>
      </c>
      <c r="I66" s="58">
        <f t="shared" si="3"/>
        <v>0</v>
      </c>
      <c r="J66" s="34">
        <f t="shared" si="4"/>
        <v>15.966583080211553</v>
      </c>
    </row>
    <row r="67" spans="1:10" x14ac:dyDescent="0.25">
      <c r="A67" s="50">
        <f>'A) Base RI'!A69</f>
        <v>5498</v>
      </c>
      <c r="B67" s="301" t="str">
        <f>'A) Base RI'!B69</f>
        <v>La Sarraz</v>
      </c>
      <c r="C67" s="100">
        <f>'B) D RI'!U69</f>
        <v>78201.916969696991</v>
      </c>
      <c r="D67" s="116">
        <f>'E) Fact soc'!G73/C67</f>
        <v>17.124058185664797</v>
      </c>
      <c r="E67" s="141">
        <f>'H) Péréquation directe'!I78/C67</f>
        <v>1.9915328787167741</v>
      </c>
      <c r="F67" s="116">
        <f>+'I) Dépenses thématiques'!O67/'J) Plafonnement effort'!C67</f>
        <v>-7.7287433037699245</v>
      </c>
      <c r="G67" s="141">
        <f t="shared" si="1"/>
        <v>11.386847760611648</v>
      </c>
      <c r="H67" s="316">
        <f t="shared" si="2"/>
        <v>0</v>
      </c>
      <c r="I67" s="58">
        <f t="shared" si="3"/>
        <v>0</v>
      </c>
      <c r="J67" s="34">
        <f t="shared" si="4"/>
        <v>11.386847760611648</v>
      </c>
    </row>
    <row r="68" spans="1:10" x14ac:dyDescent="0.25">
      <c r="A68" s="50">
        <f>'A) Base RI'!A70</f>
        <v>5499</v>
      </c>
      <c r="B68" s="301" t="str">
        <f>'A) Base RI'!B70</f>
        <v>Senarclens</v>
      </c>
      <c r="C68" s="100">
        <f>'B) D RI'!U70</f>
        <v>23886.663649635037</v>
      </c>
      <c r="D68" s="116">
        <f>'E) Fact soc'!G74/C68</f>
        <v>16.567099501965373</v>
      </c>
      <c r="E68" s="141">
        <f>'H) Péréquation directe'!I79/C68</f>
        <v>16.940439836854875</v>
      </c>
      <c r="F68" s="116">
        <f>+'I) Dépenses thématiques'!O68/'J) Plafonnement effort'!C68</f>
        <v>0</v>
      </c>
      <c r="G68" s="141">
        <f t="shared" si="1"/>
        <v>33.507539338820251</v>
      </c>
      <c r="H68" s="316">
        <f t="shared" si="2"/>
        <v>0</v>
      </c>
      <c r="I68" s="58">
        <f t="shared" si="3"/>
        <v>0</v>
      </c>
      <c r="J68" s="34">
        <f t="shared" si="4"/>
        <v>33.507539338820251</v>
      </c>
    </row>
    <row r="69" spans="1:10" x14ac:dyDescent="0.25">
      <c r="A69" s="50">
        <f>'A) Base RI'!A71</f>
        <v>5500</v>
      </c>
      <c r="B69" s="301" t="str">
        <f>'A) Base RI'!B71</f>
        <v>Sévery</v>
      </c>
      <c r="C69" s="100">
        <f>'B) D RI'!U71</f>
        <v>6331.5331555555558</v>
      </c>
      <c r="D69" s="116">
        <f>'E) Fact soc'!G75/C69</f>
        <v>19.701299877711836</v>
      </c>
      <c r="E69" s="141">
        <f>'H) Péréquation directe'!I80/C69</f>
        <v>2.0010777727190656</v>
      </c>
      <c r="F69" s="116">
        <f>+'I) Dépenses thématiques'!O69/'J) Plafonnement effort'!C69</f>
        <v>-5.1964145179905401</v>
      </c>
      <c r="G69" s="141">
        <f t="shared" si="1"/>
        <v>16.50596313244036</v>
      </c>
      <c r="H69" s="316">
        <f t="shared" si="2"/>
        <v>0</v>
      </c>
      <c r="I69" s="58">
        <f t="shared" si="3"/>
        <v>0</v>
      </c>
      <c r="J69" s="34">
        <f t="shared" si="4"/>
        <v>16.50596313244036</v>
      </c>
    </row>
    <row r="70" spans="1:10" x14ac:dyDescent="0.25">
      <c r="A70" s="50">
        <f>'A) Base RI'!A72</f>
        <v>5501</v>
      </c>
      <c r="B70" s="301" t="str">
        <f>'A) Base RI'!B72</f>
        <v>Sullens</v>
      </c>
      <c r="C70" s="100">
        <f>'B) D RI'!U72</f>
        <v>37812.339142857141</v>
      </c>
      <c r="D70" s="116">
        <f>'E) Fact soc'!G76/C70</f>
        <v>17.003011920150705</v>
      </c>
      <c r="E70" s="141">
        <f>'H) Péréquation directe'!I81/C70</f>
        <v>11.441399600339716</v>
      </c>
      <c r="F70" s="116">
        <f>+'I) Dépenses thématiques'!O70/'J) Plafonnement effort'!C70</f>
        <v>-0.17062298881586199</v>
      </c>
      <c r="G70" s="141">
        <f t="shared" ref="G70:G133" si="5">SUM(D70:F70)</f>
        <v>28.273788531674558</v>
      </c>
      <c r="H70" s="316">
        <f t="shared" ref="H70:H133" si="6">IF(G70&gt;H$4,H$4-G70,0)</f>
        <v>0</v>
      </c>
      <c r="I70" s="58">
        <f t="shared" ref="I70:I133" si="7">H70*C70</f>
        <v>0</v>
      </c>
      <c r="J70" s="34">
        <f t="shared" ref="J70:J133" si="8">G70+H70</f>
        <v>28.273788531674558</v>
      </c>
    </row>
    <row r="71" spans="1:10" x14ac:dyDescent="0.25">
      <c r="A71" s="50">
        <f>'A) Base RI'!A73</f>
        <v>5503</v>
      </c>
      <c r="B71" s="301" t="str">
        <f>'A) Base RI'!B73</f>
        <v>Vufflens-la-Ville</v>
      </c>
      <c r="C71" s="100">
        <f>'B) D RI'!U73</f>
        <v>77893.035572139299</v>
      </c>
      <c r="D71" s="116">
        <f>'E) Fact soc'!G77/C71</f>
        <v>21.388479754466982</v>
      </c>
      <c r="E71" s="141">
        <f>'H) Péréquation directe'!I82/C71</f>
        <v>16.105277347216933</v>
      </c>
      <c r="F71" s="116">
        <f>+'I) Dépenses thématiques'!O71/'J) Plafonnement effort'!C71</f>
        <v>0</v>
      </c>
      <c r="G71" s="141">
        <f t="shared" si="5"/>
        <v>37.493757101683912</v>
      </c>
      <c r="H71" s="316">
        <f t="shared" si="6"/>
        <v>0</v>
      </c>
      <c r="I71" s="58">
        <f t="shared" si="7"/>
        <v>0</v>
      </c>
      <c r="J71" s="34">
        <f t="shared" si="8"/>
        <v>37.493757101683912</v>
      </c>
    </row>
    <row r="72" spans="1:10" x14ac:dyDescent="0.25">
      <c r="A72" s="50">
        <f>'A) Base RI'!A74</f>
        <v>5511</v>
      </c>
      <c r="B72" s="301" t="str">
        <f>'A) Base RI'!B74</f>
        <v>Assens</v>
      </c>
      <c r="C72" s="100">
        <f>'B) D RI'!U74</f>
        <v>45641.470857142856</v>
      </c>
      <c r="D72" s="116">
        <f>'E) Fact soc'!G78/C72</f>
        <v>16.071670944646719</v>
      </c>
      <c r="E72" s="141">
        <f>'H) Péréquation directe'!I83/C72</f>
        <v>14.970182680360205</v>
      </c>
      <c r="F72" s="116">
        <f>+'I) Dépenses thématiques'!O72/'J) Plafonnement effort'!C72</f>
        <v>-6.6859517348810504</v>
      </c>
      <c r="G72" s="141">
        <f t="shared" si="5"/>
        <v>24.355901890125871</v>
      </c>
      <c r="H72" s="316">
        <f t="shared" si="6"/>
        <v>0</v>
      </c>
      <c r="I72" s="58">
        <f t="shared" si="7"/>
        <v>0</v>
      </c>
      <c r="J72" s="34">
        <f t="shared" si="8"/>
        <v>24.355901890125871</v>
      </c>
    </row>
    <row r="73" spans="1:10" x14ac:dyDescent="0.25">
      <c r="A73" s="50">
        <f>'A) Base RI'!A75</f>
        <v>5512</v>
      </c>
      <c r="B73" s="301" t="str">
        <f>'A) Base RI'!B75</f>
        <v>Bercher</v>
      </c>
      <c r="C73" s="100">
        <f>'B) D RI'!U75</f>
        <v>37783.595443037979</v>
      </c>
      <c r="D73" s="116">
        <f>'E) Fact soc'!G79/C73</f>
        <v>17.610738962608938</v>
      </c>
      <c r="E73" s="141">
        <f>'H) Péréquation directe'!I84/C73</f>
        <v>2.2890043212294642</v>
      </c>
      <c r="F73" s="116">
        <f>+'I) Dépenses thématiques'!O73/'J) Plafonnement effort'!C73</f>
        <v>-3.6384406059429466</v>
      </c>
      <c r="G73" s="141">
        <f t="shared" si="5"/>
        <v>16.261302677895454</v>
      </c>
      <c r="H73" s="316">
        <f t="shared" si="6"/>
        <v>0</v>
      </c>
      <c r="I73" s="58">
        <f t="shared" si="7"/>
        <v>0</v>
      </c>
      <c r="J73" s="34">
        <f t="shared" si="8"/>
        <v>16.261302677895454</v>
      </c>
    </row>
    <row r="74" spans="1:10" x14ac:dyDescent="0.25">
      <c r="A74" s="50">
        <f>'A) Base RI'!A76</f>
        <v>5513</v>
      </c>
      <c r="B74" s="301" t="str">
        <f>'A) Base RI'!B76</f>
        <v>Bioley-Orjulaz</v>
      </c>
      <c r="C74" s="100">
        <f>'B) D RI'!U76</f>
        <v>23108.127499999999</v>
      </c>
      <c r="D74" s="116">
        <f>'E) Fact soc'!G80/C74</f>
        <v>18.16982199364088</v>
      </c>
      <c r="E74" s="141">
        <f>'H) Péréquation directe'!I85/C74</f>
        <v>16.635813660092666</v>
      </c>
      <c r="F74" s="116">
        <f>+'I) Dépenses thématiques'!O74/'J) Plafonnement effort'!C74</f>
        <v>0</v>
      </c>
      <c r="G74" s="141">
        <f t="shared" si="5"/>
        <v>34.805635653733546</v>
      </c>
      <c r="H74" s="316">
        <f t="shared" si="6"/>
        <v>0</v>
      </c>
      <c r="I74" s="58">
        <f t="shared" si="7"/>
        <v>0</v>
      </c>
      <c r="J74" s="34">
        <f t="shared" si="8"/>
        <v>34.805635653733546</v>
      </c>
    </row>
    <row r="75" spans="1:10" x14ac:dyDescent="0.25">
      <c r="A75" s="50">
        <f>'A) Base RI'!A77</f>
        <v>5514</v>
      </c>
      <c r="B75" s="301" t="str">
        <f>'A) Base RI'!B77</f>
        <v>Bottens</v>
      </c>
      <c r="C75" s="100">
        <f>'B) D RI'!U77</f>
        <v>44799.851014492742</v>
      </c>
      <c r="D75" s="116">
        <f>'E) Fact soc'!G81/C75</f>
        <v>15.851363595721139</v>
      </c>
      <c r="E75" s="141">
        <f>'H) Péréquation directe'!I86/C75</f>
        <v>8.6486498834110801</v>
      </c>
      <c r="F75" s="116">
        <f>+'I) Dépenses thématiques'!O75/'J) Plafonnement effort'!C75</f>
        <v>0</v>
      </c>
      <c r="G75" s="141">
        <f t="shared" si="5"/>
        <v>24.500013479132221</v>
      </c>
      <c r="H75" s="316">
        <f t="shared" si="6"/>
        <v>0</v>
      </c>
      <c r="I75" s="58">
        <f t="shared" si="7"/>
        <v>0</v>
      </c>
      <c r="J75" s="34">
        <f t="shared" si="8"/>
        <v>24.500013479132221</v>
      </c>
    </row>
    <row r="76" spans="1:10" x14ac:dyDescent="0.25">
      <c r="A76" s="50">
        <f>'A) Base RI'!A78</f>
        <v>5515</v>
      </c>
      <c r="B76" s="301" t="str">
        <f>'A) Base RI'!B78</f>
        <v>Bretigny-sur-Morrens</v>
      </c>
      <c r="C76" s="100">
        <f>'B) D RI'!U78</f>
        <v>28902.998888888895</v>
      </c>
      <c r="D76" s="116">
        <f>'E) Fact soc'!G82/C76</f>
        <v>18.230105471835785</v>
      </c>
      <c r="E76" s="141">
        <f>'H) Péréquation directe'!I87/C76</f>
        <v>7.8797023153878074</v>
      </c>
      <c r="F76" s="116">
        <f>+'I) Dépenses thématiques'!O76/'J) Plafonnement effort'!C76</f>
        <v>-1.5150462986808519</v>
      </c>
      <c r="G76" s="141">
        <f t="shared" si="5"/>
        <v>24.594761488542741</v>
      </c>
      <c r="H76" s="316">
        <f t="shared" si="6"/>
        <v>0</v>
      </c>
      <c r="I76" s="58">
        <f t="shared" si="7"/>
        <v>0</v>
      </c>
      <c r="J76" s="34">
        <f t="shared" si="8"/>
        <v>24.594761488542741</v>
      </c>
    </row>
    <row r="77" spans="1:10" x14ac:dyDescent="0.25">
      <c r="A77" s="50">
        <f>'A) Base RI'!A79</f>
        <v>5516</v>
      </c>
      <c r="B77" s="301" t="str">
        <f>'A) Base RI'!B79</f>
        <v>Cugy</v>
      </c>
      <c r="C77" s="100">
        <f>'B) D RI'!U79</f>
        <v>111854.58641025641</v>
      </c>
      <c r="D77" s="116">
        <f>'E) Fact soc'!G83/C77</f>
        <v>16.859310323449076</v>
      </c>
      <c r="E77" s="141">
        <f>'H) Péréquation directe'!I88/C77</f>
        <v>10.114426219595718</v>
      </c>
      <c r="F77" s="116">
        <f>+'I) Dépenses thématiques'!O77/'J) Plafonnement effort'!C77</f>
        <v>-1.0906193431515263</v>
      </c>
      <c r="G77" s="141">
        <f t="shared" si="5"/>
        <v>25.883117199893267</v>
      </c>
      <c r="H77" s="316">
        <f t="shared" si="6"/>
        <v>0</v>
      </c>
      <c r="I77" s="58">
        <f t="shared" si="7"/>
        <v>0</v>
      </c>
      <c r="J77" s="34">
        <f t="shared" si="8"/>
        <v>25.883117199893267</v>
      </c>
    </row>
    <row r="78" spans="1:10" x14ac:dyDescent="0.25">
      <c r="A78" s="50">
        <f>'A) Base RI'!A80</f>
        <v>5518</v>
      </c>
      <c r="B78" s="301" t="str">
        <f>'A) Base RI'!B80</f>
        <v>Echallens</v>
      </c>
      <c r="C78" s="100">
        <f>'B) D RI'!U80</f>
        <v>188362.16891891891</v>
      </c>
      <c r="D78" s="116">
        <f>'E) Fact soc'!G84/C78</f>
        <v>16.331093268908603</v>
      </c>
      <c r="E78" s="141">
        <f>'H) Péréquation directe'!I89/C78</f>
        <v>-1.0506904613999577</v>
      </c>
      <c r="F78" s="116">
        <f>+'I) Dépenses thématiques'!O78/'J) Plafonnement effort'!C78</f>
        <v>-4.7009909403825452</v>
      </c>
      <c r="G78" s="141">
        <f t="shared" si="5"/>
        <v>10.579411867126101</v>
      </c>
      <c r="H78" s="316">
        <f t="shared" si="6"/>
        <v>0</v>
      </c>
      <c r="I78" s="58">
        <f t="shared" si="7"/>
        <v>0</v>
      </c>
      <c r="J78" s="34">
        <f t="shared" si="8"/>
        <v>10.579411867126101</v>
      </c>
    </row>
    <row r="79" spans="1:10" x14ac:dyDescent="0.25">
      <c r="A79" s="50">
        <f>'A) Base RI'!A81</f>
        <v>5520</v>
      </c>
      <c r="B79" s="301" t="str">
        <f>'A) Base RI'!B81</f>
        <v>Essertines-sur-Yverdon</v>
      </c>
      <c r="C79" s="100">
        <f>'B) D RI'!U81</f>
        <v>31866.674520547935</v>
      </c>
      <c r="D79" s="116">
        <f>'E) Fact soc'!G85/C79</f>
        <v>18.142712789007941</v>
      </c>
      <c r="E79" s="141">
        <f>'H) Péréquation directe'!I90/C79</f>
        <v>6.1035937187525207</v>
      </c>
      <c r="F79" s="116">
        <f>+'I) Dépenses thématiques'!O79/'J) Plafonnement effort'!C79</f>
        <v>-3.6082510859174453</v>
      </c>
      <c r="G79" s="141">
        <f t="shared" si="5"/>
        <v>20.638055421843017</v>
      </c>
      <c r="H79" s="316">
        <f t="shared" si="6"/>
        <v>0</v>
      </c>
      <c r="I79" s="58">
        <f t="shared" si="7"/>
        <v>0</v>
      </c>
      <c r="J79" s="34">
        <f t="shared" si="8"/>
        <v>20.638055421843017</v>
      </c>
    </row>
    <row r="80" spans="1:10" x14ac:dyDescent="0.25">
      <c r="A80" s="50">
        <f>'A) Base RI'!A82</f>
        <v>5521</v>
      </c>
      <c r="B80" s="301" t="str">
        <f>'A) Base RI'!B82</f>
        <v>Etagnières</v>
      </c>
      <c r="C80" s="100">
        <f>'B) D RI'!U82</f>
        <v>42985.528493150683</v>
      </c>
      <c r="D80" s="116">
        <f>'E) Fact soc'!G86/C80</f>
        <v>16.859302781231339</v>
      </c>
      <c r="E80" s="141">
        <f>'H) Péréquation directe'!I91/C80</f>
        <v>12.057691511699362</v>
      </c>
      <c r="F80" s="116">
        <f>+'I) Dépenses thématiques'!O80/'J) Plafonnement effort'!C80</f>
        <v>-0.35802975887624316</v>
      </c>
      <c r="G80" s="141">
        <f t="shared" si="5"/>
        <v>28.558964534054461</v>
      </c>
      <c r="H80" s="316">
        <f t="shared" si="6"/>
        <v>0</v>
      </c>
      <c r="I80" s="58">
        <f t="shared" si="7"/>
        <v>0</v>
      </c>
      <c r="J80" s="34">
        <f t="shared" si="8"/>
        <v>28.558964534054461</v>
      </c>
    </row>
    <row r="81" spans="1:10" x14ac:dyDescent="0.25">
      <c r="A81" s="50">
        <f>'A) Base RI'!A83</f>
        <v>5522</v>
      </c>
      <c r="B81" s="301" t="str">
        <f>'A) Base RI'!B83</f>
        <v>Fey</v>
      </c>
      <c r="C81" s="100">
        <f>'B) D RI'!U83</f>
        <v>21913.487866666663</v>
      </c>
      <c r="D81" s="116">
        <f>'E) Fact soc'!G87/C81</f>
        <v>17.415259107526186</v>
      </c>
      <c r="E81" s="141">
        <f>'H) Péréquation directe'!I92/C81</f>
        <v>4.259015337197007</v>
      </c>
      <c r="F81" s="116">
        <f>+'I) Dépenses thématiques'!O81/'J) Plafonnement effort'!C81</f>
        <v>-1.4354823899377445</v>
      </c>
      <c r="G81" s="141">
        <f t="shared" si="5"/>
        <v>20.238792054785449</v>
      </c>
      <c r="H81" s="316">
        <f t="shared" si="6"/>
        <v>0</v>
      </c>
      <c r="I81" s="58">
        <f t="shared" si="7"/>
        <v>0</v>
      </c>
      <c r="J81" s="34">
        <f t="shared" si="8"/>
        <v>20.238792054785449</v>
      </c>
    </row>
    <row r="82" spans="1:10" x14ac:dyDescent="0.25">
      <c r="A82" s="50">
        <f>'A) Base RI'!A84</f>
        <v>5523</v>
      </c>
      <c r="B82" s="301" t="str">
        <f>'A) Base RI'!B84</f>
        <v>Froideville</v>
      </c>
      <c r="C82" s="100">
        <f>'B) D RI'!U84</f>
        <v>83191.459210526315</v>
      </c>
      <c r="D82" s="116">
        <f>'E) Fact soc'!G88/C82</f>
        <v>16.561163229655374</v>
      </c>
      <c r="E82" s="141">
        <f>'H) Péréquation directe'!I93/C82</f>
        <v>2.0902230196234002</v>
      </c>
      <c r="F82" s="116">
        <f>+'I) Dépenses thématiques'!O82/'J) Plafonnement effort'!C82</f>
        <v>-0.85163870099078542</v>
      </c>
      <c r="G82" s="141">
        <f t="shared" si="5"/>
        <v>17.799747548287989</v>
      </c>
      <c r="H82" s="316">
        <f t="shared" si="6"/>
        <v>0</v>
      </c>
      <c r="I82" s="58">
        <f t="shared" si="7"/>
        <v>0</v>
      </c>
      <c r="J82" s="34">
        <f t="shared" si="8"/>
        <v>17.799747548287989</v>
      </c>
    </row>
    <row r="83" spans="1:10" x14ac:dyDescent="0.25">
      <c r="A83" s="50">
        <f>'A) Base RI'!A85</f>
        <v>5527</v>
      </c>
      <c r="B83" s="301" t="str">
        <f>'A) Base RI'!B85</f>
        <v>Morrens</v>
      </c>
      <c r="C83" s="100">
        <f>'B) D RI'!U85</f>
        <v>37832.854189189195</v>
      </c>
      <c r="D83" s="116">
        <f>'E) Fact soc'!G89/C83</f>
        <v>18.196963340182052</v>
      </c>
      <c r="E83" s="141">
        <f>'H) Péréquation directe'!I94/C83</f>
        <v>9.4803047126895859</v>
      </c>
      <c r="F83" s="116">
        <f>+'I) Dépenses thématiques'!O83/'J) Plafonnement effort'!C83</f>
        <v>-0.70603843919651443</v>
      </c>
      <c r="G83" s="141">
        <f t="shared" si="5"/>
        <v>26.971229613675124</v>
      </c>
      <c r="H83" s="316">
        <f t="shared" si="6"/>
        <v>0</v>
      </c>
      <c r="I83" s="58">
        <f t="shared" si="7"/>
        <v>0</v>
      </c>
      <c r="J83" s="34">
        <f t="shared" si="8"/>
        <v>26.971229613675124</v>
      </c>
    </row>
    <row r="84" spans="1:10" x14ac:dyDescent="0.25">
      <c r="A84" s="50">
        <f>'A) Base RI'!A86</f>
        <v>5529</v>
      </c>
      <c r="B84" s="301" t="str">
        <f>'A) Base RI'!B86</f>
        <v>Oulens-sous-Echallens</v>
      </c>
      <c r="C84" s="100">
        <f>'B) D RI'!U86</f>
        <v>21358.649436619718</v>
      </c>
      <c r="D84" s="116">
        <f>'E) Fact soc'!G90/C84</f>
        <v>16.056438972727957</v>
      </c>
      <c r="E84" s="141">
        <f>'H) Péréquation directe'!I95/C84</f>
        <v>10.337458499716748</v>
      </c>
      <c r="F84" s="116">
        <f>+'I) Dépenses thématiques'!O84/'J) Plafonnement effort'!C84</f>
        <v>-5.5334833537425974</v>
      </c>
      <c r="G84" s="141">
        <f t="shared" si="5"/>
        <v>20.86041411870211</v>
      </c>
      <c r="H84" s="316">
        <f t="shared" si="6"/>
        <v>0</v>
      </c>
      <c r="I84" s="58">
        <f t="shared" si="7"/>
        <v>0</v>
      </c>
      <c r="J84" s="34">
        <f t="shared" si="8"/>
        <v>20.86041411870211</v>
      </c>
    </row>
    <row r="85" spans="1:10" x14ac:dyDescent="0.25">
      <c r="A85" s="50">
        <f>'A) Base RI'!A87</f>
        <v>5530</v>
      </c>
      <c r="B85" s="301" t="str">
        <f>'A) Base RI'!B87</f>
        <v>Pailly</v>
      </c>
      <c r="C85" s="100">
        <f>'B) D RI'!U87</f>
        <v>17215.63182795699</v>
      </c>
      <c r="D85" s="116">
        <f>'E) Fact soc'!G91/C85</f>
        <v>20.092938894800337</v>
      </c>
      <c r="E85" s="141">
        <f>'H) Péréquation directe'!I96/C85</f>
        <v>4.5551850568626309</v>
      </c>
      <c r="F85" s="116">
        <f>+'I) Dépenses thématiques'!O85/'J) Plafonnement effort'!C85</f>
        <v>-12.22174444766825</v>
      </c>
      <c r="G85" s="141">
        <f t="shared" si="5"/>
        <v>12.426379503994717</v>
      </c>
      <c r="H85" s="316">
        <f t="shared" si="6"/>
        <v>0</v>
      </c>
      <c r="I85" s="58">
        <f t="shared" si="7"/>
        <v>0</v>
      </c>
      <c r="J85" s="34">
        <f t="shared" si="8"/>
        <v>12.426379503994717</v>
      </c>
    </row>
    <row r="86" spans="1:10" x14ac:dyDescent="0.25">
      <c r="A86" s="50">
        <f>'A) Base RI'!A88</f>
        <v>5531</v>
      </c>
      <c r="B86" s="301" t="str">
        <f>'A) Base RI'!B88</f>
        <v>Penthéréaz</v>
      </c>
      <c r="C86" s="100">
        <f>'B) D RI'!U88</f>
        <v>14983.10512820513</v>
      </c>
      <c r="D86" s="116">
        <f>'E) Fact soc'!G92/C86</f>
        <v>16.810889290932806</v>
      </c>
      <c r="E86" s="141">
        <f>'H) Péréquation directe'!I97/C86</f>
        <v>9.7444166581971139</v>
      </c>
      <c r="F86" s="116">
        <f>+'I) Dépenses thématiques'!O86/'J) Plafonnement effort'!C86</f>
        <v>-2.9346502571137889</v>
      </c>
      <c r="G86" s="141">
        <f t="shared" si="5"/>
        <v>23.620655692016133</v>
      </c>
      <c r="H86" s="316">
        <f t="shared" si="6"/>
        <v>0</v>
      </c>
      <c r="I86" s="58">
        <f t="shared" si="7"/>
        <v>0</v>
      </c>
      <c r="J86" s="34">
        <f t="shared" si="8"/>
        <v>23.620655692016133</v>
      </c>
    </row>
    <row r="87" spans="1:10" x14ac:dyDescent="0.25">
      <c r="A87" s="50">
        <f>'A) Base RI'!A89</f>
        <v>5533</v>
      </c>
      <c r="B87" s="301" t="str">
        <f>'A) Base RI'!B89</f>
        <v>Poliez-Pittet</v>
      </c>
      <c r="C87" s="100">
        <f>'B) D RI'!U89</f>
        <v>25749.220563380281</v>
      </c>
      <c r="D87" s="116">
        <f>'E) Fact soc'!G93/C87</f>
        <v>15.981125592975436</v>
      </c>
      <c r="E87" s="141">
        <f>'H) Péréquation directe'!I98/C87</f>
        <v>6.0812398380328068</v>
      </c>
      <c r="F87" s="116">
        <f>+'I) Dépenses thématiques'!O87/'J) Plafonnement effort'!C87</f>
        <v>-1.0775038291949952</v>
      </c>
      <c r="G87" s="141">
        <f t="shared" si="5"/>
        <v>20.984861601813247</v>
      </c>
      <c r="H87" s="316">
        <f t="shared" si="6"/>
        <v>0</v>
      </c>
      <c r="I87" s="58">
        <f t="shared" si="7"/>
        <v>0</v>
      </c>
      <c r="J87" s="34">
        <f t="shared" si="8"/>
        <v>20.984861601813247</v>
      </c>
    </row>
    <row r="88" spans="1:10" x14ac:dyDescent="0.25">
      <c r="A88" s="50">
        <f>'A) Base RI'!A90</f>
        <v>5534</v>
      </c>
      <c r="B88" s="301" t="str">
        <f>'A) Base RI'!B90</f>
        <v>Rueyres</v>
      </c>
      <c r="C88" s="100">
        <f>'B) D RI'!U90</f>
        <v>9061.5212328767138</v>
      </c>
      <c r="D88" s="116">
        <f>'E) Fact soc'!G94/C88</f>
        <v>16.007277407010303</v>
      </c>
      <c r="E88" s="141">
        <f>'H) Péréquation directe'!I99/C88</f>
        <v>10.497417642374877</v>
      </c>
      <c r="F88" s="116">
        <f>+'I) Dépenses thématiques'!O88/'J) Plafonnement effort'!C88</f>
        <v>-1.8290656564509336</v>
      </c>
      <c r="G88" s="141">
        <f t="shared" si="5"/>
        <v>24.675629392934248</v>
      </c>
      <c r="H88" s="316">
        <f t="shared" si="6"/>
        <v>0</v>
      </c>
      <c r="I88" s="58">
        <f t="shared" si="7"/>
        <v>0</v>
      </c>
      <c r="J88" s="34">
        <f t="shared" si="8"/>
        <v>24.675629392934248</v>
      </c>
    </row>
    <row r="89" spans="1:10" x14ac:dyDescent="0.25">
      <c r="A89" s="50">
        <f>'A) Base RI'!A91</f>
        <v>5535</v>
      </c>
      <c r="B89" s="301" t="str">
        <f>'A) Base RI'!B91</f>
        <v>Saint-Barthélemy</v>
      </c>
      <c r="C89" s="100">
        <f>'B) D RI'!U91</f>
        <v>21992.865064935064</v>
      </c>
      <c r="D89" s="116">
        <f>'E) Fact soc'!G95/C89</f>
        <v>18.587379049869515</v>
      </c>
      <c r="E89" s="141">
        <f>'H) Péréquation directe'!I100/C89</f>
        <v>1.4624694226013168</v>
      </c>
      <c r="F89" s="116">
        <f>+'I) Dépenses thématiques'!O89/'J) Plafonnement effort'!C89</f>
        <v>-7.6513923521150378E-4</v>
      </c>
      <c r="G89" s="141">
        <f t="shared" si="5"/>
        <v>20.049083333235618</v>
      </c>
      <c r="H89" s="316">
        <f t="shared" si="6"/>
        <v>0</v>
      </c>
      <c r="I89" s="58">
        <f t="shared" si="7"/>
        <v>0</v>
      </c>
      <c r="J89" s="34">
        <f t="shared" si="8"/>
        <v>20.049083333235618</v>
      </c>
    </row>
    <row r="90" spans="1:10" x14ac:dyDescent="0.25">
      <c r="A90" s="50">
        <f>'A) Base RI'!A92</f>
        <v>5537</v>
      </c>
      <c r="B90" s="301" t="str">
        <f>'A) Base RI'!B92</f>
        <v>Villars-le-Terroir</v>
      </c>
      <c r="C90" s="100">
        <f>'B) D RI'!U92</f>
        <v>37425.853630136982</v>
      </c>
      <c r="D90" s="116">
        <f>'E) Fact soc'!G96/C90</f>
        <v>16.237836376976606</v>
      </c>
      <c r="E90" s="141">
        <f>'H) Péréquation directe'!I101/C90</f>
        <v>4.5786832665995405</v>
      </c>
      <c r="F90" s="116">
        <f>+'I) Dépenses thématiques'!O90/'J) Plafonnement effort'!C90</f>
        <v>-0.52434941134478164</v>
      </c>
      <c r="G90" s="141">
        <f t="shared" si="5"/>
        <v>20.292170232231364</v>
      </c>
      <c r="H90" s="316">
        <f t="shared" si="6"/>
        <v>0</v>
      </c>
      <c r="I90" s="58">
        <f t="shared" si="7"/>
        <v>0</v>
      </c>
      <c r="J90" s="34">
        <f t="shared" si="8"/>
        <v>20.292170232231364</v>
      </c>
    </row>
    <row r="91" spans="1:10" x14ac:dyDescent="0.25">
      <c r="A91" s="50">
        <f>'A) Base RI'!A93</f>
        <v>5539</v>
      </c>
      <c r="B91" s="301" t="str">
        <f>'A) Base RI'!B93</f>
        <v>Vuarrens</v>
      </c>
      <c r="C91" s="100">
        <f>'B) D RI'!U93</f>
        <v>28895.172466666667</v>
      </c>
      <c r="D91" s="116">
        <f>'E) Fact soc'!G97/C91</f>
        <v>17.592418583698421</v>
      </c>
      <c r="E91" s="141">
        <f>'H) Péréquation directe'!I102/C91</f>
        <v>2.9813730526028324</v>
      </c>
      <c r="F91" s="116">
        <f>+'I) Dépenses thématiques'!O91/'J) Plafonnement effort'!C91</f>
        <v>-2.5084015809256988</v>
      </c>
      <c r="G91" s="141">
        <f t="shared" si="5"/>
        <v>18.065390055375556</v>
      </c>
      <c r="H91" s="316">
        <f t="shared" si="6"/>
        <v>0</v>
      </c>
      <c r="I91" s="58">
        <f t="shared" si="7"/>
        <v>0</v>
      </c>
      <c r="J91" s="34">
        <f t="shared" si="8"/>
        <v>18.065390055375556</v>
      </c>
    </row>
    <row r="92" spans="1:10" x14ac:dyDescent="0.25">
      <c r="A92" s="50">
        <f>'A) Base RI'!A94</f>
        <v>5540</v>
      </c>
      <c r="B92" s="301" t="str">
        <f>'A) Base RI'!B94</f>
        <v>Montilliez</v>
      </c>
      <c r="C92" s="100">
        <f>'B) D RI'!U94</f>
        <v>59583.392972972964</v>
      </c>
      <c r="D92" s="116">
        <f>'E) Fact soc'!G98/C92</f>
        <v>16.311301910277496</v>
      </c>
      <c r="E92" s="141">
        <f>'H) Péréquation directe'!I103/C92</f>
        <v>5.178116296997584</v>
      </c>
      <c r="F92" s="116">
        <f>+'I) Dépenses thématiques'!O92/'J) Plafonnement effort'!C92</f>
        <v>-9.9288355859739905</v>
      </c>
      <c r="G92" s="141">
        <f t="shared" si="5"/>
        <v>11.560582621301089</v>
      </c>
      <c r="H92" s="316">
        <f t="shared" si="6"/>
        <v>0</v>
      </c>
      <c r="I92" s="58">
        <f t="shared" si="7"/>
        <v>0</v>
      </c>
      <c r="J92" s="34">
        <f t="shared" si="8"/>
        <v>11.560582621301089</v>
      </c>
    </row>
    <row r="93" spans="1:10" x14ac:dyDescent="0.25">
      <c r="A93" s="50">
        <f>'A) Base RI'!A95</f>
        <v>5541</v>
      </c>
      <c r="B93" s="301" t="str">
        <f>'A) Base RI'!B95</f>
        <v>Goumoëns</v>
      </c>
      <c r="C93" s="100">
        <f>'B) D RI'!U95</f>
        <v>36064.061558441557</v>
      </c>
      <c r="D93" s="116">
        <f>'E) Fact soc'!G99/C93</f>
        <v>23.771546475515208</v>
      </c>
      <c r="E93" s="141">
        <f>'H) Péréquation directe'!I104/C93</f>
        <v>5.6836817845991723</v>
      </c>
      <c r="F93" s="116">
        <f>+'I) Dépenses thématiques'!O93/'J) Plafonnement effort'!C93</f>
        <v>-1.8819450594648286</v>
      </c>
      <c r="G93" s="141">
        <f t="shared" si="5"/>
        <v>27.573283200649552</v>
      </c>
      <c r="H93" s="316">
        <f t="shared" si="6"/>
        <v>0</v>
      </c>
      <c r="I93" s="58">
        <f t="shared" si="7"/>
        <v>0</v>
      </c>
      <c r="J93" s="34">
        <f t="shared" si="8"/>
        <v>27.573283200649552</v>
      </c>
    </row>
    <row r="94" spans="1:10" x14ac:dyDescent="0.25">
      <c r="A94" s="50">
        <f>'A) Base RI'!A96</f>
        <v>5551</v>
      </c>
      <c r="B94" s="301" t="str">
        <f>'A) Base RI'!B96</f>
        <v>Bonvillars</v>
      </c>
      <c r="C94" s="100">
        <f>'B) D RI'!U96</f>
        <v>23195.066545454545</v>
      </c>
      <c r="D94" s="116">
        <f>'E) Fact soc'!G100/C94</f>
        <v>16.483867629006301</v>
      </c>
      <c r="E94" s="141">
        <f>'H) Péréquation directe'!I105/C94</f>
        <v>16.806368739119542</v>
      </c>
      <c r="F94" s="116">
        <f>+'I) Dépenses thématiques'!O94/'J) Plafonnement effort'!C94</f>
        <v>-1.9552534760739899</v>
      </c>
      <c r="G94" s="141">
        <f t="shared" si="5"/>
        <v>31.334982892051855</v>
      </c>
      <c r="H94" s="316">
        <f t="shared" si="6"/>
        <v>0</v>
      </c>
      <c r="I94" s="58">
        <f t="shared" si="7"/>
        <v>0</v>
      </c>
      <c r="J94" s="34">
        <f t="shared" si="8"/>
        <v>31.334982892051855</v>
      </c>
    </row>
    <row r="95" spans="1:10" x14ac:dyDescent="0.25">
      <c r="A95" s="50">
        <f>'A) Base RI'!A97</f>
        <v>5552</v>
      </c>
      <c r="B95" s="301" t="str">
        <f>'A) Base RI'!B97</f>
        <v>Bullet</v>
      </c>
      <c r="C95" s="100">
        <f>'B) D RI'!U97</f>
        <v>17788.954109589042</v>
      </c>
      <c r="D95" s="116">
        <f>'E) Fact soc'!G101/C95</f>
        <v>17.448173643666983</v>
      </c>
      <c r="E95" s="141">
        <f>'H) Péréquation directe'!I106/C95</f>
        <v>1.3551753911911006</v>
      </c>
      <c r="F95" s="116">
        <f>+'I) Dépenses thématiques'!O95/'J) Plafonnement effort'!C95</f>
        <v>-10.897472656464888</v>
      </c>
      <c r="G95" s="141">
        <f t="shared" si="5"/>
        <v>7.9058763783931951</v>
      </c>
      <c r="H95" s="316">
        <f t="shared" si="6"/>
        <v>0</v>
      </c>
      <c r="I95" s="58">
        <f t="shared" si="7"/>
        <v>0</v>
      </c>
      <c r="J95" s="34">
        <f t="shared" si="8"/>
        <v>7.9058763783931951</v>
      </c>
    </row>
    <row r="96" spans="1:10" x14ac:dyDescent="0.25">
      <c r="A96" s="50">
        <f>'A) Base RI'!A98</f>
        <v>5553</v>
      </c>
      <c r="B96" s="301" t="str">
        <f>'A) Base RI'!B98</f>
        <v>Champagne</v>
      </c>
      <c r="C96" s="100">
        <f>'B) D RI'!U98</f>
        <v>38605.988461538451</v>
      </c>
      <c r="D96" s="116">
        <f>'E) Fact soc'!G102/C96</f>
        <v>18.02969003705844</v>
      </c>
      <c r="E96" s="141">
        <f>'H) Péréquation directe'!I107/C96</f>
        <v>12.614445287027612</v>
      </c>
      <c r="F96" s="116">
        <f>+'I) Dépenses thématiques'!O96/'J) Plafonnement effort'!C96</f>
        <v>-7.0110479367037879</v>
      </c>
      <c r="G96" s="141">
        <f t="shared" si="5"/>
        <v>23.633087387382261</v>
      </c>
      <c r="H96" s="316">
        <f t="shared" si="6"/>
        <v>0</v>
      </c>
      <c r="I96" s="58">
        <f t="shared" si="7"/>
        <v>0</v>
      </c>
      <c r="J96" s="34">
        <f t="shared" si="8"/>
        <v>23.633087387382261</v>
      </c>
    </row>
    <row r="97" spans="1:10" x14ac:dyDescent="0.25">
      <c r="A97" s="50">
        <f>'A) Base RI'!A99</f>
        <v>5554</v>
      </c>
      <c r="B97" s="301" t="str">
        <f>'A) Base RI'!B99</f>
        <v>Concise</v>
      </c>
      <c r="C97" s="100">
        <f>'B) D RI'!U99</f>
        <v>29879.816133333334</v>
      </c>
      <c r="D97" s="116">
        <f>'E) Fact soc'!G103/C97</f>
        <v>19.350202324526769</v>
      </c>
      <c r="E97" s="141">
        <f>'H) Péréquation directe'!I108/C97</f>
        <v>4.4750464098699307</v>
      </c>
      <c r="F97" s="116">
        <f>+'I) Dépenses thématiques'!O97/'J) Plafonnement effort'!C97</f>
        <v>-4.1027721771631818</v>
      </c>
      <c r="G97" s="141">
        <f t="shared" si="5"/>
        <v>19.72247655723352</v>
      </c>
      <c r="H97" s="316">
        <f t="shared" si="6"/>
        <v>0</v>
      </c>
      <c r="I97" s="58">
        <f t="shared" si="7"/>
        <v>0</v>
      </c>
      <c r="J97" s="34">
        <f t="shared" si="8"/>
        <v>19.72247655723352</v>
      </c>
    </row>
    <row r="98" spans="1:10" x14ac:dyDescent="0.25">
      <c r="A98" s="50">
        <f>'A) Base RI'!A100</f>
        <v>5555</v>
      </c>
      <c r="B98" s="301" t="str">
        <f>'A) Base RI'!B100</f>
        <v>Corcelles-près-Concise</v>
      </c>
      <c r="C98" s="100">
        <f>'B) D RI'!U100</f>
        <v>13019.29676056338</v>
      </c>
      <c r="D98" s="116">
        <f>'E) Fact soc'!G104/C98</f>
        <v>18.196660858488723</v>
      </c>
      <c r="E98" s="141">
        <f>'H) Péréquation directe'!I109/C98</f>
        <v>8.1398119351704388</v>
      </c>
      <c r="F98" s="116">
        <f>+'I) Dépenses thématiques'!O98/'J) Plafonnement effort'!C98</f>
        <v>-11.070349623967951</v>
      </c>
      <c r="G98" s="141">
        <f t="shared" si="5"/>
        <v>15.266123169691211</v>
      </c>
      <c r="H98" s="316">
        <f t="shared" si="6"/>
        <v>0</v>
      </c>
      <c r="I98" s="58">
        <f t="shared" si="7"/>
        <v>0</v>
      </c>
      <c r="J98" s="34">
        <f t="shared" si="8"/>
        <v>15.266123169691211</v>
      </c>
    </row>
    <row r="99" spans="1:10" x14ac:dyDescent="0.25">
      <c r="A99" s="50">
        <f>'A) Base RI'!A101</f>
        <v>5556</v>
      </c>
      <c r="B99" s="301" t="str">
        <f>'A) Base RI'!B101</f>
        <v>Fiez</v>
      </c>
      <c r="C99" s="100">
        <f>'B) D RI'!U101</f>
        <v>12683.231642512079</v>
      </c>
      <c r="D99" s="116">
        <f>'E) Fact soc'!G105/C99</f>
        <v>18.427129157814882</v>
      </c>
      <c r="E99" s="141">
        <f>'H) Péréquation directe'!I110/C99</f>
        <v>4.3428329180820668</v>
      </c>
      <c r="F99" s="116">
        <f>+'I) Dépenses thématiques'!O99/'J) Plafonnement effort'!C99</f>
        <v>-2.4921164944603582</v>
      </c>
      <c r="G99" s="141">
        <f t="shared" si="5"/>
        <v>20.277845581436591</v>
      </c>
      <c r="H99" s="316">
        <f t="shared" si="6"/>
        <v>0</v>
      </c>
      <c r="I99" s="58">
        <f t="shared" si="7"/>
        <v>0</v>
      </c>
      <c r="J99" s="34">
        <f t="shared" si="8"/>
        <v>20.277845581436591</v>
      </c>
    </row>
    <row r="100" spans="1:10" x14ac:dyDescent="0.25">
      <c r="A100" s="50">
        <f>'A) Base RI'!A102</f>
        <v>5557</v>
      </c>
      <c r="B100" s="301" t="str">
        <f>'A) Base RI'!B102</f>
        <v>Fontaines-sur-Grandson</v>
      </c>
      <c r="C100" s="100">
        <f>'B) D RI'!U102</f>
        <v>5551.0404347826088</v>
      </c>
      <c r="D100" s="116">
        <f>'E) Fact soc'!G106/C100</f>
        <v>18.491572461402473</v>
      </c>
      <c r="E100" s="141">
        <f>'H) Péréquation directe'!I111/C100</f>
        <v>0.50896291938674532</v>
      </c>
      <c r="F100" s="116">
        <f>+'I) Dépenses thématiques'!O100/'J) Plafonnement effort'!C100</f>
        <v>-9.5853858738778754</v>
      </c>
      <c r="G100" s="141">
        <f t="shared" si="5"/>
        <v>9.4151495069113444</v>
      </c>
      <c r="H100" s="316">
        <f t="shared" si="6"/>
        <v>0</v>
      </c>
      <c r="I100" s="58">
        <f t="shared" si="7"/>
        <v>0</v>
      </c>
      <c r="J100" s="34">
        <f t="shared" si="8"/>
        <v>9.4151495069113444</v>
      </c>
    </row>
    <row r="101" spans="1:10" x14ac:dyDescent="0.25">
      <c r="A101" s="50">
        <f>'A) Base RI'!A103</f>
        <v>5559</v>
      </c>
      <c r="B101" s="301" t="str">
        <f>'A) Base RI'!B103</f>
        <v>Giez</v>
      </c>
      <c r="C101" s="100">
        <f>'B) D RI'!U103</f>
        <v>20477.299090909091</v>
      </c>
      <c r="D101" s="116">
        <f>'E) Fact soc'!G107/C101</f>
        <v>20.30288028165721</v>
      </c>
      <c r="E101" s="141">
        <f>'H) Péréquation directe'!I112/C101</f>
        <v>16.971405562157813</v>
      </c>
      <c r="F101" s="116">
        <f>+'I) Dépenses thématiques'!O101/'J) Plafonnement effort'!C101</f>
        <v>-0.3447810871834745</v>
      </c>
      <c r="G101" s="141">
        <f t="shared" si="5"/>
        <v>36.929504756631545</v>
      </c>
      <c r="H101" s="316">
        <f t="shared" si="6"/>
        <v>0</v>
      </c>
      <c r="I101" s="58">
        <f t="shared" si="7"/>
        <v>0</v>
      </c>
      <c r="J101" s="34">
        <f t="shared" si="8"/>
        <v>36.929504756631545</v>
      </c>
    </row>
    <row r="102" spans="1:10" x14ac:dyDescent="0.25">
      <c r="A102" s="50">
        <f>'A) Base RI'!A104</f>
        <v>5560</v>
      </c>
      <c r="B102" s="301" t="str">
        <f>'A) Base RI'!B104</f>
        <v>Grandevent</v>
      </c>
      <c r="C102" s="100">
        <f>'B) D RI'!U104</f>
        <v>7465.4854411764709</v>
      </c>
      <c r="D102" s="116">
        <f>'E) Fact soc'!G108/C102</f>
        <v>17.534652139081313</v>
      </c>
      <c r="E102" s="141">
        <f>'H) Péréquation directe'!I113/C102</f>
        <v>7.7811342657949982</v>
      </c>
      <c r="F102" s="116">
        <f>+'I) Dépenses thématiques'!O102/'J) Plafonnement effort'!C102</f>
        <v>-3.4785809182241638</v>
      </c>
      <c r="G102" s="141">
        <f t="shared" si="5"/>
        <v>21.837205486652149</v>
      </c>
      <c r="H102" s="316">
        <f t="shared" si="6"/>
        <v>0</v>
      </c>
      <c r="I102" s="58">
        <f t="shared" si="7"/>
        <v>0</v>
      </c>
      <c r="J102" s="34">
        <f t="shared" si="8"/>
        <v>21.837205486652149</v>
      </c>
    </row>
    <row r="103" spans="1:10" x14ac:dyDescent="0.25">
      <c r="A103" s="50">
        <f>'A) Base RI'!A105</f>
        <v>5561</v>
      </c>
      <c r="B103" s="301" t="str">
        <f>'A) Base RI'!B105</f>
        <v>Grandson</v>
      </c>
      <c r="C103" s="100">
        <f>'B) D RI'!U105</f>
        <v>124296.34985507248</v>
      </c>
      <c r="D103" s="116">
        <f>'E) Fact soc'!G109/C103</f>
        <v>18.527031324106368</v>
      </c>
      <c r="E103" s="141">
        <f>'H) Péréquation directe'!I114/C103</f>
        <v>6.9813184041870651</v>
      </c>
      <c r="F103" s="116">
        <f>+'I) Dépenses thématiques'!O103/'J) Plafonnement effort'!C103</f>
        <v>-5.8067937954745128</v>
      </c>
      <c r="G103" s="141">
        <f t="shared" si="5"/>
        <v>19.70155593281892</v>
      </c>
      <c r="H103" s="316">
        <f t="shared" si="6"/>
        <v>0</v>
      </c>
      <c r="I103" s="58">
        <f t="shared" si="7"/>
        <v>0</v>
      </c>
      <c r="J103" s="34">
        <f t="shared" si="8"/>
        <v>19.70155593281892</v>
      </c>
    </row>
    <row r="104" spans="1:10" x14ac:dyDescent="0.25">
      <c r="A104" s="50">
        <f>'A) Base RI'!A106</f>
        <v>5562</v>
      </c>
      <c r="B104" s="301" t="str">
        <f>'A) Base RI'!B106</f>
        <v>Mauborget</v>
      </c>
      <c r="C104" s="100">
        <f>'B) D RI'!U106</f>
        <v>5288.8125476190471</v>
      </c>
      <c r="D104" s="116">
        <f>'E) Fact soc'!G110/C104</f>
        <v>17.863465543310976</v>
      </c>
      <c r="E104" s="141">
        <f>'H) Péréquation directe'!I115/C104</f>
        <v>15.908508857436896</v>
      </c>
      <c r="F104" s="116">
        <f>+'I) Dépenses thématiques'!O104/'J) Plafonnement effort'!C104</f>
        <v>-2.7228294062381013</v>
      </c>
      <c r="G104" s="141">
        <f t="shared" si="5"/>
        <v>31.049144994509771</v>
      </c>
      <c r="H104" s="316">
        <f t="shared" si="6"/>
        <v>0</v>
      </c>
      <c r="I104" s="58">
        <f t="shared" si="7"/>
        <v>0</v>
      </c>
      <c r="J104" s="34">
        <f t="shared" si="8"/>
        <v>31.049144994509771</v>
      </c>
    </row>
    <row r="105" spans="1:10" x14ac:dyDescent="0.25">
      <c r="A105" s="50">
        <f>'A) Base RI'!A107</f>
        <v>5563</v>
      </c>
      <c r="B105" s="301" t="str">
        <f>'A) Base RI'!B107</f>
        <v>Mutrux</v>
      </c>
      <c r="C105" s="100">
        <f>'B) D RI'!U107</f>
        <v>3325.060127388535</v>
      </c>
      <c r="D105" s="116">
        <f>'E) Fact soc'!G111/C105</f>
        <v>16.267800711031967</v>
      </c>
      <c r="E105" s="141">
        <f>'H) Péréquation directe'!I116/C105</f>
        <v>-13.687917744708553</v>
      </c>
      <c r="F105" s="116">
        <f>+'I) Dépenses thématiques'!O105/'J) Plafonnement effort'!C105</f>
        <v>-8.3058545852711045</v>
      </c>
      <c r="G105" s="141">
        <f t="shared" si="5"/>
        <v>-5.7259716189476908</v>
      </c>
      <c r="H105" s="316">
        <f t="shared" si="6"/>
        <v>0</v>
      </c>
      <c r="I105" s="58">
        <f t="shared" si="7"/>
        <v>0</v>
      </c>
      <c r="J105" s="34">
        <f t="shared" si="8"/>
        <v>-5.7259716189476908</v>
      </c>
    </row>
    <row r="106" spans="1:10" x14ac:dyDescent="0.25">
      <c r="A106" s="50">
        <f>'A) Base RI'!A108</f>
        <v>5564</v>
      </c>
      <c r="B106" s="301" t="str">
        <f>'A) Base RI'!B108</f>
        <v>Novalles</v>
      </c>
      <c r="C106" s="100">
        <f>'B) D RI'!U108</f>
        <v>2879.4712828947363</v>
      </c>
      <c r="D106" s="116">
        <f>'E) Fact soc'!G112/C106</f>
        <v>19.386619274477169</v>
      </c>
      <c r="E106" s="141">
        <f>'H) Péréquation directe'!I117/C106</f>
        <v>2.1624590760932665</v>
      </c>
      <c r="F106" s="116">
        <f>+'I) Dépenses thématiques'!O106/'J) Plafonnement effort'!C106</f>
        <v>-3.8174387418452795</v>
      </c>
      <c r="G106" s="141">
        <f t="shared" si="5"/>
        <v>17.731639608725157</v>
      </c>
      <c r="H106" s="316">
        <f t="shared" si="6"/>
        <v>0</v>
      </c>
      <c r="I106" s="58">
        <f t="shared" si="7"/>
        <v>0</v>
      </c>
      <c r="J106" s="34">
        <f t="shared" si="8"/>
        <v>17.731639608725157</v>
      </c>
    </row>
    <row r="107" spans="1:10" x14ac:dyDescent="0.25">
      <c r="A107" s="50">
        <f>'A) Base RI'!A109</f>
        <v>5565</v>
      </c>
      <c r="B107" s="301" t="str">
        <f>'A) Base RI'!B109</f>
        <v>Onnens</v>
      </c>
      <c r="C107" s="100">
        <f>'B) D RI'!U109</f>
        <v>21859.350153846153</v>
      </c>
      <c r="D107" s="116">
        <f>'E) Fact soc'!G113/C107</f>
        <v>16.545073969075567</v>
      </c>
      <c r="E107" s="141">
        <f>'H) Péréquation directe'!I118/C107</f>
        <v>16.41532763053532</v>
      </c>
      <c r="F107" s="116">
        <f>+'I) Dépenses thématiques'!O107/'J) Plafonnement effort'!C107</f>
        <v>-3.69954650457887</v>
      </c>
      <c r="G107" s="141">
        <f t="shared" si="5"/>
        <v>29.260855095032021</v>
      </c>
      <c r="H107" s="316">
        <f t="shared" si="6"/>
        <v>0</v>
      </c>
      <c r="I107" s="58">
        <f t="shared" si="7"/>
        <v>0</v>
      </c>
      <c r="J107" s="34">
        <f t="shared" si="8"/>
        <v>29.260855095032021</v>
      </c>
    </row>
    <row r="108" spans="1:10" x14ac:dyDescent="0.25">
      <c r="A108" s="50">
        <f>'A) Base RI'!A110</f>
        <v>5566</v>
      </c>
      <c r="B108" s="301" t="str">
        <f>'A) Base RI'!B110</f>
        <v>Provence</v>
      </c>
      <c r="C108" s="100">
        <f>'B) D RI'!U110</f>
        <v>8283.9104526748961</v>
      </c>
      <c r="D108" s="116">
        <f>'E) Fact soc'!G114/C108</f>
        <v>20.142948677678433</v>
      </c>
      <c r="E108" s="141">
        <f>'H) Péréquation directe'!I119/C108</f>
        <v>-12.322043238878594</v>
      </c>
      <c r="F108" s="116">
        <f>+'I) Dépenses thématiques'!O108/'J) Plafonnement effort'!C108</f>
        <v>-13.71677076959835</v>
      </c>
      <c r="G108" s="141">
        <f t="shared" si="5"/>
        <v>-5.8958653307985109</v>
      </c>
      <c r="H108" s="316">
        <f t="shared" si="6"/>
        <v>0</v>
      </c>
      <c r="I108" s="58">
        <f t="shared" si="7"/>
        <v>0</v>
      </c>
      <c r="J108" s="34">
        <f t="shared" si="8"/>
        <v>-5.8958653307985109</v>
      </c>
    </row>
    <row r="109" spans="1:10" x14ac:dyDescent="0.25">
      <c r="A109" s="50">
        <f>'A) Base RI'!A111</f>
        <v>5568</v>
      </c>
      <c r="B109" s="301" t="str">
        <f>'A) Base RI'!B111</f>
        <v>Sainte-Croix</v>
      </c>
      <c r="C109" s="100">
        <f>'B) D RI'!U111</f>
        <v>103146.8182857143</v>
      </c>
      <c r="D109" s="116">
        <f>'E) Fact soc'!G115/C109</f>
        <v>22.443151156316464</v>
      </c>
      <c r="E109" s="141">
        <f>'H) Péréquation directe'!I120/C109</f>
        <v>-19.425418195443253</v>
      </c>
      <c r="F109" s="116">
        <f>+'I) Dépenses thématiques'!O109/'J) Plafonnement effort'!C109</f>
        <v>-9.5109318237537863</v>
      </c>
      <c r="G109" s="141">
        <f t="shared" si="5"/>
        <v>-6.4931988628805755</v>
      </c>
      <c r="H109" s="316">
        <f t="shared" si="6"/>
        <v>0</v>
      </c>
      <c r="I109" s="58">
        <f t="shared" si="7"/>
        <v>0</v>
      </c>
      <c r="J109" s="34">
        <f t="shared" si="8"/>
        <v>-6.4931988628805755</v>
      </c>
    </row>
    <row r="110" spans="1:10" x14ac:dyDescent="0.25">
      <c r="A110" s="50">
        <f>'A) Base RI'!A112</f>
        <v>5571</v>
      </c>
      <c r="B110" s="301" t="str">
        <f>'A) Base RI'!B112</f>
        <v>Tévenon</v>
      </c>
      <c r="C110" s="100">
        <f>'B) D RI'!U112</f>
        <v>22505.207716894973</v>
      </c>
      <c r="D110" s="116">
        <f>'E) Fact soc'!G116/C110</f>
        <v>18.393426214474385</v>
      </c>
      <c r="E110" s="141">
        <f>'H) Péréquation directe'!I121/C110</f>
        <v>-0.90747416809519954</v>
      </c>
      <c r="F110" s="116">
        <f>+'I) Dépenses thématiques'!O110/'J) Plafonnement effort'!C110</f>
        <v>-4.804763467614598</v>
      </c>
      <c r="G110" s="141">
        <f t="shared" si="5"/>
        <v>12.681188578764587</v>
      </c>
      <c r="H110" s="316">
        <f t="shared" si="6"/>
        <v>0</v>
      </c>
      <c r="I110" s="58">
        <f t="shared" si="7"/>
        <v>0</v>
      </c>
      <c r="J110" s="34">
        <f t="shared" si="8"/>
        <v>12.681188578764587</v>
      </c>
    </row>
    <row r="111" spans="1:10" x14ac:dyDescent="0.25">
      <c r="A111" s="50">
        <f>'A) Base RI'!A113</f>
        <v>5581</v>
      </c>
      <c r="B111" s="301" t="str">
        <f>'A) Base RI'!B113</f>
        <v>Belmont-sur-Lausanne</v>
      </c>
      <c r="C111" s="100">
        <f>'B) D RI'!U113</f>
        <v>187970.76781774583</v>
      </c>
      <c r="D111" s="116">
        <f>'E) Fact soc'!G117/C111</f>
        <v>18.100700562938986</v>
      </c>
      <c r="E111" s="141">
        <f>'H) Péréquation directe'!I122/C111</f>
        <v>12.784513879373868</v>
      </c>
      <c r="F111" s="116">
        <f>+'I) Dépenses thématiques'!O111/'J) Plafonnement effort'!C111</f>
        <v>-3.7422862669272958</v>
      </c>
      <c r="G111" s="141">
        <f t="shared" si="5"/>
        <v>27.14292817538556</v>
      </c>
      <c r="H111" s="316">
        <f t="shared" si="6"/>
        <v>0</v>
      </c>
      <c r="I111" s="58">
        <f t="shared" si="7"/>
        <v>0</v>
      </c>
      <c r="J111" s="34">
        <f t="shared" si="8"/>
        <v>27.14292817538556</v>
      </c>
    </row>
    <row r="112" spans="1:10" x14ac:dyDescent="0.25">
      <c r="A112" s="50">
        <f>'A) Base RI'!A114</f>
        <v>5582</v>
      </c>
      <c r="B112" s="301" t="str">
        <f>'A) Base RI'!B114</f>
        <v>Cheseaux-sur-Lausanne</v>
      </c>
      <c r="C112" s="100">
        <f>'B) D RI'!U114</f>
        <v>177854.9614765101</v>
      </c>
      <c r="D112" s="116">
        <f>'E) Fact soc'!G118/C112</f>
        <v>16.923823545893544</v>
      </c>
      <c r="E112" s="141">
        <f>'H) Péréquation directe'!I123/C112</f>
        <v>8.5459261990728148</v>
      </c>
      <c r="F112" s="116">
        <f>+'I) Dépenses thématiques'!O112/'J) Plafonnement effort'!C112</f>
        <v>-1.2387595729128371</v>
      </c>
      <c r="G112" s="141">
        <f t="shared" si="5"/>
        <v>24.23099017205352</v>
      </c>
      <c r="H112" s="316">
        <f t="shared" si="6"/>
        <v>0</v>
      </c>
      <c r="I112" s="58">
        <f t="shared" si="7"/>
        <v>0</v>
      </c>
      <c r="J112" s="34">
        <f t="shared" si="8"/>
        <v>24.23099017205352</v>
      </c>
    </row>
    <row r="113" spans="1:10" x14ac:dyDescent="0.25">
      <c r="A113" s="50">
        <f>'A) Base RI'!A115</f>
        <v>5583</v>
      </c>
      <c r="B113" s="301" t="str">
        <f>'A) Base RI'!B115</f>
        <v>Crissier</v>
      </c>
      <c r="C113" s="100">
        <f>'B) D RI'!U115</f>
        <v>343062.59507692308</v>
      </c>
      <c r="D113" s="116">
        <f>'E) Fact soc'!G119/C113</f>
        <v>20.814854128082107</v>
      </c>
      <c r="E113" s="141">
        <f>'H) Péréquation directe'!I124/C113</f>
        <v>8.0206127656280639</v>
      </c>
      <c r="F113" s="116">
        <f>+'I) Dépenses thématiques'!O113/'J) Plafonnement effort'!C113</f>
        <v>-5.7011934096767938</v>
      </c>
      <c r="G113" s="141">
        <f t="shared" si="5"/>
        <v>23.134273484033375</v>
      </c>
      <c r="H113" s="316">
        <f t="shared" si="6"/>
        <v>0</v>
      </c>
      <c r="I113" s="58">
        <f t="shared" si="7"/>
        <v>0</v>
      </c>
      <c r="J113" s="34">
        <f t="shared" si="8"/>
        <v>23.134273484033375</v>
      </c>
    </row>
    <row r="114" spans="1:10" x14ac:dyDescent="0.25">
      <c r="A114" s="50">
        <f>'A) Base RI'!A116</f>
        <v>5584</v>
      </c>
      <c r="B114" s="301" t="str">
        <f>'A) Base RI'!B116</f>
        <v>Epalinges</v>
      </c>
      <c r="C114" s="100">
        <f>'B) D RI'!U116</f>
        <v>468635.24666666664</v>
      </c>
      <c r="D114" s="116">
        <f>'E) Fact soc'!G120/C114</f>
        <v>22.803926329802547</v>
      </c>
      <c r="E114" s="141">
        <f>'H) Péréquation directe'!I125/C114</f>
        <v>8.8975293642211248</v>
      </c>
      <c r="F114" s="116">
        <f>+'I) Dépenses thématiques'!O114/'J) Plafonnement effort'!C114</f>
        <v>-6.5976584309224942</v>
      </c>
      <c r="G114" s="141">
        <f t="shared" si="5"/>
        <v>25.103797263101178</v>
      </c>
      <c r="H114" s="316">
        <f t="shared" si="6"/>
        <v>0</v>
      </c>
      <c r="I114" s="58">
        <f t="shared" si="7"/>
        <v>0</v>
      </c>
      <c r="J114" s="34">
        <f t="shared" si="8"/>
        <v>25.103797263101178</v>
      </c>
    </row>
    <row r="115" spans="1:10" x14ac:dyDescent="0.25">
      <c r="A115" s="50">
        <f>'A) Base RI'!A117</f>
        <v>5585</v>
      </c>
      <c r="B115" s="301" t="str">
        <f>'A) Base RI'!B117</f>
        <v>Jouxtens-Mézery</v>
      </c>
      <c r="C115" s="100">
        <f>'B) D RI'!U117</f>
        <v>222395.52905660376</v>
      </c>
      <c r="D115" s="116">
        <f>'E) Fact soc'!G121/C115</f>
        <v>30.750492397214437</v>
      </c>
      <c r="E115" s="141">
        <f>'H) Péréquation directe'!I126/C115</f>
        <v>14.670088475403922</v>
      </c>
      <c r="F115" s="116">
        <f>+'I) Dépenses thématiques'!O115/'J) Plafonnement effort'!C115</f>
        <v>0</v>
      </c>
      <c r="G115" s="141">
        <f t="shared" si="5"/>
        <v>45.420580872618359</v>
      </c>
      <c r="H115" s="316">
        <f t="shared" si="6"/>
        <v>-0.42058087261835908</v>
      </c>
      <c r="I115" s="58">
        <f t="shared" si="7"/>
        <v>-93535.305677048047</v>
      </c>
      <c r="J115" s="34">
        <f t="shared" si="8"/>
        <v>45</v>
      </c>
    </row>
    <row r="116" spans="1:10" x14ac:dyDescent="0.25">
      <c r="A116" s="50">
        <f>'A) Base RI'!A118</f>
        <v>5586</v>
      </c>
      <c r="B116" s="301" t="str">
        <f>'A) Base RI'!B118</f>
        <v>Lausanne</v>
      </c>
      <c r="C116" s="100">
        <f>'B) D RI'!U118</f>
        <v>5998569.406244725</v>
      </c>
      <c r="D116" s="116">
        <f>'E) Fact soc'!G122/C116</f>
        <v>18.417677966056168</v>
      </c>
      <c r="E116" s="141">
        <f>'H) Péréquation directe'!I127/C116</f>
        <v>-5.6811944851993621</v>
      </c>
      <c r="F116" s="116">
        <f>+'I) Dépenses thématiques'!O116/'J) Plafonnement effort'!C116</f>
        <v>-7.852332946305979</v>
      </c>
      <c r="G116" s="141">
        <f t="shared" si="5"/>
        <v>4.8841505345508258</v>
      </c>
      <c r="H116" s="316">
        <f t="shared" si="6"/>
        <v>0</v>
      </c>
      <c r="I116" s="58">
        <f t="shared" si="7"/>
        <v>0</v>
      </c>
      <c r="J116" s="34">
        <f t="shared" si="8"/>
        <v>4.8841505345508258</v>
      </c>
    </row>
    <row r="117" spans="1:10" x14ac:dyDescent="0.25">
      <c r="A117" s="50">
        <f>'A) Base RI'!A119</f>
        <v>5587</v>
      </c>
      <c r="B117" s="301" t="str">
        <f>'A) Base RI'!B119</f>
        <v>Le Mont-sur-Lausanne</v>
      </c>
      <c r="C117" s="100">
        <f>'B) D RI'!U119</f>
        <v>426789.42020000005</v>
      </c>
      <c r="D117" s="116">
        <f>'E) Fact soc'!G123/C117</f>
        <v>16.953272011618019</v>
      </c>
      <c r="E117" s="141">
        <f>'H) Péréquation directe'!I128/C117</f>
        <v>9.8300918143602267</v>
      </c>
      <c r="F117" s="116">
        <f>+'I) Dépenses thématiques'!O117/'J) Plafonnement effort'!C117</f>
        <v>-5.0663527519652467</v>
      </c>
      <c r="G117" s="141">
        <f t="shared" si="5"/>
        <v>21.717011074012998</v>
      </c>
      <c r="H117" s="316">
        <f t="shared" si="6"/>
        <v>0</v>
      </c>
      <c r="I117" s="58">
        <f t="shared" si="7"/>
        <v>0</v>
      </c>
      <c r="J117" s="34">
        <f t="shared" si="8"/>
        <v>21.717011074012998</v>
      </c>
    </row>
    <row r="118" spans="1:10" x14ac:dyDescent="0.25">
      <c r="A118" s="50">
        <f>'A) Base RI'!A120</f>
        <v>5588</v>
      </c>
      <c r="B118" s="301" t="str">
        <f>'A) Base RI'!B120</f>
        <v>Paudex</v>
      </c>
      <c r="C118" s="100">
        <f>'B) D RI'!U120</f>
        <v>123307.63563298491</v>
      </c>
      <c r="D118" s="116">
        <f>'E) Fact soc'!G124/C118</f>
        <v>23.667186695534088</v>
      </c>
      <c r="E118" s="141">
        <f>'H) Péréquation directe'!I129/C118</f>
        <v>15.490881448803322</v>
      </c>
      <c r="F118" s="116">
        <f>+'I) Dépenses thématiques'!O118/'J) Plafonnement effort'!C118</f>
        <v>0</v>
      </c>
      <c r="G118" s="141">
        <f t="shared" si="5"/>
        <v>39.158068144337406</v>
      </c>
      <c r="H118" s="316">
        <f t="shared" si="6"/>
        <v>0</v>
      </c>
      <c r="I118" s="58">
        <f t="shared" si="7"/>
        <v>0</v>
      </c>
      <c r="J118" s="34">
        <f t="shared" si="8"/>
        <v>39.158068144337406</v>
      </c>
    </row>
    <row r="119" spans="1:10" x14ac:dyDescent="0.25">
      <c r="A119" s="50">
        <f>'A) Base RI'!A121</f>
        <v>5589</v>
      </c>
      <c r="B119" s="301" t="str">
        <f>'A) Base RI'!B121</f>
        <v>Prilly</v>
      </c>
      <c r="C119" s="100">
        <f>'B) D RI'!U121</f>
        <v>426033.15632653062</v>
      </c>
      <c r="D119" s="116">
        <f>'E) Fact soc'!G125/C119</f>
        <v>17.539651301661291</v>
      </c>
      <c r="E119" s="141">
        <f>'H) Péréquation directe'!I130/C119</f>
        <v>-4.4306603489869749</v>
      </c>
      <c r="F119" s="116">
        <f>+'I) Dépenses thématiques'!O119/'J) Plafonnement effort'!C119</f>
        <v>-5.18965377394826</v>
      </c>
      <c r="G119" s="141">
        <f t="shared" si="5"/>
        <v>7.9193371787260549</v>
      </c>
      <c r="H119" s="316">
        <f t="shared" si="6"/>
        <v>0</v>
      </c>
      <c r="I119" s="58">
        <f t="shared" si="7"/>
        <v>0</v>
      </c>
      <c r="J119" s="34">
        <f t="shared" si="8"/>
        <v>7.9193371787260549</v>
      </c>
    </row>
    <row r="120" spans="1:10" x14ac:dyDescent="0.25">
      <c r="A120" s="50">
        <f>'A) Base RI'!A122</f>
        <v>5590</v>
      </c>
      <c r="B120" s="301" t="str">
        <f>'A) Base RI'!B122</f>
        <v>Pully</v>
      </c>
      <c r="C120" s="100">
        <f>'B) D RI'!U122</f>
        <v>1404840.8814754093</v>
      </c>
      <c r="D120" s="116">
        <f>'E) Fact soc'!G126/C120</f>
        <v>25.406016914253748</v>
      </c>
      <c r="E120" s="141">
        <f>'H) Péréquation directe'!I131/C120</f>
        <v>8.5267405073439235</v>
      </c>
      <c r="F120" s="116">
        <f>+'I) Dépenses thématiques'!O120/'J) Plafonnement effort'!C120</f>
        <v>-1.731917547136522</v>
      </c>
      <c r="G120" s="141">
        <f t="shared" si="5"/>
        <v>32.200839874461153</v>
      </c>
      <c r="H120" s="316">
        <f t="shared" si="6"/>
        <v>0</v>
      </c>
      <c r="I120" s="58">
        <f t="shared" si="7"/>
        <v>0</v>
      </c>
      <c r="J120" s="34">
        <f t="shared" si="8"/>
        <v>32.200839874461153</v>
      </c>
    </row>
    <row r="121" spans="1:10" x14ac:dyDescent="0.25">
      <c r="A121" s="50">
        <f>'A) Base RI'!A123</f>
        <v>5591</v>
      </c>
      <c r="B121" s="301" t="str">
        <f>'A) Base RI'!B123</f>
        <v>Renens</v>
      </c>
      <c r="C121" s="100">
        <f>'B) D RI'!U123</f>
        <v>580334.81221110106</v>
      </c>
      <c r="D121" s="116">
        <f>'E) Fact soc'!G127/C121</f>
        <v>19.779844604556438</v>
      </c>
      <c r="E121" s="141">
        <f>'H) Péréquation directe'!I132/C121</f>
        <v>-23.957743173685405</v>
      </c>
      <c r="F121" s="116">
        <f>+'I) Dépenses thématiques'!O121/'J) Plafonnement effort'!C121</f>
        <v>-9.0210841204103822</v>
      </c>
      <c r="G121" s="141">
        <f t="shared" si="5"/>
        <v>-13.198982689539349</v>
      </c>
      <c r="H121" s="316">
        <f t="shared" si="6"/>
        <v>0</v>
      </c>
      <c r="I121" s="58">
        <f t="shared" si="7"/>
        <v>0</v>
      </c>
      <c r="J121" s="34">
        <f t="shared" si="8"/>
        <v>-13.198982689539349</v>
      </c>
    </row>
    <row r="122" spans="1:10" x14ac:dyDescent="0.25">
      <c r="A122" s="50">
        <f>'A) Base RI'!A124</f>
        <v>5592</v>
      </c>
      <c r="B122" s="301" t="str">
        <f>'A) Base RI'!B124</f>
        <v>Romanel-sur-Lausanne</v>
      </c>
      <c r="C122" s="100">
        <f>'B) D RI'!U124</f>
        <v>113924.20114285716</v>
      </c>
      <c r="D122" s="116">
        <f>'E) Fact soc'!G128/C122</f>
        <v>16.870442151033426</v>
      </c>
      <c r="E122" s="141">
        <f>'H) Péréquation directe'!I133/C122</f>
        <v>4.5781769049902765</v>
      </c>
      <c r="F122" s="116">
        <f>+'I) Dépenses thématiques'!O122/'J) Plafonnement effort'!C122</f>
        <v>-1.896332795018296</v>
      </c>
      <c r="G122" s="141">
        <f t="shared" si="5"/>
        <v>19.552286261005406</v>
      </c>
      <c r="H122" s="316">
        <f t="shared" si="6"/>
        <v>0</v>
      </c>
      <c r="I122" s="58">
        <f t="shared" si="7"/>
        <v>0</v>
      </c>
      <c r="J122" s="34">
        <f t="shared" si="8"/>
        <v>19.552286261005406</v>
      </c>
    </row>
    <row r="123" spans="1:10" x14ac:dyDescent="0.25">
      <c r="A123" s="50">
        <f>'A) Base RI'!A125</f>
        <v>5601</v>
      </c>
      <c r="B123" s="301" t="str">
        <f>'A) Base RI'!B125</f>
        <v>Chexbres</v>
      </c>
      <c r="C123" s="100">
        <f>'B) D RI'!U125</f>
        <v>102834.27275362321</v>
      </c>
      <c r="D123" s="116">
        <f>'E) Fact soc'!G129/C123</f>
        <v>18.202744435910578</v>
      </c>
      <c r="E123" s="141">
        <f>'H) Péréquation directe'!I134/C123</f>
        <v>13.800568630348669</v>
      </c>
      <c r="F123" s="116">
        <f>+'I) Dépenses thématiques'!O123/'J) Plafonnement effort'!C123</f>
        <v>-2.0225148403424376</v>
      </c>
      <c r="G123" s="141">
        <f t="shared" si="5"/>
        <v>29.980798225916807</v>
      </c>
      <c r="H123" s="316">
        <f t="shared" si="6"/>
        <v>0</v>
      </c>
      <c r="I123" s="58">
        <f t="shared" si="7"/>
        <v>0</v>
      </c>
      <c r="J123" s="34">
        <f t="shared" si="8"/>
        <v>29.980798225916807</v>
      </c>
    </row>
    <row r="124" spans="1:10" x14ac:dyDescent="0.25">
      <c r="A124" s="50">
        <f>'A) Base RI'!A126</f>
        <v>5604</v>
      </c>
      <c r="B124" s="301" t="str">
        <f>'A) Base RI'!B126</f>
        <v>Forel (Lavaux)</v>
      </c>
      <c r="C124" s="100">
        <f>'B) D RI'!U126</f>
        <v>76415.868285714285</v>
      </c>
      <c r="D124" s="116">
        <f>'E) Fact soc'!G130/C124</f>
        <v>17.246019521255064</v>
      </c>
      <c r="E124" s="141">
        <f>'H) Péréquation directe'!I135/C124</f>
        <v>8.2921279522987614</v>
      </c>
      <c r="F124" s="116">
        <f>+'I) Dépenses thématiques'!O124/'J) Plafonnement effort'!C124</f>
        <v>-3.6490356774666299</v>
      </c>
      <c r="G124" s="141">
        <f t="shared" si="5"/>
        <v>21.889111796087199</v>
      </c>
      <c r="H124" s="316">
        <f t="shared" si="6"/>
        <v>0</v>
      </c>
      <c r="I124" s="58">
        <f t="shared" si="7"/>
        <v>0</v>
      </c>
      <c r="J124" s="34">
        <f t="shared" si="8"/>
        <v>21.889111796087199</v>
      </c>
    </row>
    <row r="125" spans="1:10" x14ac:dyDescent="0.25">
      <c r="A125" s="50">
        <f>'A) Base RI'!A127</f>
        <v>5606</v>
      </c>
      <c r="B125" s="301" t="str">
        <f>'A) Base RI'!B127</f>
        <v>Lutry</v>
      </c>
      <c r="C125" s="100">
        <f>'B) D RI'!U127</f>
        <v>833790.99884169886</v>
      </c>
      <c r="D125" s="116">
        <f>'E) Fact soc'!G131/C125</f>
        <v>25.329434019287032</v>
      </c>
      <c r="E125" s="141">
        <f>'H) Péréquation directe'!I136/C125</f>
        <v>11.426922488207303</v>
      </c>
      <c r="F125" s="116">
        <f>+'I) Dépenses thématiques'!O125/'J) Plafonnement effort'!C125</f>
        <v>-2.5317921953365303</v>
      </c>
      <c r="G125" s="141">
        <f t="shared" si="5"/>
        <v>34.224564312157803</v>
      </c>
      <c r="H125" s="316">
        <f t="shared" si="6"/>
        <v>0</v>
      </c>
      <c r="I125" s="58">
        <f t="shared" si="7"/>
        <v>0</v>
      </c>
      <c r="J125" s="34">
        <f t="shared" si="8"/>
        <v>34.224564312157803</v>
      </c>
    </row>
    <row r="126" spans="1:10" x14ac:dyDescent="0.25">
      <c r="A126" s="50">
        <f>'A) Base RI'!A128</f>
        <v>5607</v>
      </c>
      <c r="B126" s="301" t="str">
        <f>'A) Base RI'!B128</f>
        <v>Puidoux</v>
      </c>
      <c r="C126" s="100">
        <f>'B) D RI'!U128</f>
        <v>111751.15780124225</v>
      </c>
      <c r="D126" s="116">
        <f>'E) Fact soc'!G132/C126</f>
        <v>18.433586329457235</v>
      </c>
      <c r="E126" s="141">
        <f>'H) Péréquation directe'!I137/C126</f>
        <v>9.0663983553089942</v>
      </c>
      <c r="F126" s="116">
        <f>+'I) Dépenses thématiques'!O126/'J) Plafonnement effort'!C126</f>
        <v>-6.1569360831808755</v>
      </c>
      <c r="G126" s="141">
        <f t="shared" si="5"/>
        <v>21.343048601585352</v>
      </c>
      <c r="H126" s="316">
        <f t="shared" si="6"/>
        <v>0</v>
      </c>
      <c r="I126" s="58">
        <f t="shared" si="7"/>
        <v>0</v>
      </c>
      <c r="J126" s="34">
        <f t="shared" si="8"/>
        <v>21.343048601585352</v>
      </c>
    </row>
    <row r="127" spans="1:10" x14ac:dyDescent="0.25">
      <c r="A127" s="50">
        <f>'A) Base RI'!A129</f>
        <v>5609</v>
      </c>
      <c r="B127" s="301" t="str">
        <f>'A) Base RI'!B129</f>
        <v>Rivaz</v>
      </c>
      <c r="C127" s="100">
        <f>'B) D RI'!U129</f>
        <v>13518.908661417323</v>
      </c>
      <c r="D127" s="116">
        <f>'E) Fact soc'!G133/C127</f>
        <v>15.355264347532694</v>
      </c>
      <c r="E127" s="141">
        <f>'H) Péréquation directe'!I138/C127</f>
        <v>13.240780912681856</v>
      </c>
      <c r="F127" s="116">
        <f>+'I) Dépenses thématiques'!O127/'J) Plafonnement effort'!C127</f>
        <v>-1.9909907216040634</v>
      </c>
      <c r="G127" s="141">
        <f t="shared" si="5"/>
        <v>26.605054538610489</v>
      </c>
      <c r="H127" s="316">
        <f t="shared" si="6"/>
        <v>0</v>
      </c>
      <c r="I127" s="58">
        <f t="shared" si="7"/>
        <v>0</v>
      </c>
      <c r="J127" s="34">
        <f t="shared" si="8"/>
        <v>26.605054538610489</v>
      </c>
    </row>
    <row r="128" spans="1:10" x14ac:dyDescent="0.25">
      <c r="A128" s="50">
        <f>'A) Base RI'!A130</f>
        <v>5610</v>
      </c>
      <c r="B128" s="301" t="str">
        <f>'A) Base RI'!B130</f>
        <v>St-Saphorin (Lavaux)</v>
      </c>
      <c r="C128" s="100">
        <f>'B) D RI'!U130</f>
        <v>21494.070428571435</v>
      </c>
      <c r="D128" s="116">
        <f>'E) Fact soc'!G134/C128</f>
        <v>15.513258855161739</v>
      </c>
      <c r="E128" s="141">
        <f>'H) Péréquation directe'!I139/C128</f>
        <v>17.164089261468117</v>
      </c>
      <c r="F128" s="116">
        <f>+'I) Dépenses thématiques'!O128/'J) Plafonnement effort'!C128</f>
        <v>-1.054985866571817</v>
      </c>
      <c r="G128" s="141">
        <f t="shared" si="5"/>
        <v>31.622362250058043</v>
      </c>
      <c r="H128" s="316">
        <f t="shared" si="6"/>
        <v>0</v>
      </c>
      <c r="I128" s="58">
        <f t="shared" si="7"/>
        <v>0</v>
      </c>
      <c r="J128" s="34">
        <f t="shared" si="8"/>
        <v>31.622362250058043</v>
      </c>
    </row>
    <row r="129" spans="1:10" x14ac:dyDescent="0.25">
      <c r="A129" s="50">
        <f>'A) Base RI'!A131</f>
        <v>5611</v>
      </c>
      <c r="B129" s="301" t="str">
        <f>'A) Base RI'!B131</f>
        <v>Savigny</v>
      </c>
      <c r="C129" s="100">
        <f>'B) D RI'!U131</f>
        <v>137747.50487922705</v>
      </c>
      <c r="D129" s="116">
        <f>'E) Fact soc'!G135/C129</f>
        <v>20.738739486631264</v>
      </c>
      <c r="E129" s="141">
        <f>'H) Péréquation directe'!I140/C129</f>
        <v>10.067582257384849</v>
      </c>
      <c r="F129" s="116">
        <f>+'I) Dépenses thématiques'!O129/'J) Plafonnement effort'!C129</f>
        <v>-2.8007911563697627</v>
      </c>
      <c r="G129" s="141">
        <f t="shared" si="5"/>
        <v>28.005530587646351</v>
      </c>
      <c r="H129" s="316">
        <f t="shared" si="6"/>
        <v>0</v>
      </c>
      <c r="I129" s="58">
        <f t="shared" si="7"/>
        <v>0</v>
      </c>
      <c r="J129" s="34">
        <f t="shared" si="8"/>
        <v>28.005530587646351</v>
      </c>
    </row>
    <row r="130" spans="1:10" x14ac:dyDescent="0.25">
      <c r="A130" s="50">
        <f>'A) Base RI'!A132</f>
        <v>5613</v>
      </c>
      <c r="B130" s="301" t="str">
        <f>'A) Base RI'!B132</f>
        <v>Bourg-en-Lavaux</v>
      </c>
      <c r="C130" s="100">
        <f>'B) D RI'!U132</f>
        <v>293991.54098360648</v>
      </c>
      <c r="D130" s="116">
        <f>'E) Fact soc'!G136/C130</f>
        <v>18.342367390440995</v>
      </c>
      <c r="E130" s="141">
        <f>'H) Péréquation directe'!I141/C130</f>
        <v>12.116652346334153</v>
      </c>
      <c r="F130" s="116">
        <f>+'I) Dépenses thématiques'!O130/'J) Plafonnement effort'!C130</f>
        <v>-0.22927907091889749</v>
      </c>
      <c r="G130" s="141">
        <f t="shared" si="5"/>
        <v>30.229740665856248</v>
      </c>
      <c r="H130" s="316">
        <f t="shared" si="6"/>
        <v>0</v>
      </c>
      <c r="I130" s="58">
        <f t="shared" si="7"/>
        <v>0</v>
      </c>
      <c r="J130" s="34">
        <f t="shared" si="8"/>
        <v>30.229740665856248</v>
      </c>
    </row>
    <row r="131" spans="1:10" x14ac:dyDescent="0.25">
      <c r="A131" s="50">
        <f>'A) Base RI'!A133</f>
        <v>5621</v>
      </c>
      <c r="B131" s="301" t="str">
        <f>'A) Base RI'!B133</f>
        <v>Aclens</v>
      </c>
      <c r="C131" s="100">
        <f>'B) D RI'!U133</f>
        <v>39594.745087976538</v>
      </c>
      <c r="D131" s="116">
        <f>'E) Fact soc'!G137/C131</f>
        <v>26.219220185190512</v>
      </c>
      <c r="E131" s="141">
        <f>'H) Péréquation directe'!I142/C131</f>
        <v>16.718602708612849</v>
      </c>
      <c r="F131" s="116">
        <f>+'I) Dépenses thématiques'!O131/'J) Plafonnement effort'!C131</f>
        <v>-0.8023610662127677</v>
      </c>
      <c r="G131" s="141">
        <f t="shared" si="5"/>
        <v>42.135461827590589</v>
      </c>
      <c r="H131" s="316">
        <f t="shared" si="6"/>
        <v>0</v>
      </c>
      <c r="I131" s="58">
        <f t="shared" si="7"/>
        <v>0</v>
      </c>
      <c r="J131" s="34">
        <f t="shared" si="8"/>
        <v>42.135461827590589</v>
      </c>
    </row>
    <row r="132" spans="1:10" x14ac:dyDescent="0.25">
      <c r="A132" s="50">
        <f>'A) Base RI'!A134</f>
        <v>5622</v>
      </c>
      <c r="B132" s="301" t="str">
        <f>'A) Base RI'!B134</f>
        <v>Bremblens</v>
      </c>
      <c r="C132" s="100">
        <f>'B) D RI'!U134</f>
        <v>25350.281363636361</v>
      </c>
      <c r="D132" s="116">
        <f>'E) Fact soc'!G138/C132</f>
        <v>19.861413717800193</v>
      </c>
      <c r="E132" s="141">
        <f>'H) Péréquation directe'!I143/C132</f>
        <v>16.821828577662334</v>
      </c>
      <c r="F132" s="116">
        <f>+'I) Dépenses thématiques'!O132/'J) Plafonnement effort'!C132</f>
        <v>-0.20398027612176123</v>
      </c>
      <c r="G132" s="141">
        <f t="shared" si="5"/>
        <v>36.479262019340766</v>
      </c>
      <c r="H132" s="316">
        <f t="shared" si="6"/>
        <v>0</v>
      </c>
      <c r="I132" s="58">
        <f t="shared" si="7"/>
        <v>0</v>
      </c>
      <c r="J132" s="34">
        <f t="shared" si="8"/>
        <v>36.479262019340766</v>
      </c>
    </row>
    <row r="133" spans="1:10" x14ac:dyDescent="0.25">
      <c r="A133" s="50">
        <f>'A) Base RI'!A135</f>
        <v>5623</v>
      </c>
      <c r="B133" s="301" t="str">
        <f>'A) Base RI'!B135</f>
        <v>Buchillon</v>
      </c>
      <c r="C133" s="100">
        <f>'B) D RI'!U135</f>
        <v>118338.72603773585</v>
      </c>
      <c r="D133" s="116">
        <f>'E) Fact soc'!G139/C133</f>
        <v>33.370505059418477</v>
      </c>
      <c r="E133" s="141">
        <f>'H) Péréquation directe'!I144/C133</f>
        <v>14.778214330446691</v>
      </c>
      <c r="F133" s="116">
        <f>+'I) Dépenses thématiques'!O133/'J) Plafonnement effort'!C133</f>
        <v>0</v>
      </c>
      <c r="G133" s="141">
        <f t="shared" si="5"/>
        <v>48.148719389865164</v>
      </c>
      <c r="H133" s="316">
        <f t="shared" si="6"/>
        <v>-3.148719389865164</v>
      </c>
      <c r="I133" s="58">
        <f t="shared" si="7"/>
        <v>-372615.44124696043</v>
      </c>
      <c r="J133" s="34">
        <f t="shared" si="8"/>
        <v>45</v>
      </c>
    </row>
    <row r="134" spans="1:10" x14ac:dyDescent="0.25">
      <c r="A134" s="50">
        <f>'A) Base RI'!A136</f>
        <v>5624</v>
      </c>
      <c r="B134" s="301" t="str">
        <f>'A) Base RI'!B136</f>
        <v>Bussigny</v>
      </c>
      <c r="C134" s="100">
        <f>'B) D RI'!U136</f>
        <v>383784.23111111118</v>
      </c>
      <c r="D134" s="116">
        <f>'E) Fact soc'!G140/C134</f>
        <v>18.897611009818913</v>
      </c>
      <c r="E134" s="141">
        <f>'H) Péréquation directe'!I145/C134</f>
        <v>7.9765569621699113</v>
      </c>
      <c r="F134" s="116">
        <f>+'I) Dépenses thématiques'!O134/'J) Plafonnement effort'!C134</f>
        <v>-2.7874548479029357</v>
      </c>
      <c r="G134" s="141">
        <f t="shared" ref="G134:G197" si="9">SUM(D134:F134)</f>
        <v>24.08671312408589</v>
      </c>
      <c r="H134" s="316">
        <f t="shared" ref="H134:H197" si="10">IF(G134&gt;H$4,H$4-G134,0)</f>
        <v>0</v>
      </c>
      <c r="I134" s="58">
        <f t="shared" ref="I134:I197" si="11">H134*C134</f>
        <v>0</v>
      </c>
      <c r="J134" s="34">
        <f t="shared" ref="J134:J197" si="12">G134+H134</f>
        <v>24.08671312408589</v>
      </c>
    </row>
    <row r="135" spans="1:10" x14ac:dyDescent="0.25">
      <c r="A135" s="50">
        <f>'A) Base RI'!A137</f>
        <v>5625</v>
      </c>
      <c r="B135" s="301" t="str">
        <f>'A) Base RI'!B137</f>
        <v>Bussy-Chardonney</v>
      </c>
      <c r="C135" s="100">
        <f>'B) D RI'!U137</f>
        <v>13516.350747863249</v>
      </c>
      <c r="D135" s="116">
        <f>'E) Fact soc'!G141/C135</f>
        <v>19.500412576641054</v>
      </c>
      <c r="E135" s="141">
        <f>'H) Péréquation directe'!I146/C135</f>
        <v>10.077345570503049</v>
      </c>
      <c r="F135" s="116">
        <f>+'I) Dépenses thématiques'!O135/'J) Plafonnement effort'!C135</f>
        <v>-4.5875063739487247</v>
      </c>
      <c r="G135" s="141">
        <f t="shared" si="9"/>
        <v>24.990251773195379</v>
      </c>
      <c r="H135" s="316">
        <f t="shared" si="10"/>
        <v>0</v>
      </c>
      <c r="I135" s="58">
        <f t="shared" si="11"/>
        <v>0</v>
      </c>
      <c r="J135" s="34">
        <f t="shared" si="12"/>
        <v>24.990251773195379</v>
      </c>
    </row>
    <row r="136" spans="1:10" x14ac:dyDescent="0.25">
      <c r="A136" s="50">
        <f>'A) Base RI'!A138</f>
        <v>5627</v>
      </c>
      <c r="B136" s="301" t="str">
        <f>'A) Base RI'!B138</f>
        <v>Chavannes-près-Renens</v>
      </c>
      <c r="C136" s="100">
        <f>'B) D RI'!U138</f>
        <v>182156.43953586498</v>
      </c>
      <c r="D136" s="116">
        <f>'E) Fact soc'!G142/C136</f>
        <v>18.173256327112142</v>
      </c>
      <c r="E136" s="141">
        <f>'H) Péréquation directe'!I147/C136</f>
        <v>-22.582011142013396</v>
      </c>
      <c r="F136" s="116">
        <f>+'I) Dépenses thématiques'!O136/'J) Plafonnement effort'!C136</f>
        <v>-6.8765321089428406</v>
      </c>
      <c r="G136" s="141">
        <f t="shared" si="9"/>
        <v>-11.285286923844094</v>
      </c>
      <c r="H136" s="316">
        <f t="shared" si="10"/>
        <v>0</v>
      </c>
      <c r="I136" s="58">
        <f t="shared" si="11"/>
        <v>0</v>
      </c>
      <c r="J136" s="34">
        <f t="shared" si="12"/>
        <v>-11.285286923844094</v>
      </c>
    </row>
    <row r="137" spans="1:10" x14ac:dyDescent="0.25">
      <c r="A137" s="50">
        <f>'A) Base RI'!A139</f>
        <v>5628</v>
      </c>
      <c r="B137" s="301" t="str">
        <f>'A) Base RI'!B139</f>
        <v>Chigny</v>
      </c>
      <c r="C137" s="100">
        <f>'B) D RI'!U139</f>
        <v>27139.331451612899</v>
      </c>
      <c r="D137" s="116">
        <f>'E) Fact soc'!G143/C137</f>
        <v>23.438095978088615</v>
      </c>
      <c r="E137" s="141">
        <f>'H) Péréquation directe'!I148/C137</f>
        <v>16.668688834989371</v>
      </c>
      <c r="F137" s="116">
        <f>+'I) Dépenses thématiques'!O137/'J) Plafonnement effort'!C137</f>
        <v>0</v>
      </c>
      <c r="G137" s="141">
        <f t="shared" si="9"/>
        <v>40.106784813077986</v>
      </c>
      <c r="H137" s="316">
        <f t="shared" si="10"/>
        <v>0</v>
      </c>
      <c r="I137" s="58">
        <f t="shared" si="11"/>
        <v>0</v>
      </c>
      <c r="J137" s="34">
        <f t="shared" si="12"/>
        <v>40.106784813077986</v>
      </c>
    </row>
    <row r="138" spans="1:10" x14ac:dyDescent="0.25">
      <c r="A138" s="50">
        <f>'A) Base RI'!A140</f>
        <v>5629</v>
      </c>
      <c r="B138" s="301" t="str">
        <f>'A) Base RI'!B140</f>
        <v>Clarmont</v>
      </c>
      <c r="C138" s="100">
        <f>'B) D RI'!U140</f>
        <v>6960.0919999999987</v>
      </c>
      <c r="D138" s="116">
        <f>'E) Fact soc'!G144/C138</f>
        <v>18.938787962191906</v>
      </c>
      <c r="E138" s="141">
        <f>'H) Péréquation directe'!I149/C138</f>
        <v>11.11432620297329</v>
      </c>
      <c r="F138" s="116">
        <f>+'I) Dépenses thématiques'!O138/'J) Plafonnement effort'!C138</f>
        <v>-5.4915075578453756</v>
      </c>
      <c r="G138" s="141">
        <f t="shared" si="9"/>
        <v>24.561606607319824</v>
      </c>
      <c r="H138" s="316">
        <f t="shared" si="10"/>
        <v>0</v>
      </c>
      <c r="I138" s="58">
        <f t="shared" si="11"/>
        <v>0</v>
      </c>
      <c r="J138" s="34">
        <f t="shared" si="12"/>
        <v>24.561606607319824</v>
      </c>
    </row>
    <row r="139" spans="1:10" x14ac:dyDescent="0.25">
      <c r="A139" s="50">
        <f>'A) Base RI'!A141</f>
        <v>5631</v>
      </c>
      <c r="B139" s="301" t="str">
        <f>'A) Base RI'!B141</f>
        <v>Denens</v>
      </c>
      <c r="C139" s="100">
        <f>'B) D RI'!U141</f>
        <v>43908.937857142853</v>
      </c>
      <c r="D139" s="116">
        <f>'E) Fact soc'!G145/C139</f>
        <v>18.393807947591615</v>
      </c>
      <c r="E139" s="141">
        <f>'H) Péréquation directe'!I150/C139</f>
        <v>17.092051629081485</v>
      </c>
      <c r="F139" s="116">
        <f>+'I) Dépenses thématiques'!O139/'J) Plafonnement effort'!C139</f>
        <v>0</v>
      </c>
      <c r="G139" s="141">
        <f t="shared" si="9"/>
        <v>35.4858595766731</v>
      </c>
      <c r="H139" s="316">
        <f t="shared" si="10"/>
        <v>0</v>
      </c>
      <c r="I139" s="58">
        <f t="shared" si="11"/>
        <v>0</v>
      </c>
      <c r="J139" s="34">
        <f t="shared" si="12"/>
        <v>35.4858595766731</v>
      </c>
    </row>
    <row r="140" spans="1:10" x14ac:dyDescent="0.25">
      <c r="A140" s="50">
        <f>'A) Base RI'!A142</f>
        <v>5632</v>
      </c>
      <c r="B140" s="301" t="str">
        <f>'A) Base RI'!B142</f>
        <v>Denges</v>
      </c>
      <c r="C140" s="100">
        <f>'B) D RI'!U142</f>
        <v>69010.195161290321</v>
      </c>
      <c r="D140" s="116">
        <f>'E) Fact soc'!G146/C140</f>
        <v>18.348790386203557</v>
      </c>
      <c r="E140" s="141">
        <f>'H) Péréquation directe'!I151/C140</f>
        <v>13.659902633851681</v>
      </c>
      <c r="F140" s="116">
        <f>+'I) Dépenses thématiques'!O140/'J) Plafonnement effort'!C140</f>
        <v>-1.1681898575043661</v>
      </c>
      <c r="G140" s="141">
        <f t="shared" si="9"/>
        <v>30.840503162550874</v>
      </c>
      <c r="H140" s="316">
        <f t="shared" si="10"/>
        <v>0</v>
      </c>
      <c r="I140" s="58">
        <f t="shared" si="11"/>
        <v>0</v>
      </c>
      <c r="J140" s="34">
        <f t="shared" si="12"/>
        <v>30.840503162550874</v>
      </c>
    </row>
    <row r="141" spans="1:10" x14ac:dyDescent="0.25">
      <c r="A141" s="50">
        <f>'A) Base RI'!A143</f>
        <v>5633</v>
      </c>
      <c r="B141" s="301" t="str">
        <f>'A) Base RI'!B143</f>
        <v>Echandens</v>
      </c>
      <c r="C141" s="100">
        <f>'B) D RI'!U143</f>
        <v>138978.74822580643</v>
      </c>
      <c r="D141" s="116">
        <f>'E) Fact soc'!G147/C141</f>
        <v>16.072238659668905</v>
      </c>
      <c r="E141" s="141">
        <f>'H) Péréquation directe'!I152/C141</f>
        <v>13.761722405867941</v>
      </c>
      <c r="F141" s="116">
        <f>+'I) Dépenses thématiques'!O141/'J) Plafonnement effort'!C141</f>
        <v>-3.5075547270824465</v>
      </c>
      <c r="G141" s="141">
        <f t="shared" si="9"/>
        <v>26.326406338454401</v>
      </c>
      <c r="H141" s="316">
        <f t="shared" si="10"/>
        <v>0</v>
      </c>
      <c r="I141" s="58">
        <f t="shared" si="11"/>
        <v>0</v>
      </c>
      <c r="J141" s="34">
        <f t="shared" si="12"/>
        <v>26.326406338454401</v>
      </c>
    </row>
    <row r="142" spans="1:10" x14ac:dyDescent="0.25">
      <c r="A142" s="50">
        <f>'A) Base RI'!A144</f>
        <v>5634</v>
      </c>
      <c r="B142" s="301" t="str">
        <f>'A) Base RI'!B144</f>
        <v>Echichens</v>
      </c>
      <c r="C142" s="100">
        <f>'B) D RI'!U144</f>
        <v>173327.76338235298</v>
      </c>
      <c r="D142" s="116">
        <f>'E) Fact soc'!G148/C142</f>
        <v>18.022884093185748</v>
      </c>
      <c r="E142" s="141">
        <f>'H) Péréquation directe'!I153/C142</f>
        <v>14.147424611811189</v>
      </c>
      <c r="F142" s="116">
        <f>+'I) Dépenses thématiques'!O142/'J) Plafonnement effort'!C142</f>
        <v>0</v>
      </c>
      <c r="G142" s="141">
        <f t="shared" si="9"/>
        <v>32.170308704996941</v>
      </c>
      <c r="H142" s="316">
        <f t="shared" si="10"/>
        <v>0</v>
      </c>
      <c r="I142" s="58">
        <f t="shared" si="11"/>
        <v>0</v>
      </c>
      <c r="J142" s="34">
        <f t="shared" si="12"/>
        <v>32.170308704996941</v>
      </c>
    </row>
    <row r="143" spans="1:10" x14ac:dyDescent="0.25">
      <c r="A143" s="50">
        <f>'A) Base RI'!A145</f>
        <v>5635</v>
      </c>
      <c r="B143" s="301" t="str">
        <f>'A) Base RI'!B145</f>
        <v>Ecublens</v>
      </c>
      <c r="C143" s="100">
        <f>'B) D RI'!U145</f>
        <v>437106.29065104178</v>
      </c>
      <c r="D143" s="116">
        <f>'E) Fact soc'!G149/C143</f>
        <v>17.774300963748189</v>
      </c>
      <c r="E143" s="141">
        <f>'H) Péréquation directe'!I154/C143</f>
        <v>-4.0220686575474049</v>
      </c>
      <c r="F143" s="116">
        <f>+'I) Dépenses thématiques'!O143/'J) Plafonnement effort'!C143</f>
        <v>-6.2964569385075482</v>
      </c>
      <c r="G143" s="141">
        <f t="shared" si="9"/>
        <v>7.4557753676932368</v>
      </c>
      <c r="H143" s="316">
        <f t="shared" si="10"/>
        <v>0</v>
      </c>
      <c r="I143" s="58">
        <f t="shared" si="11"/>
        <v>0</v>
      </c>
      <c r="J143" s="34">
        <f t="shared" si="12"/>
        <v>7.4557753676932368</v>
      </c>
    </row>
    <row r="144" spans="1:10" x14ac:dyDescent="0.25">
      <c r="A144" s="50">
        <f>'A) Base RI'!A146</f>
        <v>5636</v>
      </c>
      <c r="B144" s="301" t="str">
        <f>'A) Base RI'!B146</f>
        <v>Etoy</v>
      </c>
      <c r="C144" s="100">
        <f>'B) D RI'!U146</f>
        <v>187871.92573770491</v>
      </c>
      <c r="D144" s="116">
        <f>'E) Fact soc'!G150/C144</f>
        <v>22.966914242743169</v>
      </c>
      <c r="E144" s="141">
        <f>'H) Péréquation directe'!I155/C144</f>
        <v>14.420491868313084</v>
      </c>
      <c r="F144" s="116">
        <f>+'I) Dépenses thématiques'!O144/'J) Plafonnement effort'!C144</f>
        <v>0</v>
      </c>
      <c r="G144" s="141">
        <f t="shared" si="9"/>
        <v>37.387406111056251</v>
      </c>
      <c r="H144" s="316">
        <f t="shared" si="10"/>
        <v>0</v>
      </c>
      <c r="I144" s="58">
        <f t="shared" si="11"/>
        <v>0</v>
      </c>
      <c r="J144" s="34">
        <f t="shared" si="12"/>
        <v>37.387406111056251</v>
      </c>
    </row>
    <row r="145" spans="1:10" x14ac:dyDescent="0.25">
      <c r="A145" s="50">
        <f>'A) Base RI'!A147</f>
        <v>5637</v>
      </c>
      <c r="B145" s="301" t="str">
        <f>'A) Base RI'!B147</f>
        <v>Lavigny</v>
      </c>
      <c r="C145" s="100">
        <f>'B) D RI'!U147</f>
        <v>35857.018299776282</v>
      </c>
      <c r="D145" s="116">
        <f>'E) Fact soc'!G151/C145</f>
        <v>18.426580833894352</v>
      </c>
      <c r="E145" s="141">
        <f>'H) Péréquation directe'!I156/C145</f>
        <v>10.568250594676368</v>
      </c>
      <c r="F145" s="116">
        <f>+'I) Dépenses thématiques'!O145/'J) Plafonnement effort'!C145</f>
        <v>-5.4568371115549104</v>
      </c>
      <c r="G145" s="141">
        <f t="shared" si="9"/>
        <v>23.537994317015809</v>
      </c>
      <c r="H145" s="316">
        <f t="shared" si="10"/>
        <v>0</v>
      </c>
      <c r="I145" s="58">
        <f t="shared" si="11"/>
        <v>0</v>
      </c>
      <c r="J145" s="34">
        <f t="shared" si="12"/>
        <v>23.537994317015809</v>
      </c>
    </row>
    <row r="146" spans="1:10" x14ac:dyDescent="0.25">
      <c r="A146" s="50">
        <f>'A) Base RI'!A148</f>
        <v>5638</v>
      </c>
      <c r="B146" s="301" t="str">
        <f>'A) Base RI'!B148</f>
        <v>Lonay</v>
      </c>
      <c r="C146" s="100">
        <f>'B) D RI'!U148</f>
        <v>168179.65436363633</v>
      </c>
      <c r="D146" s="116">
        <f>'E) Fact soc'!G152/C146</f>
        <v>24.509916302852332</v>
      </c>
      <c r="E146" s="141">
        <f>'H) Péréquation directe'!I157/C146</f>
        <v>14.58328573850301</v>
      </c>
      <c r="F146" s="116">
        <f>+'I) Dépenses thématiques'!O146/'J) Plafonnement effort'!C146</f>
        <v>-1.8905698488566425</v>
      </c>
      <c r="G146" s="141">
        <f t="shared" si="9"/>
        <v>37.202632192498697</v>
      </c>
      <c r="H146" s="316">
        <f t="shared" si="10"/>
        <v>0</v>
      </c>
      <c r="I146" s="58">
        <f t="shared" si="11"/>
        <v>0</v>
      </c>
      <c r="J146" s="34">
        <f t="shared" si="12"/>
        <v>37.202632192498697</v>
      </c>
    </row>
    <row r="147" spans="1:10" x14ac:dyDescent="0.25">
      <c r="A147" s="50">
        <f>'A) Base RI'!A149</f>
        <v>5639</v>
      </c>
      <c r="B147" s="301" t="str">
        <f>'A) Base RI'!B149</f>
        <v>Lully</v>
      </c>
      <c r="C147" s="100">
        <f>'B) D RI'!U149</f>
        <v>46761.274262295083</v>
      </c>
      <c r="D147" s="116">
        <f>'E) Fact soc'!G153/C147</f>
        <v>18.038977701604125</v>
      </c>
      <c r="E147" s="141">
        <f>'H) Péréquation directe'!I158/C147</f>
        <v>17.081443546019678</v>
      </c>
      <c r="F147" s="116">
        <f>+'I) Dépenses thématiques'!O147/'J) Plafonnement effort'!C147</f>
        <v>0</v>
      </c>
      <c r="G147" s="141">
        <f t="shared" si="9"/>
        <v>35.120421247623803</v>
      </c>
      <c r="H147" s="316">
        <f t="shared" si="10"/>
        <v>0</v>
      </c>
      <c r="I147" s="58">
        <f t="shared" si="11"/>
        <v>0</v>
      </c>
      <c r="J147" s="34">
        <f t="shared" si="12"/>
        <v>35.120421247623803</v>
      </c>
    </row>
    <row r="148" spans="1:10" x14ac:dyDescent="0.25">
      <c r="A148" s="50">
        <f>'A) Base RI'!A150</f>
        <v>5640</v>
      </c>
      <c r="B148" s="301" t="str">
        <f>'A) Base RI'!B150</f>
        <v>Lussy-sur-Morges</v>
      </c>
      <c r="C148" s="100">
        <f>'B) D RI'!U150</f>
        <v>53028.3909090909</v>
      </c>
      <c r="D148" s="116">
        <f>'E) Fact soc'!G154/C148</f>
        <v>24.327256977269567</v>
      </c>
      <c r="E148" s="141">
        <f>'H) Péréquation directe'!I159/C148</f>
        <v>16.631979835909274</v>
      </c>
      <c r="F148" s="116">
        <f>+'I) Dépenses thématiques'!O148/'J) Plafonnement effort'!C148</f>
        <v>0</v>
      </c>
      <c r="G148" s="141">
        <f t="shared" si="9"/>
        <v>40.95923681317884</v>
      </c>
      <c r="H148" s="316">
        <f t="shared" si="10"/>
        <v>0</v>
      </c>
      <c r="I148" s="58">
        <f t="shared" si="11"/>
        <v>0</v>
      </c>
      <c r="J148" s="34">
        <f t="shared" si="12"/>
        <v>40.95923681317884</v>
      </c>
    </row>
    <row r="149" spans="1:10" x14ac:dyDescent="0.25">
      <c r="A149" s="50">
        <f>'A) Base RI'!A151</f>
        <v>5642</v>
      </c>
      <c r="B149" s="301" t="str">
        <f>'A) Base RI'!B151</f>
        <v>Morges</v>
      </c>
      <c r="C149" s="100">
        <f>'B) D RI'!U151</f>
        <v>759222.5945985401</v>
      </c>
      <c r="D149" s="116">
        <f>'E) Fact soc'!G155/C149</f>
        <v>19.512680429453468</v>
      </c>
      <c r="E149" s="141">
        <f>'H) Péréquation directe'!I160/C149</f>
        <v>5.1505399186977732</v>
      </c>
      <c r="F149" s="116">
        <f>+'I) Dépenses thématiques'!O149/'J) Plafonnement effort'!C149</f>
        <v>-1.656310642289043</v>
      </c>
      <c r="G149" s="141">
        <f t="shared" si="9"/>
        <v>23.006909705862199</v>
      </c>
      <c r="H149" s="316">
        <f t="shared" si="10"/>
        <v>0</v>
      </c>
      <c r="I149" s="58">
        <f t="shared" si="11"/>
        <v>0</v>
      </c>
      <c r="J149" s="34">
        <f t="shared" si="12"/>
        <v>23.006909705862199</v>
      </c>
    </row>
    <row r="150" spans="1:10" x14ac:dyDescent="0.25">
      <c r="A150" s="50">
        <f>'A) Base RI'!A152</f>
        <v>5643</v>
      </c>
      <c r="B150" s="301" t="str">
        <f>'A) Base RI'!B152</f>
        <v>Préverenges</v>
      </c>
      <c r="C150" s="100">
        <f>'B) D RI'!U152</f>
        <v>260053.614375</v>
      </c>
      <c r="D150" s="116">
        <f>'E) Fact soc'!G156/C150</f>
        <v>15.664386526347261</v>
      </c>
      <c r="E150" s="141">
        <f>'H) Péréquation directe'!I161/C150</f>
        <v>11.379820511150161</v>
      </c>
      <c r="F150" s="116">
        <f>+'I) Dépenses thématiques'!O150/'J) Plafonnement effort'!C150</f>
        <v>0</v>
      </c>
      <c r="G150" s="141">
        <f t="shared" si="9"/>
        <v>27.044207037497422</v>
      </c>
      <c r="H150" s="316">
        <f t="shared" si="10"/>
        <v>0</v>
      </c>
      <c r="I150" s="58">
        <f t="shared" si="11"/>
        <v>0</v>
      </c>
      <c r="J150" s="34">
        <f t="shared" si="12"/>
        <v>27.044207037497422</v>
      </c>
    </row>
    <row r="151" spans="1:10" x14ac:dyDescent="0.25">
      <c r="A151" s="50">
        <f>'A) Base RI'!A153</f>
        <v>5644</v>
      </c>
      <c r="B151" s="301" t="str">
        <f>'A) Base RI'!B153</f>
        <v>Reverolle</v>
      </c>
      <c r="C151" s="100">
        <f>'B) D RI'!U153</f>
        <v>13341.614868421055</v>
      </c>
      <c r="D151" s="116">
        <f>'E) Fact soc'!G157/C151</f>
        <v>17.86692888985468</v>
      </c>
      <c r="E151" s="141">
        <f>'H) Péréquation directe'!I162/C151</f>
        <v>8.0208526809587841</v>
      </c>
      <c r="F151" s="116">
        <f>+'I) Dépenses thématiques'!O151/'J) Plafonnement effort'!C151</f>
        <v>-3.9474131948856828</v>
      </c>
      <c r="G151" s="141">
        <f t="shared" si="9"/>
        <v>21.940368375927783</v>
      </c>
      <c r="H151" s="316">
        <f t="shared" si="10"/>
        <v>0</v>
      </c>
      <c r="I151" s="58">
        <f t="shared" si="11"/>
        <v>0</v>
      </c>
      <c r="J151" s="34">
        <f t="shared" si="12"/>
        <v>21.940368375927783</v>
      </c>
    </row>
    <row r="152" spans="1:10" x14ac:dyDescent="0.25">
      <c r="A152" s="50">
        <f>'A) Base RI'!A154</f>
        <v>5645</v>
      </c>
      <c r="B152" s="301" t="str">
        <f>'A) Base RI'!B154</f>
        <v>Romanel-sur-Morges</v>
      </c>
      <c r="C152" s="100">
        <f>'B) D RI'!U154</f>
        <v>26613.952053571436</v>
      </c>
      <c r="D152" s="116">
        <f>'E) Fact soc'!G158/C152</f>
        <v>18.192000221896947</v>
      </c>
      <c r="E152" s="141">
        <f>'H) Péréquation directe'!I163/C152</f>
        <v>17.109696166705291</v>
      </c>
      <c r="F152" s="116">
        <f>+'I) Dépenses thématiques'!O152/'J) Plafonnement effort'!C152</f>
        <v>-8.3337269207297338E-2</v>
      </c>
      <c r="G152" s="141">
        <f t="shared" si="9"/>
        <v>35.21835911939494</v>
      </c>
      <c r="H152" s="316">
        <f t="shared" si="10"/>
        <v>0</v>
      </c>
      <c r="I152" s="58">
        <f t="shared" si="11"/>
        <v>0</v>
      </c>
      <c r="J152" s="34">
        <f t="shared" si="12"/>
        <v>35.21835911939494</v>
      </c>
    </row>
    <row r="153" spans="1:10" x14ac:dyDescent="0.25">
      <c r="A153" s="50">
        <f>'A) Base RI'!A155</f>
        <v>5646</v>
      </c>
      <c r="B153" s="301" t="str">
        <f>'A) Base RI'!B155</f>
        <v>Saint-Prex</v>
      </c>
      <c r="C153" s="100">
        <f>'B) D RI'!U155</f>
        <v>504902.63036363642</v>
      </c>
      <c r="D153" s="116">
        <f>'E) Fact soc'!G159/C153</f>
        <v>23.809169662703667</v>
      </c>
      <c r="E153" s="141">
        <f>'H) Péréquation directe'!I164/C153</f>
        <v>13.118913109577949</v>
      </c>
      <c r="F153" s="116">
        <f>+'I) Dépenses thématiques'!O153/'J) Plafonnement effort'!C153</f>
        <v>0</v>
      </c>
      <c r="G153" s="141">
        <f t="shared" si="9"/>
        <v>36.928082772281613</v>
      </c>
      <c r="H153" s="316">
        <f t="shared" si="10"/>
        <v>0</v>
      </c>
      <c r="I153" s="58">
        <f t="shared" si="11"/>
        <v>0</v>
      </c>
      <c r="J153" s="34">
        <f t="shared" si="12"/>
        <v>36.928082772281613</v>
      </c>
    </row>
    <row r="154" spans="1:10" x14ac:dyDescent="0.25">
      <c r="A154" s="50">
        <f>'A) Base RI'!A156</f>
        <v>5648</v>
      </c>
      <c r="B154" s="301" t="str">
        <f>'A) Base RI'!B156</f>
        <v>Saint-Sulpice</v>
      </c>
      <c r="C154" s="100">
        <f>'B) D RI'!U156</f>
        <v>275285.22849999997</v>
      </c>
      <c r="D154" s="116">
        <f>'E) Fact soc'!G160/C154</f>
        <v>20.546228945118241</v>
      </c>
      <c r="E154" s="141">
        <f>'H) Péréquation directe'!I165/C154</f>
        <v>12.850240995070822</v>
      </c>
      <c r="F154" s="116">
        <f>+'I) Dépenses thématiques'!O154/'J) Plafonnement effort'!C154</f>
        <v>-1.7264099732137821</v>
      </c>
      <c r="G154" s="141">
        <f t="shared" si="9"/>
        <v>31.67005996697528</v>
      </c>
      <c r="H154" s="316">
        <f t="shared" si="10"/>
        <v>0</v>
      </c>
      <c r="I154" s="58">
        <f t="shared" si="11"/>
        <v>0</v>
      </c>
      <c r="J154" s="34">
        <f t="shared" si="12"/>
        <v>31.67005996697528</v>
      </c>
    </row>
    <row r="155" spans="1:10" x14ac:dyDescent="0.25">
      <c r="A155" s="50">
        <f>'A) Base RI'!A157</f>
        <v>5649</v>
      </c>
      <c r="B155" s="301" t="str">
        <f>'A) Base RI'!B157</f>
        <v>Tolochenaz</v>
      </c>
      <c r="C155" s="100">
        <f>'B) D RI'!U157</f>
        <v>134431.35138461535</v>
      </c>
      <c r="D155" s="116">
        <f>'E) Fact soc'!G161/C155</f>
        <v>20.003539171795882</v>
      </c>
      <c r="E155" s="141">
        <f>'H) Péréquation directe'!I166/C155</f>
        <v>15.120229176791339</v>
      </c>
      <c r="F155" s="116">
        <f>+'I) Dépenses thématiques'!O155/'J) Plafonnement effort'!C155</f>
        <v>0</v>
      </c>
      <c r="G155" s="141">
        <f t="shared" si="9"/>
        <v>35.12376834858722</v>
      </c>
      <c r="H155" s="316">
        <f t="shared" si="10"/>
        <v>0</v>
      </c>
      <c r="I155" s="58">
        <f t="shared" si="11"/>
        <v>0</v>
      </c>
      <c r="J155" s="34">
        <f t="shared" si="12"/>
        <v>35.12376834858722</v>
      </c>
    </row>
    <row r="156" spans="1:10" x14ac:dyDescent="0.25">
      <c r="A156" s="50">
        <f>'A) Base RI'!A158</f>
        <v>5650</v>
      </c>
      <c r="B156" s="301" t="str">
        <f>'A) Base RI'!B158</f>
        <v>Vaux-sur-Morges</v>
      </c>
      <c r="C156" s="100">
        <f>'B) D RI'!U158</f>
        <v>185075.58696428573</v>
      </c>
      <c r="D156" s="116">
        <f>'E) Fact soc'!G162/C156</f>
        <v>44.340026592244755</v>
      </c>
      <c r="E156" s="141">
        <f>'H) Péréquation directe'!I167/C156</f>
        <v>13.090504629084466</v>
      </c>
      <c r="F156" s="116">
        <f>+'I) Dépenses thématiques'!O156/'J) Plafonnement effort'!C156</f>
        <v>0</v>
      </c>
      <c r="G156" s="141">
        <f t="shared" si="9"/>
        <v>57.430531221329218</v>
      </c>
      <c r="H156" s="316">
        <f t="shared" si="10"/>
        <v>-12.430531221329218</v>
      </c>
      <c r="I156" s="58">
        <f t="shared" si="11"/>
        <v>-2300587.8620653846</v>
      </c>
      <c r="J156" s="34">
        <f t="shared" si="12"/>
        <v>45</v>
      </c>
    </row>
    <row r="157" spans="1:10" x14ac:dyDescent="0.25">
      <c r="A157" s="50">
        <f>'A) Base RI'!A159</f>
        <v>5651</v>
      </c>
      <c r="B157" s="301" t="str">
        <f>'A) Base RI'!B159</f>
        <v>Villars-Sainte-Croix</v>
      </c>
      <c r="C157" s="100">
        <f>'B) D RI'!U159</f>
        <v>58092.123220338974</v>
      </c>
      <c r="D157" s="116">
        <f>'E) Fact soc'!G163/C157</f>
        <v>18.347993427974004</v>
      </c>
      <c r="E157" s="141">
        <f>'H) Péréquation directe'!I168/C157</f>
        <v>17.052965954681291</v>
      </c>
      <c r="F157" s="116">
        <f>+'I) Dépenses thématiques'!O157/'J) Plafonnement effort'!C157</f>
        <v>0</v>
      </c>
      <c r="G157" s="141">
        <f t="shared" si="9"/>
        <v>35.400959382655294</v>
      </c>
      <c r="H157" s="316">
        <f t="shared" si="10"/>
        <v>0</v>
      </c>
      <c r="I157" s="58">
        <f t="shared" si="11"/>
        <v>0</v>
      </c>
      <c r="J157" s="34">
        <f t="shared" si="12"/>
        <v>35.400959382655294</v>
      </c>
    </row>
    <row r="158" spans="1:10" x14ac:dyDescent="0.25">
      <c r="A158" s="50">
        <f>'A) Base RI'!A160</f>
        <v>5652</v>
      </c>
      <c r="B158" s="301" t="str">
        <f>'A) Base RI'!B160</f>
        <v>Villars-sous-Yens</v>
      </c>
      <c r="C158" s="100">
        <f>'B) D RI'!U160</f>
        <v>29800.949188596489</v>
      </c>
      <c r="D158" s="116">
        <f>'E) Fact soc'!G164/C158</f>
        <v>15.696190916590416</v>
      </c>
      <c r="E158" s="141">
        <f>'H) Péréquation directe'!I169/C158</f>
        <v>16.943214571112595</v>
      </c>
      <c r="F158" s="116">
        <f>+'I) Dépenses thématiques'!O158/'J) Plafonnement effort'!C158</f>
        <v>0</v>
      </c>
      <c r="G158" s="141">
        <f t="shared" si="9"/>
        <v>32.639405487703009</v>
      </c>
      <c r="H158" s="316">
        <f t="shared" si="10"/>
        <v>0</v>
      </c>
      <c r="I158" s="58">
        <f t="shared" si="11"/>
        <v>0</v>
      </c>
      <c r="J158" s="34">
        <f t="shared" si="12"/>
        <v>32.639405487703009</v>
      </c>
    </row>
    <row r="159" spans="1:10" x14ac:dyDescent="0.25">
      <c r="A159" s="50">
        <f>'A) Base RI'!A161</f>
        <v>5653</v>
      </c>
      <c r="B159" s="301" t="str">
        <f>'A) Base RI'!B161</f>
        <v>Vufflens-le-Château</v>
      </c>
      <c r="C159" s="100">
        <f>'B) D RI'!U161</f>
        <v>61961.229272727272</v>
      </c>
      <c r="D159" s="116">
        <f>'E) Fact soc'!G165/C159</f>
        <v>20.365597745559086</v>
      </c>
      <c r="E159" s="141">
        <f>'H) Péréquation directe'!I170/C159</f>
        <v>16.841146705325521</v>
      </c>
      <c r="F159" s="116">
        <f>+'I) Dépenses thématiques'!O159/'J) Plafonnement effort'!C159</f>
        <v>0</v>
      </c>
      <c r="G159" s="141">
        <f t="shared" si="9"/>
        <v>37.206744450884607</v>
      </c>
      <c r="H159" s="316">
        <f t="shared" si="10"/>
        <v>0</v>
      </c>
      <c r="I159" s="58">
        <f t="shared" si="11"/>
        <v>0</v>
      </c>
      <c r="J159" s="34">
        <f t="shared" si="12"/>
        <v>37.206744450884607</v>
      </c>
    </row>
    <row r="160" spans="1:10" x14ac:dyDescent="0.25">
      <c r="A160" s="50">
        <f>'A) Base RI'!A162</f>
        <v>5654</v>
      </c>
      <c r="B160" s="301" t="str">
        <f>'A) Base RI'!B162</f>
        <v>Vullierens</v>
      </c>
      <c r="C160" s="100">
        <f>'B) D RI'!U162</f>
        <v>19280.901315789473</v>
      </c>
      <c r="D160" s="116">
        <f>'E) Fact soc'!G166/C160</f>
        <v>17.58149495772194</v>
      </c>
      <c r="E160" s="141">
        <f>'H) Péréquation directe'!I171/C160</f>
        <v>12.113061051473675</v>
      </c>
      <c r="F160" s="116">
        <f>+'I) Dépenses thématiques'!O160/'J) Plafonnement effort'!C160</f>
        <v>0</v>
      </c>
      <c r="G160" s="141">
        <f t="shared" si="9"/>
        <v>29.694556009195615</v>
      </c>
      <c r="H160" s="316">
        <f t="shared" si="10"/>
        <v>0</v>
      </c>
      <c r="I160" s="58">
        <f t="shared" si="11"/>
        <v>0</v>
      </c>
      <c r="J160" s="34">
        <f t="shared" si="12"/>
        <v>29.694556009195615</v>
      </c>
    </row>
    <row r="161" spans="1:10" x14ac:dyDescent="0.25">
      <c r="A161" s="50">
        <f>'A) Base RI'!A163</f>
        <v>5655</v>
      </c>
      <c r="B161" s="301" t="str">
        <f>'A) Base RI'!B163</f>
        <v>Yens</v>
      </c>
      <c r="C161" s="100">
        <f>'B) D RI'!U163</f>
        <v>87292.806849315064</v>
      </c>
      <c r="D161" s="116">
        <f>'E) Fact soc'!G167/C161</f>
        <v>18.470208910794252</v>
      </c>
      <c r="E161" s="141">
        <f>'H) Péréquation directe'!I172/C161</f>
        <v>15.807001163277082</v>
      </c>
      <c r="F161" s="116">
        <f>+'I) Dépenses thématiques'!O161/'J) Plafonnement effort'!C161</f>
        <v>0</v>
      </c>
      <c r="G161" s="141">
        <f t="shared" si="9"/>
        <v>34.277210074071334</v>
      </c>
      <c r="H161" s="316">
        <f t="shared" si="10"/>
        <v>0</v>
      </c>
      <c r="I161" s="58">
        <f t="shared" si="11"/>
        <v>0</v>
      </c>
      <c r="J161" s="34">
        <f t="shared" si="12"/>
        <v>34.277210074071334</v>
      </c>
    </row>
    <row r="162" spans="1:10" x14ac:dyDescent="0.25">
      <c r="A162" s="50">
        <f>'A) Base RI'!A164</f>
        <v>5661</v>
      </c>
      <c r="B162" s="301" t="str">
        <f>'A) Base RI'!B164</f>
        <v>Boulens</v>
      </c>
      <c r="C162" s="100">
        <f>'B) D RI'!U164</f>
        <v>10339.57164556962</v>
      </c>
      <c r="D162" s="116">
        <f>'E) Fact soc'!G168/C162</f>
        <v>16.059059779129651</v>
      </c>
      <c r="E162" s="141">
        <f>'H) Péréquation directe'!I173/C162</f>
        <v>-1.4190038084132723</v>
      </c>
      <c r="F162" s="116">
        <f>+'I) Dépenses thématiques'!O162/'J) Plafonnement effort'!C162</f>
        <v>-1.3018978157772445</v>
      </c>
      <c r="G162" s="141">
        <f t="shared" si="9"/>
        <v>13.338158154939133</v>
      </c>
      <c r="H162" s="316">
        <f t="shared" si="10"/>
        <v>0</v>
      </c>
      <c r="I162" s="58">
        <f t="shared" si="11"/>
        <v>0</v>
      </c>
      <c r="J162" s="34">
        <f t="shared" si="12"/>
        <v>13.338158154939133</v>
      </c>
    </row>
    <row r="163" spans="1:10" x14ac:dyDescent="0.25">
      <c r="A163" s="50">
        <f>'A) Base RI'!A165</f>
        <v>5663</v>
      </c>
      <c r="B163" s="301" t="str">
        <f>'A) Base RI'!B165</f>
        <v>Bussy-sur-Moudon</v>
      </c>
      <c r="C163" s="100">
        <f>'B) D RI'!U165</f>
        <v>5294.5642500000013</v>
      </c>
      <c r="D163" s="116">
        <f>'E) Fact soc'!G169/C163</f>
        <v>16.001177888161251</v>
      </c>
      <c r="E163" s="141">
        <f>'H) Péréquation directe'!I174/C163</f>
        <v>-5.9274445996684149</v>
      </c>
      <c r="F163" s="116">
        <f>+'I) Dépenses thématiques'!O163/'J) Plafonnement effort'!C163</f>
        <v>-12.051054871678812</v>
      </c>
      <c r="G163" s="141">
        <f t="shared" si="9"/>
        <v>-1.9773215831859758</v>
      </c>
      <c r="H163" s="316">
        <f t="shared" si="10"/>
        <v>0</v>
      </c>
      <c r="I163" s="58">
        <f t="shared" si="11"/>
        <v>0</v>
      </c>
      <c r="J163" s="34">
        <f t="shared" si="12"/>
        <v>-1.9773215831859758</v>
      </c>
    </row>
    <row r="164" spans="1:10" x14ac:dyDescent="0.25">
      <c r="A164" s="50">
        <f>'A) Base RI'!A166</f>
        <v>5665</v>
      </c>
      <c r="B164" s="301" t="str">
        <f>'A) Base RI'!B166</f>
        <v>Chavannes-sur-Moudon</v>
      </c>
      <c r="C164" s="100">
        <f>'B) D RI'!U166</f>
        <v>4618.4299999999994</v>
      </c>
      <c r="D164" s="116">
        <f>'E) Fact soc'!G170/C164</f>
        <v>16.71232020342417</v>
      </c>
      <c r="E164" s="141">
        <f>'H) Péréquation directe'!I175/C164</f>
        <v>-9.1236039383023613</v>
      </c>
      <c r="F164" s="116">
        <f>+'I) Dépenses thématiques'!O164/'J) Plafonnement effort'!C164</f>
        <v>-2.0246017153431652</v>
      </c>
      <c r="G164" s="141">
        <f t="shared" si="9"/>
        <v>5.5641145497786439</v>
      </c>
      <c r="H164" s="316">
        <f t="shared" si="10"/>
        <v>0</v>
      </c>
      <c r="I164" s="58">
        <f t="shared" si="11"/>
        <v>0</v>
      </c>
      <c r="J164" s="34">
        <f t="shared" si="12"/>
        <v>5.5641145497786439</v>
      </c>
    </row>
    <row r="165" spans="1:10" x14ac:dyDescent="0.25">
      <c r="A165" s="50">
        <f>'A) Base RI'!A167</f>
        <v>5669</v>
      </c>
      <c r="B165" s="301" t="str">
        <f>'A) Base RI'!B167</f>
        <v>Curtilles</v>
      </c>
      <c r="C165" s="100">
        <f>'B) D RI'!U167</f>
        <v>7795.8649333333315</v>
      </c>
      <c r="D165" s="116">
        <f>'E) Fact soc'!G171/C165</f>
        <v>16.056993619044746</v>
      </c>
      <c r="E165" s="141">
        <f>'H) Péréquation directe'!I176/C165</f>
        <v>-3.1021579156337684</v>
      </c>
      <c r="F165" s="116">
        <f>+'I) Dépenses thématiques'!O165/'J) Plafonnement effort'!C165</f>
        <v>-2.1999349635309722</v>
      </c>
      <c r="G165" s="141">
        <f t="shared" si="9"/>
        <v>10.754900739880007</v>
      </c>
      <c r="H165" s="316">
        <f t="shared" si="10"/>
        <v>0</v>
      </c>
      <c r="I165" s="58">
        <f t="shared" si="11"/>
        <v>0</v>
      </c>
      <c r="J165" s="34">
        <f t="shared" si="12"/>
        <v>10.754900739880007</v>
      </c>
    </row>
    <row r="166" spans="1:10" x14ac:dyDescent="0.25">
      <c r="A166" s="50">
        <f>'A) Base RI'!A168</f>
        <v>5671</v>
      </c>
      <c r="B166" s="301" t="str">
        <f>'A) Base RI'!B168</f>
        <v>Dompierre</v>
      </c>
      <c r="C166" s="100">
        <f>'B) D RI'!U168</f>
        <v>6158.8938749999998</v>
      </c>
      <c r="D166" s="116">
        <f>'E) Fact soc'!G172/C166</f>
        <v>17.430926577465883</v>
      </c>
      <c r="E166" s="141">
        <f>'H) Péréquation directe'!I177/C166</f>
        <v>-3.9192290122550704</v>
      </c>
      <c r="F166" s="116">
        <f>+'I) Dépenses thématiques'!O166/'J) Plafonnement effort'!C166</f>
        <v>-10.325155850492882</v>
      </c>
      <c r="G166" s="141">
        <f t="shared" si="9"/>
        <v>3.1865417147179311</v>
      </c>
      <c r="H166" s="316">
        <f t="shared" si="10"/>
        <v>0</v>
      </c>
      <c r="I166" s="58">
        <f t="shared" si="11"/>
        <v>0</v>
      </c>
      <c r="J166" s="34">
        <f t="shared" si="12"/>
        <v>3.1865417147179311</v>
      </c>
    </row>
    <row r="167" spans="1:10" x14ac:dyDescent="0.25">
      <c r="A167" s="50">
        <f>'A) Base RI'!A169</f>
        <v>5673</v>
      </c>
      <c r="B167" s="301" t="str">
        <f>'A) Base RI'!B169</f>
        <v>Hermenches</v>
      </c>
      <c r="C167" s="100">
        <f>'B) D RI'!U169</f>
        <v>9293.9345333333331</v>
      </c>
      <c r="D167" s="116">
        <f>'E) Fact soc'!G173/C167</f>
        <v>16.018262157108836</v>
      </c>
      <c r="E167" s="141">
        <f>'H) Péréquation directe'!I178/C167</f>
        <v>-2.0134245401587396</v>
      </c>
      <c r="F167" s="116">
        <f>+'I) Dépenses thématiques'!O167/'J) Plafonnement effort'!C167</f>
        <v>-18.209826493039003</v>
      </c>
      <c r="G167" s="141">
        <f t="shared" si="9"/>
        <v>-4.2049888760889065</v>
      </c>
      <c r="H167" s="316">
        <f t="shared" si="10"/>
        <v>0</v>
      </c>
      <c r="I167" s="58">
        <f t="shared" si="11"/>
        <v>0</v>
      </c>
      <c r="J167" s="34">
        <f t="shared" si="12"/>
        <v>-4.2049888760889065</v>
      </c>
    </row>
    <row r="168" spans="1:10" x14ac:dyDescent="0.25">
      <c r="A168" s="50">
        <f>'A) Base RI'!A170</f>
        <v>5674</v>
      </c>
      <c r="B168" s="301" t="str">
        <f>'A) Base RI'!B170</f>
        <v>Lovatens</v>
      </c>
      <c r="C168" s="100">
        <f>'B) D RI'!U170</f>
        <v>3277.031161904762</v>
      </c>
      <c r="D168" s="116">
        <f>'E) Fact soc'!G174/C168</f>
        <v>18.769702264816264</v>
      </c>
      <c r="E168" s="141">
        <f>'H) Péréquation directe'!I179/C168</f>
        <v>-7.9730335952849387</v>
      </c>
      <c r="F168" s="116">
        <f>+'I) Dépenses thématiques'!O168/'J) Plafonnement effort'!C168</f>
        <v>-5.1668477451027508</v>
      </c>
      <c r="G168" s="141">
        <f t="shared" si="9"/>
        <v>5.6298209244285742</v>
      </c>
      <c r="H168" s="316">
        <f t="shared" si="10"/>
        <v>0</v>
      </c>
      <c r="I168" s="58">
        <f t="shared" si="11"/>
        <v>0</v>
      </c>
      <c r="J168" s="34">
        <f t="shared" si="12"/>
        <v>5.6298209244285742</v>
      </c>
    </row>
    <row r="169" spans="1:10" x14ac:dyDescent="0.25">
      <c r="A169" s="50">
        <f>'A) Base RI'!A171</f>
        <v>5675</v>
      </c>
      <c r="B169" s="301" t="str">
        <f>'A) Base RI'!B171</f>
        <v>Lucens</v>
      </c>
      <c r="C169" s="100">
        <f>'B) D RI'!U171</f>
        <v>92142.722793148874</v>
      </c>
      <c r="D169" s="116">
        <f>'E) Fact soc'!G175/C169</f>
        <v>18.377101881588707</v>
      </c>
      <c r="E169" s="141">
        <f>'H) Péréquation directe'!I180/C169</f>
        <v>-16.106006769729042</v>
      </c>
      <c r="F169" s="116">
        <f>+'I) Dépenses thématiques'!O169/'J) Plafonnement effort'!C169</f>
        <v>-4.5667243522980261</v>
      </c>
      <c r="G169" s="141">
        <f t="shared" si="9"/>
        <v>-2.2956292404383607</v>
      </c>
      <c r="H169" s="316">
        <f t="shared" si="10"/>
        <v>0</v>
      </c>
      <c r="I169" s="58">
        <f t="shared" si="11"/>
        <v>0</v>
      </c>
      <c r="J169" s="34">
        <f t="shared" si="12"/>
        <v>-2.2956292404383607</v>
      </c>
    </row>
    <row r="170" spans="1:10" x14ac:dyDescent="0.25">
      <c r="A170" s="50">
        <f>'A) Base RI'!A172</f>
        <v>5678</v>
      </c>
      <c r="B170" s="301" t="str">
        <f>'A) Base RI'!B172</f>
        <v>Moudon</v>
      </c>
      <c r="C170" s="100">
        <f>'B) D RI'!U172</f>
        <v>119798.79359999999</v>
      </c>
      <c r="D170" s="116">
        <f>'E) Fact soc'!G176/C170</f>
        <v>18.099318834038378</v>
      </c>
      <c r="E170" s="141">
        <f>'H) Péréquation directe'!I181/C170</f>
        <v>-30.911816799002221</v>
      </c>
      <c r="F170" s="116">
        <f>+'I) Dépenses thématiques'!O170/'J) Plafonnement effort'!C170</f>
        <v>-9.8102260453964867</v>
      </c>
      <c r="G170" s="141">
        <f t="shared" si="9"/>
        <v>-22.622724010360329</v>
      </c>
      <c r="H170" s="316">
        <f t="shared" si="10"/>
        <v>0</v>
      </c>
      <c r="I170" s="58">
        <f t="shared" si="11"/>
        <v>0</v>
      </c>
      <c r="J170" s="34">
        <f t="shared" si="12"/>
        <v>-22.622724010360329</v>
      </c>
    </row>
    <row r="171" spans="1:10" x14ac:dyDescent="0.25">
      <c r="A171" s="50">
        <f>'A) Base RI'!A173</f>
        <v>5680</v>
      </c>
      <c r="B171" s="301" t="str">
        <f>'A) Base RI'!B173</f>
        <v>Ogens</v>
      </c>
      <c r="C171" s="100">
        <f>'B) D RI'!U173</f>
        <v>6445.3270940170942</v>
      </c>
      <c r="D171" s="116">
        <f>'E) Fact soc'!G177/C171</f>
        <v>19.118600396119174</v>
      </c>
      <c r="E171" s="141">
        <f>'H) Péréquation directe'!I182/C171</f>
        <v>-11.993176614463753</v>
      </c>
      <c r="F171" s="116">
        <f>+'I) Dépenses thématiques'!O171/'J) Plafonnement effort'!C171</f>
        <v>-2.1841277002381094</v>
      </c>
      <c r="G171" s="141">
        <f t="shared" si="9"/>
        <v>4.9412960814173115</v>
      </c>
      <c r="H171" s="316">
        <f t="shared" si="10"/>
        <v>0</v>
      </c>
      <c r="I171" s="58">
        <f t="shared" si="11"/>
        <v>0</v>
      </c>
      <c r="J171" s="34">
        <f t="shared" si="12"/>
        <v>4.9412960814173115</v>
      </c>
    </row>
    <row r="172" spans="1:10" x14ac:dyDescent="0.25">
      <c r="A172" s="50">
        <f>'A) Base RI'!A174</f>
        <v>5683</v>
      </c>
      <c r="B172" s="301" t="str">
        <f>'A) Base RI'!B174</f>
        <v>Prévonloup</v>
      </c>
      <c r="C172" s="100">
        <f>'B) D RI'!U174</f>
        <v>3724.6422972972978</v>
      </c>
      <c r="D172" s="116">
        <f>'E) Fact soc'!G178/C172</f>
        <v>18.445083875509006</v>
      </c>
      <c r="E172" s="141">
        <f>'H) Péréquation directe'!I183/C172</f>
        <v>-12.611039229582902</v>
      </c>
      <c r="F172" s="116">
        <f>+'I) Dépenses thématiques'!O172/'J) Plafonnement effort'!C172</f>
        <v>-3.9020874133050287</v>
      </c>
      <c r="G172" s="141">
        <f t="shared" si="9"/>
        <v>1.9319572326210754</v>
      </c>
      <c r="H172" s="316">
        <f t="shared" si="10"/>
        <v>0</v>
      </c>
      <c r="I172" s="58">
        <f t="shared" si="11"/>
        <v>0</v>
      </c>
      <c r="J172" s="34">
        <f t="shared" si="12"/>
        <v>1.9319572326210754</v>
      </c>
    </row>
    <row r="173" spans="1:10" x14ac:dyDescent="0.25">
      <c r="A173" s="50">
        <f>'A) Base RI'!A175</f>
        <v>5684</v>
      </c>
      <c r="B173" s="301" t="str">
        <f>'A) Base RI'!B175</f>
        <v>Rossenges</v>
      </c>
      <c r="C173" s="100">
        <f>'B) D RI'!U175</f>
        <v>1951.4436666666666</v>
      </c>
      <c r="D173" s="116">
        <f>'E) Fact soc'!G179/C173</f>
        <v>17.685703805109387</v>
      </c>
      <c r="E173" s="141">
        <f>'H) Péréquation directe'!I184/C173</f>
        <v>4.4655298681984066</v>
      </c>
      <c r="F173" s="116">
        <f>+'I) Dépenses thématiques'!O173/'J) Plafonnement effort'!C173</f>
        <v>0</v>
      </c>
      <c r="G173" s="141">
        <f t="shared" si="9"/>
        <v>22.151233673307793</v>
      </c>
      <c r="H173" s="316">
        <f t="shared" si="10"/>
        <v>0</v>
      </c>
      <c r="I173" s="58">
        <f t="shared" si="11"/>
        <v>0</v>
      </c>
      <c r="J173" s="34">
        <f t="shared" si="12"/>
        <v>22.151233673307793</v>
      </c>
    </row>
    <row r="174" spans="1:10" x14ac:dyDescent="0.25">
      <c r="A174" s="50">
        <f>'A) Base RI'!A176</f>
        <v>5688</v>
      </c>
      <c r="B174" s="301" t="str">
        <f>'A) Base RI'!B176</f>
        <v>Syens</v>
      </c>
      <c r="C174" s="100">
        <f>'B) D RI'!U176</f>
        <v>3966.9414021164025</v>
      </c>
      <c r="D174" s="116">
        <f>'E) Fact soc'!G180/C174</f>
        <v>19.092055503742898</v>
      </c>
      <c r="E174" s="141">
        <f>'H) Péréquation directe'!I185/C174</f>
        <v>-3.3158909979032867</v>
      </c>
      <c r="F174" s="116">
        <f>+'I) Dépenses thématiques'!O174/'J) Plafonnement effort'!C174</f>
        <v>-7.9907123216992755</v>
      </c>
      <c r="G174" s="141">
        <f t="shared" si="9"/>
        <v>7.7854521841403361</v>
      </c>
      <c r="H174" s="316">
        <f t="shared" si="10"/>
        <v>0</v>
      </c>
      <c r="I174" s="58">
        <f t="shared" si="11"/>
        <v>0</v>
      </c>
      <c r="J174" s="34">
        <f t="shared" si="12"/>
        <v>7.7854521841403361</v>
      </c>
    </row>
    <row r="175" spans="1:10" x14ac:dyDescent="0.25">
      <c r="A175" s="50">
        <f>'A) Base RI'!A177</f>
        <v>5690</v>
      </c>
      <c r="B175" s="301" t="str">
        <f>'A) Base RI'!B177</f>
        <v>Villars-le-Comte</v>
      </c>
      <c r="C175" s="100">
        <f>'B) D RI'!U177</f>
        <v>4059.4070238095242</v>
      </c>
      <c r="D175" s="116">
        <f>'E) Fact soc'!G181/C175</f>
        <v>15.890741727634937</v>
      </c>
      <c r="E175" s="141">
        <f>'H) Péréquation directe'!I186/C175</f>
        <v>6.6806233440220719</v>
      </c>
      <c r="F175" s="116">
        <f>+'I) Dépenses thématiques'!O175/'J) Plafonnement effort'!C175</f>
        <v>0</v>
      </c>
      <c r="G175" s="141">
        <f t="shared" si="9"/>
        <v>22.571365071657009</v>
      </c>
      <c r="H175" s="316">
        <f t="shared" si="10"/>
        <v>0</v>
      </c>
      <c r="I175" s="58">
        <f t="shared" si="11"/>
        <v>0</v>
      </c>
      <c r="J175" s="34">
        <f t="shared" si="12"/>
        <v>22.571365071657009</v>
      </c>
    </row>
    <row r="176" spans="1:10" x14ac:dyDescent="0.25">
      <c r="A176" s="50">
        <f>'A) Base RI'!A178</f>
        <v>5692</v>
      </c>
      <c r="B176" s="301" t="str">
        <f>'A) Base RI'!B178</f>
        <v>Vucherens</v>
      </c>
      <c r="C176" s="100">
        <f>'B) D RI'!U178</f>
        <v>16205.612531645571</v>
      </c>
      <c r="D176" s="116">
        <f>'E) Fact soc'!G182/C176</f>
        <v>19.497808614793353</v>
      </c>
      <c r="E176" s="141">
        <f>'H) Péréquation directe'!I187/C176</f>
        <v>0.4469528452535535</v>
      </c>
      <c r="F176" s="116">
        <f>+'I) Dépenses thématiques'!O176/'J) Plafonnement effort'!C176</f>
        <v>-4.4072544515774439</v>
      </c>
      <c r="G176" s="141">
        <f t="shared" si="9"/>
        <v>15.537507008469461</v>
      </c>
      <c r="H176" s="316">
        <f t="shared" si="10"/>
        <v>0</v>
      </c>
      <c r="I176" s="58">
        <f t="shared" si="11"/>
        <v>0</v>
      </c>
      <c r="J176" s="34">
        <f t="shared" si="12"/>
        <v>15.537507008469461</v>
      </c>
    </row>
    <row r="177" spans="1:10" x14ac:dyDescent="0.25">
      <c r="A177" s="50">
        <f>'A) Base RI'!A179</f>
        <v>5693</v>
      </c>
      <c r="B177" s="301" t="str">
        <f>'A) Base RI'!B179</f>
        <v>Montanaire</v>
      </c>
      <c r="C177" s="100">
        <f>'B) D RI'!U179</f>
        <v>69929.896527777775</v>
      </c>
      <c r="D177" s="116">
        <f>'E) Fact soc'!G183/C177</f>
        <v>17.059692512281984</v>
      </c>
      <c r="E177" s="141">
        <f>'H) Péréquation directe'!I188/C177</f>
        <v>-5.9012191216715619</v>
      </c>
      <c r="F177" s="116">
        <f>+'I) Dépenses thématiques'!O177/'J) Plafonnement effort'!C177</f>
        <v>-8.0615575361634786</v>
      </c>
      <c r="G177" s="141">
        <f t="shared" si="9"/>
        <v>3.0969158544469426</v>
      </c>
      <c r="H177" s="316">
        <f t="shared" si="10"/>
        <v>0</v>
      </c>
      <c r="I177" s="58">
        <f t="shared" si="11"/>
        <v>0</v>
      </c>
      <c r="J177" s="34">
        <f t="shared" si="12"/>
        <v>3.0969158544469426</v>
      </c>
    </row>
    <row r="178" spans="1:10" x14ac:dyDescent="0.25">
      <c r="A178" s="50">
        <f>'A) Base RI'!A180</f>
        <v>5701</v>
      </c>
      <c r="B178" s="301" t="str">
        <f>'A) Base RI'!B180</f>
        <v>Arnex-sur-Nyon</v>
      </c>
      <c r="C178" s="100">
        <f>'B) D RI'!U180</f>
        <v>13502.083857142858</v>
      </c>
      <c r="D178" s="116">
        <f>'E) Fact soc'!G184/C178</f>
        <v>20.935699509597644</v>
      </c>
      <c r="E178" s="141">
        <f>'H) Péréquation directe'!I189/C178</f>
        <v>17.127265737804976</v>
      </c>
      <c r="F178" s="116">
        <f>+'I) Dépenses thématiques'!O178/'J) Plafonnement effort'!C178</f>
        <v>0</v>
      </c>
      <c r="G178" s="141">
        <f t="shared" si="9"/>
        <v>38.062965247402616</v>
      </c>
      <c r="H178" s="316">
        <f t="shared" si="10"/>
        <v>0</v>
      </c>
      <c r="I178" s="58">
        <f t="shared" si="11"/>
        <v>0</v>
      </c>
      <c r="J178" s="34">
        <f t="shared" si="12"/>
        <v>38.062965247402616</v>
      </c>
    </row>
    <row r="179" spans="1:10" x14ac:dyDescent="0.25">
      <c r="A179" s="50">
        <f>'A) Base RI'!A181</f>
        <v>5702</v>
      </c>
      <c r="B179" s="301" t="str">
        <f>'A) Base RI'!B181</f>
        <v>Arzier-Le Muids</v>
      </c>
      <c r="C179" s="100">
        <f>'B) D RI'!U181</f>
        <v>176072.16864583336</v>
      </c>
      <c r="D179" s="116">
        <f>'E) Fact soc'!G185/C179</f>
        <v>21.51743841217564</v>
      </c>
      <c r="E179" s="141">
        <f>'H) Péréquation directe'!I190/C179</f>
        <v>14.532789177523751</v>
      </c>
      <c r="F179" s="116">
        <f>+'I) Dépenses thématiques'!O179/'J) Plafonnement effort'!C179</f>
        <v>-1.4244127084633589</v>
      </c>
      <c r="G179" s="141">
        <f t="shared" si="9"/>
        <v>34.625814881236032</v>
      </c>
      <c r="H179" s="316">
        <f t="shared" si="10"/>
        <v>0</v>
      </c>
      <c r="I179" s="58">
        <f t="shared" si="11"/>
        <v>0</v>
      </c>
      <c r="J179" s="34">
        <f t="shared" si="12"/>
        <v>34.625814881236032</v>
      </c>
    </row>
    <row r="180" spans="1:10" x14ac:dyDescent="0.25">
      <c r="A180" s="50">
        <f>'A) Base RI'!A182</f>
        <v>5703</v>
      </c>
      <c r="B180" s="301" t="str">
        <f>'A) Base RI'!B182</f>
        <v>Bassins</v>
      </c>
      <c r="C180" s="100">
        <f>'B) D RI'!U182</f>
        <v>55245.232548262546</v>
      </c>
      <c r="D180" s="116">
        <f>'E) Fact soc'!G186/C180</f>
        <v>18.195749200573808</v>
      </c>
      <c r="E180" s="141">
        <f>'H) Péréquation directe'!I191/C180</f>
        <v>12.830212035508014</v>
      </c>
      <c r="F180" s="116">
        <f>+'I) Dépenses thématiques'!O180/'J) Plafonnement effort'!C180</f>
        <v>-3.397728201958782</v>
      </c>
      <c r="G180" s="141">
        <f t="shared" si="9"/>
        <v>27.628233034123038</v>
      </c>
      <c r="H180" s="316">
        <f t="shared" si="10"/>
        <v>0</v>
      </c>
      <c r="I180" s="58">
        <f t="shared" si="11"/>
        <v>0</v>
      </c>
      <c r="J180" s="34">
        <f t="shared" si="12"/>
        <v>27.628233034123038</v>
      </c>
    </row>
    <row r="181" spans="1:10" x14ac:dyDescent="0.25">
      <c r="A181" s="50">
        <f>'A) Base RI'!A183</f>
        <v>5704</v>
      </c>
      <c r="B181" s="301" t="str">
        <f>'A) Base RI'!B183</f>
        <v>Begnins</v>
      </c>
      <c r="C181" s="100">
        <f>'B) D RI'!U183</f>
        <v>123862.49598958335</v>
      </c>
      <c r="D181" s="116">
        <f>'E) Fact soc'!G187/C181</f>
        <v>22.180232659633873</v>
      </c>
      <c r="E181" s="141">
        <f>'H) Péréquation directe'!I192/C181</f>
        <v>15.060002049460193</v>
      </c>
      <c r="F181" s="116">
        <f>+'I) Dépenses thématiques'!O181/'J) Plafonnement effort'!C181</f>
        <v>0</v>
      </c>
      <c r="G181" s="141">
        <f t="shared" si="9"/>
        <v>37.240234709094068</v>
      </c>
      <c r="H181" s="316">
        <f t="shared" si="10"/>
        <v>0</v>
      </c>
      <c r="I181" s="58">
        <f t="shared" si="11"/>
        <v>0</v>
      </c>
      <c r="J181" s="34">
        <f t="shared" si="12"/>
        <v>37.240234709094068</v>
      </c>
    </row>
    <row r="182" spans="1:10" x14ac:dyDescent="0.25">
      <c r="A182" s="50">
        <f>'A) Base RI'!A184</f>
        <v>5705</v>
      </c>
      <c r="B182" s="301" t="str">
        <f>'A) Base RI'!B184</f>
        <v>Bogis-Bossey</v>
      </c>
      <c r="C182" s="100">
        <f>'B) D RI'!U184</f>
        <v>49404.992428571422</v>
      </c>
      <c r="D182" s="116">
        <f>'E) Fact soc'!G188/C182</f>
        <v>18.771867137971039</v>
      </c>
      <c r="E182" s="141">
        <f>'H) Péréquation directe'!I193/C182</f>
        <v>17.140203786866806</v>
      </c>
      <c r="F182" s="116">
        <f>+'I) Dépenses thématiques'!O182/'J) Plafonnement effort'!C182</f>
        <v>0</v>
      </c>
      <c r="G182" s="141">
        <f t="shared" si="9"/>
        <v>35.912070924837849</v>
      </c>
      <c r="H182" s="316">
        <f t="shared" si="10"/>
        <v>0</v>
      </c>
      <c r="I182" s="58">
        <f t="shared" si="11"/>
        <v>0</v>
      </c>
      <c r="J182" s="34">
        <f t="shared" si="12"/>
        <v>35.912070924837849</v>
      </c>
    </row>
    <row r="183" spans="1:10" x14ac:dyDescent="0.25">
      <c r="A183" s="50">
        <f>'A) Base RI'!A185</f>
        <v>5706</v>
      </c>
      <c r="B183" s="301" t="str">
        <f>'A) Base RI'!B185</f>
        <v>Borex</v>
      </c>
      <c r="C183" s="100">
        <f>'B) D RI'!U185</f>
        <v>70968.038045977009</v>
      </c>
      <c r="D183" s="116">
        <f>'E) Fact soc'!G189/C183</f>
        <v>18.544703726307588</v>
      </c>
      <c r="E183" s="141">
        <f>'H) Péréquation directe'!I194/C183</f>
        <v>16.514177393804484</v>
      </c>
      <c r="F183" s="116">
        <f>+'I) Dépenses thématiques'!O183/'J) Plafonnement effort'!C183</f>
        <v>0</v>
      </c>
      <c r="G183" s="141">
        <f t="shared" si="9"/>
        <v>35.058881120112076</v>
      </c>
      <c r="H183" s="316">
        <f t="shared" si="10"/>
        <v>0</v>
      </c>
      <c r="I183" s="58">
        <f t="shared" si="11"/>
        <v>0</v>
      </c>
      <c r="J183" s="34">
        <f t="shared" si="12"/>
        <v>35.058881120112076</v>
      </c>
    </row>
    <row r="184" spans="1:10" x14ac:dyDescent="0.25">
      <c r="A184" s="50">
        <f>'A) Base RI'!A186</f>
        <v>5707</v>
      </c>
      <c r="B184" s="301" t="str">
        <f>'A) Base RI'!B186</f>
        <v>Chavannes-de-Bogis</v>
      </c>
      <c r="C184" s="100">
        <f>'B) D RI'!U186</f>
        <v>77704.286214689273</v>
      </c>
      <c r="D184" s="116">
        <f>'E) Fact soc'!G190/C184</f>
        <v>21.874682977134583</v>
      </c>
      <c r="E184" s="141">
        <f>'H) Péréquation directe'!I195/C184</f>
        <v>16.141588637817055</v>
      </c>
      <c r="F184" s="116">
        <f>+'I) Dépenses thématiques'!O184/'J) Plafonnement effort'!C184</f>
        <v>0</v>
      </c>
      <c r="G184" s="141">
        <f t="shared" si="9"/>
        <v>38.016271614951634</v>
      </c>
      <c r="H184" s="316">
        <f t="shared" si="10"/>
        <v>0</v>
      </c>
      <c r="I184" s="58">
        <f t="shared" si="11"/>
        <v>0</v>
      </c>
      <c r="J184" s="34">
        <f t="shared" si="12"/>
        <v>38.016271614951634</v>
      </c>
    </row>
    <row r="185" spans="1:10" x14ac:dyDescent="0.25">
      <c r="A185" s="50">
        <f>'A) Base RI'!A187</f>
        <v>5708</v>
      </c>
      <c r="B185" s="301" t="str">
        <f>'A) Base RI'!B187</f>
        <v>Chavannes-des-Bois</v>
      </c>
      <c r="C185" s="100">
        <f>'B) D RI'!U187</f>
        <v>57040.784867724869</v>
      </c>
      <c r="D185" s="116">
        <f>'E) Fact soc'!G191/C185</f>
        <v>18.876412940419954</v>
      </c>
      <c r="E185" s="141">
        <f>'H) Péréquation directe'!I196/C185</f>
        <v>17.08197024477122</v>
      </c>
      <c r="F185" s="116">
        <f>+'I) Dépenses thématiques'!O185/'J) Plafonnement effort'!C185</f>
        <v>0</v>
      </c>
      <c r="G185" s="141">
        <f t="shared" si="9"/>
        <v>35.958383185191174</v>
      </c>
      <c r="H185" s="316">
        <f t="shared" si="10"/>
        <v>0</v>
      </c>
      <c r="I185" s="58">
        <f t="shared" si="11"/>
        <v>0</v>
      </c>
      <c r="J185" s="34">
        <f t="shared" si="12"/>
        <v>35.958383185191174</v>
      </c>
    </row>
    <row r="186" spans="1:10" x14ac:dyDescent="0.25">
      <c r="A186" s="50">
        <f>'A) Base RI'!A188</f>
        <v>5709</v>
      </c>
      <c r="B186" s="301" t="str">
        <f>'A) Base RI'!B188</f>
        <v>Chéserex</v>
      </c>
      <c r="C186" s="100">
        <f>'B) D RI'!U188</f>
        <v>108721.76175438597</v>
      </c>
      <c r="D186" s="116">
        <f>'E) Fact soc'!G192/C186</f>
        <v>24.156609585828587</v>
      </c>
      <c r="E186" s="141">
        <f>'H) Péréquation directe'!I197/C186</f>
        <v>15.850673257402031</v>
      </c>
      <c r="F186" s="116">
        <f>+'I) Dépenses thématiques'!O186/'J) Plafonnement effort'!C186</f>
        <v>0</v>
      </c>
      <c r="G186" s="141">
        <f t="shared" si="9"/>
        <v>40.00728284323062</v>
      </c>
      <c r="H186" s="316">
        <f t="shared" si="10"/>
        <v>0</v>
      </c>
      <c r="I186" s="58">
        <f t="shared" si="11"/>
        <v>0</v>
      </c>
      <c r="J186" s="34">
        <f t="shared" si="12"/>
        <v>40.00728284323062</v>
      </c>
    </row>
    <row r="187" spans="1:10" x14ac:dyDescent="0.25">
      <c r="A187" s="50">
        <f>'A) Base RI'!A189</f>
        <v>5710</v>
      </c>
      <c r="B187" s="301" t="str">
        <f>'A) Base RI'!B189</f>
        <v>Coinsins</v>
      </c>
      <c r="C187" s="100">
        <f>'B) D RI'!U189</f>
        <v>124477.14941176467</v>
      </c>
      <c r="D187" s="116">
        <f>'E) Fact soc'!G193/C187</f>
        <v>35.182112514084125</v>
      </c>
      <c r="E187" s="141">
        <f>'H) Péréquation directe'!I198/C187</f>
        <v>14.221484630523967</v>
      </c>
      <c r="F187" s="116">
        <f>+'I) Dépenses thématiques'!O187/'J) Plafonnement effort'!C187</f>
        <v>0</v>
      </c>
      <c r="G187" s="141">
        <f t="shared" si="9"/>
        <v>49.403597144608092</v>
      </c>
      <c r="H187" s="316">
        <f t="shared" si="10"/>
        <v>-4.4035971446080922</v>
      </c>
      <c r="I187" s="58">
        <f t="shared" si="11"/>
        <v>-548147.21971860179</v>
      </c>
      <c r="J187" s="34">
        <f t="shared" si="12"/>
        <v>45</v>
      </c>
    </row>
    <row r="188" spans="1:10" x14ac:dyDescent="0.25">
      <c r="A188" s="50">
        <f>'A) Base RI'!A190</f>
        <v>5711</v>
      </c>
      <c r="B188" s="301" t="str">
        <f>'A) Base RI'!B190</f>
        <v>Commugny</v>
      </c>
      <c r="C188" s="100">
        <f>'B) D RI'!U190</f>
        <v>278130.00205128203</v>
      </c>
      <c r="D188" s="116">
        <f>'E) Fact soc'!G194/C188</f>
        <v>26.270562681037259</v>
      </c>
      <c r="E188" s="141">
        <f>'H) Péréquation directe'!I199/C188</f>
        <v>14.499389646468366</v>
      </c>
      <c r="F188" s="116">
        <f>+'I) Dépenses thématiques'!O188/'J) Plafonnement effort'!C188</f>
        <v>0</v>
      </c>
      <c r="G188" s="141">
        <f t="shared" si="9"/>
        <v>40.769952327505621</v>
      </c>
      <c r="H188" s="316">
        <f t="shared" si="10"/>
        <v>0</v>
      </c>
      <c r="I188" s="58">
        <f t="shared" si="11"/>
        <v>0</v>
      </c>
      <c r="J188" s="34">
        <f t="shared" si="12"/>
        <v>40.769952327505621</v>
      </c>
    </row>
    <row r="189" spans="1:10" x14ac:dyDescent="0.25">
      <c r="A189" s="50">
        <f>'A) Base RI'!A191</f>
        <v>5712</v>
      </c>
      <c r="B189" s="301" t="str">
        <f>'A) Base RI'!B191</f>
        <v>Coppet</v>
      </c>
      <c r="C189" s="100">
        <f>'B) D RI'!U191</f>
        <v>339910.43698113208</v>
      </c>
      <c r="D189" s="116">
        <f>'E) Fact soc'!G195/C189</f>
        <v>30.79758326116588</v>
      </c>
      <c r="E189" s="141">
        <f>'H) Péréquation directe'!I200/C189</f>
        <v>14.287862182730001</v>
      </c>
      <c r="F189" s="116">
        <f>+'I) Dépenses thématiques'!O189/'J) Plafonnement effort'!C189</f>
        <v>0</v>
      </c>
      <c r="G189" s="141">
        <f t="shared" si="9"/>
        <v>45.085445443895878</v>
      </c>
      <c r="H189" s="316">
        <f t="shared" si="10"/>
        <v>-8.544544389587827E-2</v>
      </c>
      <c r="I189" s="58">
        <f t="shared" si="11"/>
        <v>-29043.798172694787</v>
      </c>
      <c r="J189" s="34">
        <f t="shared" si="12"/>
        <v>45</v>
      </c>
    </row>
    <row r="190" spans="1:10" x14ac:dyDescent="0.25">
      <c r="A190" s="50">
        <f>'A) Base RI'!A192</f>
        <v>5713</v>
      </c>
      <c r="B190" s="301" t="str">
        <f>'A) Base RI'!B192</f>
        <v>Crans-près-Céligny</v>
      </c>
      <c r="C190" s="100">
        <f>'B) D RI'!U192</f>
        <v>273152.99188679247</v>
      </c>
      <c r="D190" s="116">
        <f>'E) Fact soc'!G196/C190</f>
        <v>29.45941523805946</v>
      </c>
      <c r="E190" s="141">
        <f>'H) Péréquation directe'!I201/C190</f>
        <v>14.530335234438523</v>
      </c>
      <c r="F190" s="116">
        <f>+'I) Dépenses thématiques'!O190/'J) Plafonnement effort'!C190</f>
        <v>0</v>
      </c>
      <c r="G190" s="141">
        <f t="shared" si="9"/>
        <v>43.989750472497981</v>
      </c>
      <c r="H190" s="316">
        <f t="shared" si="10"/>
        <v>0</v>
      </c>
      <c r="I190" s="58">
        <f t="shared" si="11"/>
        <v>0</v>
      </c>
      <c r="J190" s="34">
        <f t="shared" si="12"/>
        <v>43.989750472497981</v>
      </c>
    </row>
    <row r="191" spans="1:10" x14ac:dyDescent="0.25">
      <c r="A191" s="50">
        <f>'A) Base RI'!A193</f>
        <v>5714</v>
      </c>
      <c r="B191" s="301" t="str">
        <f>'A) Base RI'!B193</f>
        <v>Crassier</v>
      </c>
      <c r="C191" s="100">
        <f>'B) D RI'!U193</f>
        <v>77000.951562499991</v>
      </c>
      <c r="D191" s="116">
        <f>'E) Fact soc'!G197/C191</f>
        <v>19.873665056734435</v>
      </c>
      <c r="E191" s="141">
        <f>'H) Péréquation directe'!I202/C191</f>
        <v>16.367075401860344</v>
      </c>
      <c r="F191" s="116">
        <f>+'I) Dépenses thématiques'!O191/'J) Plafonnement effort'!C191</f>
        <v>0</v>
      </c>
      <c r="G191" s="141">
        <f t="shared" si="9"/>
        <v>36.240740458594779</v>
      </c>
      <c r="H191" s="316">
        <f t="shared" si="10"/>
        <v>0</v>
      </c>
      <c r="I191" s="58">
        <f t="shared" si="11"/>
        <v>0</v>
      </c>
      <c r="J191" s="34">
        <f t="shared" si="12"/>
        <v>36.240740458594779</v>
      </c>
    </row>
    <row r="192" spans="1:10" x14ac:dyDescent="0.25">
      <c r="A192" s="50">
        <f>'A) Base RI'!A194</f>
        <v>5715</v>
      </c>
      <c r="B192" s="301" t="str">
        <f>'A) Base RI'!B194</f>
        <v>Duillier</v>
      </c>
      <c r="C192" s="100">
        <f>'B) D RI'!U194</f>
        <v>77442.225909090921</v>
      </c>
      <c r="D192" s="116">
        <f>'E) Fact soc'!G198/C192</f>
        <v>23.30858772553146</v>
      </c>
      <c r="E192" s="141">
        <f>'H) Péréquation directe'!I203/C192</f>
        <v>16.522073563174882</v>
      </c>
      <c r="F192" s="116">
        <f>+'I) Dépenses thématiques'!O192/'J) Plafonnement effort'!C192</f>
        <v>0</v>
      </c>
      <c r="G192" s="141">
        <f t="shared" si="9"/>
        <v>39.830661288706338</v>
      </c>
      <c r="H192" s="316">
        <f t="shared" si="10"/>
        <v>0</v>
      </c>
      <c r="I192" s="58">
        <f t="shared" si="11"/>
        <v>0</v>
      </c>
      <c r="J192" s="34">
        <f t="shared" si="12"/>
        <v>39.830661288706338</v>
      </c>
    </row>
    <row r="193" spans="1:10" x14ac:dyDescent="0.25">
      <c r="A193" s="50">
        <f>'A) Base RI'!A195</f>
        <v>5716</v>
      </c>
      <c r="B193" s="301" t="str">
        <f>'A) Base RI'!B195</f>
        <v>Eysins</v>
      </c>
      <c r="C193" s="100">
        <f>'B) D RI'!U195</f>
        <v>175921.02901639344</v>
      </c>
      <c r="D193" s="116">
        <f>'E) Fact soc'!G199/C193</f>
        <v>29.365932216694809</v>
      </c>
      <c r="E193" s="141">
        <f>'H) Péréquation directe'!I204/C193</f>
        <v>15.028318871336133</v>
      </c>
      <c r="F193" s="116">
        <f>+'I) Dépenses thématiques'!O193/'J) Plafonnement effort'!C193</f>
        <v>0</v>
      </c>
      <c r="G193" s="141">
        <f t="shared" si="9"/>
        <v>44.394251088030941</v>
      </c>
      <c r="H193" s="316">
        <f t="shared" si="10"/>
        <v>0</v>
      </c>
      <c r="I193" s="58">
        <f t="shared" si="11"/>
        <v>0</v>
      </c>
      <c r="J193" s="34">
        <f t="shared" si="12"/>
        <v>44.394251088030941</v>
      </c>
    </row>
    <row r="194" spans="1:10" x14ac:dyDescent="0.25">
      <c r="A194" s="50">
        <f>'A) Base RI'!A196</f>
        <v>5717</v>
      </c>
      <c r="B194" s="301" t="str">
        <f>'A) Base RI'!B196</f>
        <v>Founex</v>
      </c>
      <c r="C194" s="100">
        <f>'B) D RI'!U196</f>
        <v>375994.09385964903</v>
      </c>
      <c r="D194" s="116">
        <f>'E) Fact soc'!G200/C194</f>
        <v>25.957297727818428</v>
      </c>
      <c r="E194" s="141">
        <f>'H) Péréquation directe'!I205/C194</f>
        <v>13.952484983323377</v>
      </c>
      <c r="F194" s="116">
        <f>+'I) Dépenses thématiques'!O194/'J) Plafonnement effort'!C194</f>
        <v>0</v>
      </c>
      <c r="G194" s="141">
        <f t="shared" si="9"/>
        <v>39.909782711141801</v>
      </c>
      <c r="H194" s="316">
        <f t="shared" si="10"/>
        <v>0</v>
      </c>
      <c r="I194" s="58">
        <f t="shared" si="11"/>
        <v>0</v>
      </c>
      <c r="J194" s="34">
        <f t="shared" si="12"/>
        <v>39.909782711141801</v>
      </c>
    </row>
    <row r="195" spans="1:10" x14ac:dyDescent="0.25">
      <c r="A195" s="50">
        <f>'A) Base RI'!A197</f>
        <v>5718</v>
      </c>
      <c r="B195" s="301" t="str">
        <f>'A) Base RI'!B197</f>
        <v>Genolier</v>
      </c>
      <c r="C195" s="100">
        <f>'B) D RI'!U197</f>
        <v>170544.41945454545</v>
      </c>
      <c r="D195" s="116">
        <f>'E) Fact soc'!G201/C195</f>
        <v>26.160253460767684</v>
      </c>
      <c r="E195" s="141">
        <f>'H) Péréquation directe'!I206/C195</f>
        <v>14.997932767321508</v>
      </c>
      <c r="F195" s="116">
        <f>+'I) Dépenses thématiques'!O195/'J) Plafonnement effort'!C195</f>
        <v>0</v>
      </c>
      <c r="G195" s="141">
        <f t="shared" si="9"/>
        <v>41.158186228089193</v>
      </c>
      <c r="H195" s="316">
        <f t="shared" si="10"/>
        <v>0</v>
      </c>
      <c r="I195" s="58">
        <f t="shared" si="11"/>
        <v>0</v>
      </c>
      <c r="J195" s="34">
        <f t="shared" si="12"/>
        <v>41.158186228089193</v>
      </c>
    </row>
    <row r="196" spans="1:10" x14ac:dyDescent="0.25">
      <c r="A196" s="50">
        <f>'A) Base RI'!A198</f>
        <v>5719</v>
      </c>
      <c r="B196" s="301" t="str">
        <f>'A) Base RI'!B198</f>
        <v>Gingins</v>
      </c>
      <c r="C196" s="100">
        <f>'B) D RI'!U198</f>
        <v>111319.72105263159</v>
      </c>
      <c r="D196" s="116">
        <f>'E) Fact soc'!G202/C196</f>
        <v>26.859939715078447</v>
      </c>
      <c r="E196" s="141">
        <f>'H) Péréquation directe'!I207/C196</f>
        <v>15.82269596009635</v>
      </c>
      <c r="F196" s="116">
        <f>+'I) Dépenses thématiques'!O196/'J) Plafonnement effort'!C196</f>
        <v>0</v>
      </c>
      <c r="G196" s="141">
        <f t="shared" si="9"/>
        <v>42.682635675174794</v>
      </c>
      <c r="H196" s="316">
        <f t="shared" si="10"/>
        <v>0</v>
      </c>
      <c r="I196" s="58">
        <f t="shared" si="11"/>
        <v>0</v>
      </c>
      <c r="J196" s="34">
        <f t="shared" si="12"/>
        <v>42.682635675174794</v>
      </c>
    </row>
    <row r="197" spans="1:10" x14ac:dyDescent="0.25">
      <c r="A197" s="50">
        <f>'A) Base RI'!A199</f>
        <v>5720</v>
      </c>
      <c r="B197" s="301" t="str">
        <f>'A) Base RI'!B199</f>
        <v>Givrins</v>
      </c>
      <c r="C197" s="100">
        <f>'B) D RI'!U199</f>
        <v>67017.929170812597</v>
      </c>
      <c r="D197" s="116">
        <f>'E) Fact soc'!G203/C197</f>
        <v>20.162520818201653</v>
      </c>
      <c r="E197" s="141">
        <f>'H) Péréquation directe'!I208/C197</f>
        <v>16.825547742900035</v>
      </c>
      <c r="F197" s="116">
        <f>+'I) Dépenses thématiques'!O197/'J) Plafonnement effort'!C197</f>
        <v>-0.40401203453430684</v>
      </c>
      <c r="G197" s="141">
        <f t="shared" si="9"/>
        <v>36.58405652656738</v>
      </c>
      <c r="H197" s="316">
        <f t="shared" si="10"/>
        <v>0</v>
      </c>
      <c r="I197" s="58">
        <f t="shared" si="11"/>
        <v>0</v>
      </c>
      <c r="J197" s="34">
        <f t="shared" si="12"/>
        <v>36.58405652656738</v>
      </c>
    </row>
    <row r="198" spans="1:10" x14ac:dyDescent="0.25">
      <c r="A198" s="50">
        <f>'A) Base RI'!A200</f>
        <v>5721</v>
      </c>
      <c r="B198" s="301" t="str">
        <f>'A) Base RI'!B200</f>
        <v>Gland</v>
      </c>
      <c r="C198" s="100">
        <f>'B) D RI'!U200</f>
        <v>654524.19695999997</v>
      </c>
      <c r="D198" s="116">
        <f>'E) Fact soc'!G204/C198</f>
        <v>17.816930437063249</v>
      </c>
      <c r="E198" s="141">
        <f>'H) Péréquation directe'!I209/C198</f>
        <v>6.9984600090995395</v>
      </c>
      <c r="F198" s="116">
        <f>+'I) Dépenses thématiques'!O198/'J) Plafonnement effort'!C198</f>
        <v>0</v>
      </c>
      <c r="G198" s="141">
        <f t="shared" ref="G198:G261" si="13">SUM(D198:F198)</f>
        <v>24.815390446162787</v>
      </c>
      <c r="H198" s="316">
        <f t="shared" ref="H198:H261" si="14">IF(G198&gt;H$4,H$4-G198,0)</f>
        <v>0</v>
      </c>
      <c r="I198" s="58">
        <f t="shared" ref="I198:I261" si="15">H198*C198</f>
        <v>0</v>
      </c>
      <c r="J198" s="34">
        <f t="shared" ref="J198:J261" si="16">G198+H198</f>
        <v>24.815390446162787</v>
      </c>
    </row>
    <row r="199" spans="1:10" x14ac:dyDescent="0.25">
      <c r="A199" s="50">
        <f>'A) Base RI'!A201</f>
        <v>5722</v>
      </c>
      <c r="B199" s="301" t="str">
        <f>'A) Base RI'!B201</f>
        <v>Grens</v>
      </c>
      <c r="C199" s="100">
        <f>'B) D RI'!U201</f>
        <v>22192.311451612903</v>
      </c>
      <c r="D199" s="116">
        <f>'E) Fact soc'!G205/C199</f>
        <v>15.755847126337816</v>
      </c>
      <c r="E199" s="141">
        <f>'H) Péréquation directe'!I210/C199</f>
        <v>17.146477479682016</v>
      </c>
      <c r="F199" s="116">
        <f>+'I) Dépenses thématiques'!O199/'J) Plafonnement effort'!C199</f>
        <v>0</v>
      </c>
      <c r="G199" s="141">
        <f t="shared" si="13"/>
        <v>32.902324606019832</v>
      </c>
      <c r="H199" s="316">
        <f t="shared" si="14"/>
        <v>0</v>
      </c>
      <c r="I199" s="58">
        <f t="shared" si="15"/>
        <v>0</v>
      </c>
      <c r="J199" s="34">
        <f t="shared" si="16"/>
        <v>32.902324606019832</v>
      </c>
    </row>
    <row r="200" spans="1:10" x14ac:dyDescent="0.25">
      <c r="A200" s="50">
        <f>'A) Base RI'!A202</f>
        <v>5723</v>
      </c>
      <c r="B200" s="301" t="str">
        <f>'A) Base RI'!B202</f>
        <v>Mies</v>
      </c>
      <c r="C200" s="100">
        <f>'B) D RI'!U202</f>
        <v>510478.2440816327</v>
      </c>
      <c r="D200" s="116">
        <f>'E) Fact soc'!G206/C200</f>
        <v>35.321398606469842</v>
      </c>
      <c r="E200" s="141">
        <f>'H) Péréquation directe'!I211/C200</f>
        <v>13.716574650506132</v>
      </c>
      <c r="F200" s="116">
        <f>+'I) Dépenses thématiques'!O200/'J) Plafonnement effort'!C200</f>
        <v>0</v>
      </c>
      <c r="G200" s="141">
        <f t="shared" si="13"/>
        <v>49.037973256975974</v>
      </c>
      <c r="H200" s="316">
        <f t="shared" si="14"/>
        <v>-4.0379732569759739</v>
      </c>
      <c r="I200" s="58">
        <f t="shared" si="15"/>
        <v>-2061297.4978696865</v>
      </c>
      <c r="J200" s="34">
        <f t="shared" si="16"/>
        <v>45</v>
      </c>
    </row>
    <row r="201" spans="1:10" x14ac:dyDescent="0.25">
      <c r="A201" s="50">
        <f>'A) Base RI'!A203</f>
        <v>5724</v>
      </c>
      <c r="B201" s="301" t="str">
        <f>'A) Base RI'!B203</f>
        <v>Nyon</v>
      </c>
      <c r="C201" s="100">
        <f>'B) D RI'!U203</f>
        <v>1338062.0693190417</v>
      </c>
      <c r="D201" s="116">
        <f>'E) Fact soc'!G207/C201</f>
        <v>21.260431821207536</v>
      </c>
      <c r="E201" s="141">
        <f>'H) Péréquation directe'!I212/C201</f>
        <v>6.4051963868469866</v>
      </c>
      <c r="F201" s="116">
        <f>+'I) Dépenses thématiques'!O201/'J) Plafonnement effort'!C201</f>
        <v>-0.4409228348955429</v>
      </c>
      <c r="G201" s="141">
        <f t="shared" si="13"/>
        <v>27.224705373158979</v>
      </c>
      <c r="H201" s="316">
        <f t="shared" si="14"/>
        <v>0</v>
      </c>
      <c r="I201" s="58">
        <f t="shared" si="15"/>
        <v>0</v>
      </c>
      <c r="J201" s="34">
        <f t="shared" si="16"/>
        <v>27.224705373158979</v>
      </c>
    </row>
    <row r="202" spans="1:10" x14ac:dyDescent="0.25">
      <c r="A202" s="50">
        <f>'A) Base RI'!A204</f>
        <v>5725</v>
      </c>
      <c r="B202" s="301" t="str">
        <f>'A) Base RI'!B204</f>
        <v>Prangins</v>
      </c>
      <c r="C202" s="100">
        <f>'B) D RI'!U204</f>
        <v>324834.78298469388</v>
      </c>
      <c r="D202" s="116">
        <f>'E) Fact soc'!G208/C202</f>
        <v>25.139085547443294</v>
      </c>
      <c r="E202" s="141">
        <f>'H) Péréquation directe'!I213/C202</f>
        <v>13.734265513640265</v>
      </c>
      <c r="F202" s="116">
        <f>+'I) Dépenses thématiques'!O202/'J) Plafonnement effort'!C202</f>
        <v>0</v>
      </c>
      <c r="G202" s="141">
        <f t="shared" si="13"/>
        <v>38.873351061083561</v>
      </c>
      <c r="H202" s="316">
        <f t="shared" si="14"/>
        <v>0</v>
      </c>
      <c r="I202" s="58">
        <f t="shared" si="15"/>
        <v>0</v>
      </c>
      <c r="J202" s="34">
        <f t="shared" si="16"/>
        <v>38.873351061083561</v>
      </c>
    </row>
    <row r="203" spans="1:10" x14ac:dyDescent="0.25">
      <c r="A203" s="50">
        <f>'A) Base RI'!A205</f>
        <v>5726</v>
      </c>
      <c r="B203" s="301" t="str">
        <f>'A) Base RI'!B205</f>
        <v>La Rippe</v>
      </c>
      <c r="C203" s="100">
        <f>'B) D RI'!U205</f>
        <v>59824.020307692314</v>
      </c>
      <c r="D203" s="116">
        <f>'E) Fact soc'!G209/C203</f>
        <v>15.605707838488849</v>
      </c>
      <c r="E203" s="141">
        <f>'H) Péréquation directe'!I214/C203</f>
        <v>16.370496087118518</v>
      </c>
      <c r="F203" s="116">
        <f>+'I) Dépenses thématiques'!O203/'J) Plafonnement effort'!C203</f>
        <v>-0.38509147657354781</v>
      </c>
      <c r="G203" s="141">
        <f t="shared" si="13"/>
        <v>31.591112449033815</v>
      </c>
      <c r="H203" s="316">
        <f t="shared" si="14"/>
        <v>0</v>
      </c>
      <c r="I203" s="58">
        <f t="shared" si="15"/>
        <v>0</v>
      </c>
      <c r="J203" s="34">
        <f t="shared" si="16"/>
        <v>31.591112449033815</v>
      </c>
    </row>
    <row r="204" spans="1:10" x14ac:dyDescent="0.25">
      <c r="A204" s="50">
        <f>'A) Base RI'!A206</f>
        <v>5727</v>
      </c>
      <c r="B204" s="301" t="str">
        <f>'A) Base RI'!B206</f>
        <v>Saint-Cergue</v>
      </c>
      <c r="C204" s="100">
        <f>'B) D RI'!U206</f>
        <v>84748.014494949501</v>
      </c>
      <c r="D204" s="116">
        <f>'E) Fact soc'!G210/C204</f>
        <v>18.300009981270652</v>
      </c>
      <c r="E204" s="141">
        <f>'H) Péréquation directe'!I215/C204</f>
        <v>4.8128560907849209</v>
      </c>
      <c r="F204" s="116">
        <f>+'I) Dépenses thématiques'!O204/'J) Plafonnement effort'!C204</f>
        <v>-3.1154114050577482</v>
      </c>
      <c r="G204" s="141">
        <f t="shared" si="13"/>
        <v>19.997454666997825</v>
      </c>
      <c r="H204" s="316">
        <f t="shared" si="14"/>
        <v>0</v>
      </c>
      <c r="I204" s="58">
        <f t="shared" si="15"/>
        <v>0</v>
      </c>
      <c r="J204" s="34">
        <f t="shared" si="16"/>
        <v>19.997454666997825</v>
      </c>
    </row>
    <row r="205" spans="1:10" x14ac:dyDescent="0.25">
      <c r="A205" s="50">
        <f>'A) Base RI'!A207</f>
        <v>5728</v>
      </c>
      <c r="B205" s="301" t="str">
        <f>'A) Base RI'!B207</f>
        <v>Signy-Avenex</v>
      </c>
      <c r="C205" s="100">
        <f>'B) D RI'!U207</f>
        <v>44702.007068965519</v>
      </c>
      <c r="D205" s="116">
        <f>'E) Fact soc'!G211/C205</f>
        <v>23.582583360157962</v>
      </c>
      <c r="E205" s="141">
        <f>'H) Péréquation directe'!I216/C205</f>
        <v>16.676792249277451</v>
      </c>
      <c r="F205" s="116">
        <f>+'I) Dépenses thématiques'!O205/'J) Plafonnement effort'!C205</f>
        <v>0</v>
      </c>
      <c r="G205" s="141">
        <f t="shared" si="13"/>
        <v>40.259375609435409</v>
      </c>
      <c r="H205" s="316">
        <f t="shared" si="14"/>
        <v>0</v>
      </c>
      <c r="I205" s="58">
        <f t="shared" si="15"/>
        <v>0</v>
      </c>
      <c r="J205" s="34">
        <f t="shared" si="16"/>
        <v>40.259375609435409</v>
      </c>
    </row>
    <row r="206" spans="1:10" x14ac:dyDescent="0.25">
      <c r="A206" s="50">
        <f>'A) Base RI'!A208</f>
        <v>5729</v>
      </c>
      <c r="B206" s="301" t="str">
        <f>'A) Base RI'!B208</f>
        <v>Tannay</v>
      </c>
      <c r="C206" s="100">
        <f>'B) D RI'!U208</f>
        <v>146853.68284153001</v>
      </c>
      <c r="D206" s="116">
        <f>'E) Fact soc'!G212/C206</f>
        <v>25.481910981601434</v>
      </c>
      <c r="E206" s="141">
        <f>'H) Péréquation directe'!I217/C206</f>
        <v>15.29543663182522</v>
      </c>
      <c r="F206" s="116">
        <f>+'I) Dépenses thématiques'!O206/'J) Plafonnement effort'!C206</f>
        <v>0</v>
      </c>
      <c r="G206" s="141">
        <f t="shared" si="13"/>
        <v>40.777347613426656</v>
      </c>
      <c r="H206" s="316">
        <f t="shared" si="14"/>
        <v>0</v>
      </c>
      <c r="I206" s="58">
        <f t="shared" si="15"/>
        <v>0</v>
      </c>
      <c r="J206" s="34">
        <f t="shared" si="16"/>
        <v>40.777347613426656</v>
      </c>
    </row>
    <row r="207" spans="1:10" x14ac:dyDescent="0.25">
      <c r="A207" s="50">
        <f>'A) Base RI'!A209</f>
        <v>5730</v>
      </c>
      <c r="B207" s="301" t="str">
        <f>'A) Base RI'!B209</f>
        <v>Trélex</v>
      </c>
      <c r="C207" s="100">
        <f>'B) D RI'!U209</f>
        <v>160027.19017543856</v>
      </c>
      <c r="D207" s="116">
        <f>'E) Fact soc'!G213/C207</f>
        <v>28.357791261775262</v>
      </c>
      <c r="E207" s="141">
        <f>'H) Péréquation directe'!I218/C207</f>
        <v>15.171830966210123</v>
      </c>
      <c r="F207" s="116">
        <f>+'I) Dépenses thématiques'!O207/'J) Plafonnement effort'!C207</f>
        <v>0</v>
      </c>
      <c r="G207" s="141">
        <f t="shared" si="13"/>
        <v>43.529622227985385</v>
      </c>
      <c r="H207" s="316">
        <f t="shared" si="14"/>
        <v>0</v>
      </c>
      <c r="I207" s="58">
        <f t="shared" si="15"/>
        <v>0</v>
      </c>
      <c r="J207" s="34">
        <f t="shared" si="16"/>
        <v>43.529622227985385</v>
      </c>
    </row>
    <row r="208" spans="1:10" x14ac:dyDescent="0.25">
      <c r="A208" s="50">
        <f>'A) Base RI'!A210</f>
        <v>5731</v>
      </c>
      <c r="B208" s="301" t="str">
        <f>'A) Base RI'!B210</f>
        <v>Le Vaud</v>
      </c>
      <c r="C208" s="100">
        <f>'B) D RI'!U210</f>
        <v>52834.667955555553</v>
      </c>
      <c r="D208" s="116">
        <f>'E) Fact soc'!G214/C208</f>
        <v>21.669787649208978</v>
      </c>
      <c r="E208" s="141">
        <f>'H) Péréquation directe'!I219/C208</f>
        <v>12.188220122619882</v>
      </c>
      <c r="F208" s="116">
        <f>+'I) Dépenses thématiques'!O208/'J) Plafonnement effort'!C208</f>
        <v>-2.0442643213520588</v>
      </c>
      <c r="G208" s="141">
        <f t="shared" si="13"/>
        <v>31.8137434504768</v>
      </c>
      <c r="H208" s="316">
        <f t="shared" si="14"/>
        <v>0</v>
      </c>
      <c r="I208" s="58">
        <f t="shared" si="15"/>
        <v>0</v>
      </c>
      <c r="J208" s="34">
        <f t="shared" si="16"/>
        <v>31.8137434504768</v>
      </c>
    </row>
    <row r="209" spans="1:10" x14ac:dyDescent="0.25">
      <c r="A209" s="50">
        <f>'A) Base RI'!A211</f>
        <v>5732</v>
      </c>
      <c r="B209" s="301" t="str">
        <f>'A) Base RI'!B211</f>
        <v>Vich</v>
      </c>
      <c r="C209" s="100">
        <f>'B) D RI'!U211</f>
        <v>64551.747164179098</v>
      </c>
      <c r="D209" s="116">
        <f>'E) Fact soc'!G215/C209</f>
        <v>23.15909873825634</v>
      </c>
      <c r="E209" s="141">
        <f>'H) Péréquation directe'!I220/C209</f>
        <v>16.858848208502049</v>
      </c>
      <c r="F209" s="116">
        <f>+'I) Dépenses thématiques'!O209/'J) Plafonnement effort'!C209</f>
        <v>0</v>
      </c>
      <c r="G209" s="141">
        <f t="shared" si="13"/>
        <v>40.017946946758386</v>
      </c>
      <c r="H209" s="316">
        <f t="shared" si="14"/>
        <v>0</v>
      </c>
      <c r="I209" s="58">
        <f t="shared" si="15"/>
        <v>0</v>
      </c>
      <c r="J209" s="34">
        <f t="shared" si="16"/>
        <v>40.017946946758386</v>
      </c>
    </row>
    <row r="210" spans="1:10" x14ac:dyDescent="0.25">
      <c r="A210" s="50">
        <f>'A) Base RI'!A212</f>
        <v>5741</v>
      </c>
      <c r="B210" s="301" t="str">
        <f>'A) Base RI'!B212</f>
        <v>L'Abergement</v>
      </c>
      <c r="C210" s="100">
        <f>'B) D RI'!U212</f>
        <v>7464.3302469135806</v>
      </c>
      <c r="D210" s="116">
        <f>'E) Fact soc'!G216/C210</f>
        <v>17.822052897536221</v>
      </c>
      <c r="E210" s="141">
        <f>'H) Péréquation directe'!I221/C210</f>
        <v>2.7107744070946276</v>
      </c>
      <c r="F210" s="116">
        <f>+'I) Dépenses thématiques'!O210/'J) Plafonnement effort'!C210</f>
        <v>-15.311681188197397</v>
      </c>
      <c r="G210" s="141">
        <f t="shared" si="13"/>
        <v>5.2211461164334523</v>
      </c>
      <c r="H210" s="316">
        <f t="shared" si="14"/>
        <v>0</v>
      </c>
      <c r="I210" s="58">
        <f t="shared" si="15"/>
        <v>0</v>
      </c>
      <c r="J210" s="34">
        <f t="shared" si="16"/>
        <v>5.2211461164334523</v>
      </c>
    </row>
    <row r="211" spans="1:10" x14ac:dyDescent="0.25">
      <c r="A211" s="50">
        <f>'A) Base RI'!A213</f>
        <v>5742</v>
      </c>
      <c r="B211" s="301" t="str">
        <f>'A) Base RI'!B213</f>
        <v>Agiez</v>
      </c>
      <c r="C211" s="100">
        <f>'B) D RI'!U213</f>
        <v>9132.5030263157914</v>
      </c>
      <c r="D211" s="116">
        <f>'E) Fact soc'!G217/C211</f>
        <v>15.834717485630616</v>
      </c>
      <c r="E211" s="141">
        <f>'H) Péréquation directe'!I222/C211</f>
        <v>1.3348420118930169</v>
      </c>
      <c r="F211" s="116">
        <f>+'I) Dépenses thématiques'!O211/'J) Plafonnement effort'!C211</f>
        <v>-0.67498834597864077</v>
      </c>
      <c r="G211" s="141">
        <f t="shared" si="13"/>
        <v>16.494571151544992</v>
      </c>
      <c r="H211" s="316">
        <f t="shared" si="14"/>
        <v>0</v>
      </c>
      <c r="I211" s="58">
        <f t="shared" si="15"/>
        <v>0</v>
      </c>
      <c r="J211" s="34">
        <f t="shared" si="16"/>
        <v>16.494571151544992</v>
      </c>
    </row>
    <row r="212" spans="1:10" x14ac:dyDescent="0.25">
      <c r="A212" s="50">
        <f>'A) Base RI'!A214</f>
        <v>5743</v>
      </c>
      <c r="B212" s="301" t="str">
        <f>'A) Base RI'!B214</f>
        <v>Arnex-sur-Orbe</v>
      </c>
      <c r="C212" s="100">
        <f>'B) D RI'!U214</f>
        <v>18362.90517123288</v>
      </c>
      <c r="D212" s="116">
        <f>'E) Fact soc'!G218/C212</f>
        <v>22.805869657668751</v>
      </c>
      <c r="E212" s="141">
        <f>'H) Péréquation directe'!I223/C212</f>
        <v>3.9440224170741369</v>
      </c>
      <c r="F212" s="116">
        <f>+'I) Dépenses thématiques'!O212/'J) Plafonnement effort'!C212</f>
        <v>-3.3026537821713111</v>
      </c>
      <c r="G212" s="141">
        <f t="shared" si="13"/>
        <v>23.447238292571576</v>
      </c>
      <c r="H212" s="316">
        <f t="shared" si="14"/>
        <v>0</v>
      </c>
      <c r="I212" s="58">
        <f t="shared" si="15"/>
        <v>0</v>
      </c>
      <c r="J212" s="34">
        <f t="shared" si="16"/>
        <v>23.447238292571576</v>
      </c>
    </row>
    <row r="213" spans="1:10" x14ac:dyDescent="0.25">
      <c r="A213" s="50">
        <f>'A) Base RI'!A215</f>
        <v>5744</v>
      </c>
      <c r="B213" s="301" t="str">
        <f>'A) Base RI'!B215</f>
        <v>Ballaigues</v>
      </c>
      <c r="C213" s="100">
        <f>'B) D RI'!U215</f>
        <v>46015.380909090905</v>
      </c>
      <c r="D213" s="116">
        <f>'E) Fact soc'!G219/C213</f>
        <v>24.122077488755391</v>
      </c>
      <c r="E213" s="141">
        <f>'H) Péréquation directe'!I224/C213</f>
        <v>15.328095224619592</v>
      </c>
      <c r="F213" s="116">
        <f>+'I) Dépenses thématiques'!O213/'J) Plafonnement effort'!C213</f>
        <v>-9.1769082976761887</v>
      </c>
      <c r="G213" s="141">
        <f t="shared" si="13"/>
        <v>30.273264415698794</v>
      </c>
      <c r="H213" s="316">
        <f t="shared" si="14"/>
        <v>0</v>
      </c>
      <c r="I213" s="58">
        <f t="shared" si="15"/>
        <v>0</v>
      </c>
      <c r="J213" s="34">
        <f t="shared" si="16"/>
        <v>30.273264415698794</v>
      </c>
    </row>
    <row r="214" spans="1:10" x14ac:dyDescent="0.25">
      <c r="A214" s="50">
        <f>'A) Base RI'!A216</f>
        <v>5745</v>
      </c>
      <c r="B214" s="301" t="str">
        <f>'A) Base RI'!B216</f>
        <v>Baulmes</v>
      </c>
      <c r="C214" s="100">
        <f>'B) D RI'!U216</f>
        <v>27038.675769230769</v>
      </c>
      <c r="D214" s="116">
        <f>'E) Fact soc'!G220/C214</f>
        <v>22.530498260389226</v>
      </c>
      <c r="E214" s="141">
        <f>'H) Péréquation directe'!I225/C214</f>
        <v>-2.2512344205676635</v>
      </c>
      <c r="F214" s="116">
        <f>+'I) Dépenses thématiques'!O214/'J) Plafonnement effort'!C214</f>
        <v>-10.203446002523378</v>
      </c>
      <c r="G214" s="141">
        <f t="shared" si="13"/>
        <v>10.075817837298185</v>
      </c>
      <c r="H214" s="316">
        <f t="shared" si="14"/>
        <v>0</v>
      </c>
      <c r="I214" s="58">
        <f t="shared" si="15"/>
        <v>0</v>
      </c>
      <c r="J214" s="34">
        <f t="shared" si="16"/>
        <v>10.075817837298185</v>
      </c>
    </row>
    <row r="215" spans="1:10" x14ac:dyDescent="0.25">
      <c r="A215" s="50">
        <f>'A) Base RI'!A217</f>
        <v>5746</v>
      </c>
      <c r="B215" s="301" t="str">
        <f>'A) Base RI'!B217</f>
        <v>Bavois</v>
      </c>
      <c r="C215" s="100">
        <f>'B) D RI'!U217</f>
        <v>26753.53392694064</v>
      </c>
      <c r="D215" s="116">
        <f>'E) Fact soc'!G221/C215</f>
        <v>17.312810774870854</v>
      </c>
      <c r="E215" s="141">
        <f>'H) Péréquation directe'!I226/C215</f>
        <v>3.0513022150086719</v>
      </c>
      <c r="F215" s="116">
        <f>+'I) Dépenses thématiques'!O215/'J) Plafonnement effort'!C215</f>
        <v>-8.0392877217466836</v>
      </c>
      <c r="G215" s="141">
        <f t="shared" si="13"/>
        <v>12.324825268132843</v>
      </c>
      <c r="H215" s="316">
        <f t="shared" si="14"/>
        <v>0</v>
      </c>
      <c r="I215" s="58">
        <f t="shared" si="15"/>
        <v>0</v>
      </c>
      <c r="J215" s="34">
        <f t="shared" si="16"/>
        <v>12.324825268132843</v>
      </c>
    </row>
    <row r="216" spans="1:10" x14ac:dyDescent="0.25">
      <c r="A216" s="50">
        <f>'A) Base RI'!A218</f>
        <v>5747</v>
      </c>
      <c r="B216" s="301" t="str">
        <f>'A) Base RI'!B218</f>
        <v>Bofflens</v>
      </c>
      <c r="C216" s="100">
        <f>'B) D RI'!U218</f>
        <v>4985.4308695652171</v>
      </c>
      <c r="D216" s="116">
        <f>'E) Fact soc'!G222/C216</f>
        <v>18.544957786155912</v>
      </c>
      <c r="E216" s="141">
        <f>'H) Péréquation directe'!I227/C216</f>
        <v>0.46838463020306204</v>
      </c>
      <c r="F216" s="116">
        <f>+'I) Dépenses thématiques'!O216/'J) Plafonnement effort'!C216</f>
        <v>-7.0330800636558832</v>
      </c>
      <c r="G216" s="141">
        <f t="shared" si="13"/>
        <v>11.98026235270309</v>
      </c>
      <c r="H216" s="316">
        <f t="shared" si="14"/>
        <v>0</v>
      </c>
      <c r="I216" s="58">
        <f t="shared" si="15"/>
        <v>0</v>
      </c>
      <c r="J216" s="34">
        <f t="shared" si="16"/>
        <v>11.98026235270309</v>
      </c>
    </row>
    <row r="217" spans="1:10" x14ac:dyDescent="0.25">
      <c r="A217" s="50">
        <f>'A) Base RI'!A219</f>
        <v>5748</v>
      </c>
      <c r="B217" s="301" t="str">
        <f>'A) Base RI'!B219</f>
        <v>Bretonnières</v>
      </c>
      <c r="C217" s="100">
        <f>'B) D RI'!U219</f>
        <v>5553.3427314814826</v>
      </c>
      <c r="D217" s="116">
        <f>'E) Fact soc'!G223/C217</f>
        <v>18.909314917455493</v>
      </c>
      <c r="E217" s="141">
        <f>'H) Péréquation directe'!I228/C217</f>
        <v>-9.4618597340974659</v>
      </c>
      <c r="F217" s="116">
        <f>+'I) Dépenses thématiques'!O217/'J) Plafonnement effort'!C217</f>
        <v>-9.121282122241718</v>
      </c>
      <c r="G217" s="141">
        <f t="shared" si="13"/>
        <v>0.32617306111630917</v>
      </c>
      <c r="H217" s="316">
        <f t="shared" si="14"/>
        <v>0</v>
      </c>
      <c r="I217" s="58">
        <f t="shared" si="15"/>
        <v>0</v>
      </c>
      <c r="J217" s="34">
        <f t="shared" si="16"/>
        <v>0.32617306111630917</v>
      </c>
    </row>
    <row r="218" spans="1:10" x14ac:dyDescent="0.25">
      <c r="A218" s="50">
        <f>'A) Base RI'!A220</f>
        <v>5749</v>
      </c>
      <c r="B218" s="301" t="str">
        <f>'A) Base RI'!B220</f>
        <v>Chavornay</v>
      </c>
      <c r="C218" s="100">
        <f>'B) D RI'!U220</f>
        <v>140775.19611111109</v>
      </c>
      <c r="D218" s="116">
        <f>'E) Fact soc'!G224/C218</f>
        <v>17.41390340589097</v>
      </c>
      <c r="E218" s="141">
        <f>'H) Péréquation directe'!I229/C218</f>
        <v>-6.1114280417076134</v>
      </c>
      <c r="F218" s="116">
        <f>+'I) Dépenses thématiques'!O218/'J) Plafonnement effort'!C218</f>
        <v>-3.0919902039312763</v>
      </c>
      <c r="G218" s="141">
        <f t="shared" si="13"/>
        <v>8.2104851602520803</v>
      </c>
      <c r="H218" s="316">
        <f t="shared" si="14"/>
        <v>0</v>
      </c>
      <c r="I218" s="58">
        <f t="shared" si="15"/>
        <v>0</v>
      </c>
      <c r="J218" s="34">
        <f t="shared" si="16"/>
        <v>8.2104851602520803</v>
      </c>
    </row>
    <row r="219" spans="1:10" x14ac:dyDescent="0.25">
      <c r="A219" s="50">
        <f>'A) Base RI'!A221</f>
        <v>5750</v>
      </c>
      <c r="B219" s="301" t="str">
        <f>'A) Base RI'!B221</f>
        <v>Les Clées</v>
      </c>
      <c r="C219" s="100">
        <f>'B) D RI'!U221</f>
        <v>5155.3168750000004</v>
      </c>
      <c r="D219" s="116">
        <f>'E) Fact soc'!G225/C219</f>
        <v>14.648061385363652</v>
      </c>
      <c r="E219" s="141">
        <f>'H) Péréquation directe'!I230/C219</f>
        <v>-0.28361378864412429</v>
      </c>
      <c r="F219" s="116">
        <f>+'I) Dépenses thématiques'!O219/'J) Plafonnement effort'!C219</f>
        <v>-9.0498596039904555</v>
      </c>
      <c r="G219" s="141">
        <f t="shared" si="13"/>
        <v>5.3145879927290718</v>
      </c>
      <c r="H219" s="316">
        <f t="shared" si="14"/>
        <v>0</v>
      </c>
      <c r="I219" s="58">
        <f t="shared" si="15"/>
        <v>0</v>
      </c>
      <c r="J219" s="34">
        <f t="shared" si="16"/>
        <v>5.3145879927290718</v>
      </c>
    </row>
    <row r="220" spans="1:10" x14ac:dyDescent="0.25">
      <c r="A220" s="50">
        <f>'A) Base RI'!A222</f>
        <v>5752</v>
      </c>
      <c r="B220" s="301" t="str">
        <f>'A) Base RI'!B222</f>
        <v>Croy</v>
      </c>
      <c r="C220" s="100">
        <f>'B) D RI'!U222</f>
        <v>10753.005424710425</v>
      </c>
      <c r="D220" s="116">
        <f>'E) Fact soc'!G226/C220</f>
        <v>17.127591323283408</v>
      </c>
      <c r="E220" s="141">
        <f>'H) Péréquation directe'!I231/C220</f>
        <v>0.16041473888797109</v>
      </c>
      <c r="F220" s="116">
        <f>+'I) Dépenses thématiques'!O220/'J) Plafonnement effort'!C220</f>
        <v>-12.956468037752524</v>
      </c>
      <c r="G220" s="141">
        <f t="shared" si="13"/>
        <v>4.3315380244188564</v>
      </c>
      <c r="H220" s="316">
        <f t="shared" si="14"/>
        <v>0</v>
      </c>
      <c r="I220" s="58">
        <f t="shared" si="15"/>
        <v>0</v>
      </c>
      <c r="J220" s="34">
        <f t="shared" si="16"/>
        <v>4.3315380244188564</v>
      </c>
    </row>
    <row r="221" spans="1:10" x14ac:dyDescent="0.25">
      <c r="A221" s="50">
        <f>'A) Base RI'!A223</f>
        <v>5754</v>
      </c>
      <c r="B221" s="301" t="str">
        <f>'A) Base RI'!B223</f>
        <v>Juriens</v>
      </c>
      <c r="C221" s="100">
        <f>'B) D RI'!U223</f>
        <v>8035.95670886076</v>
      </c>
      <c r="D221" s="116">
        <f>'E) Fact soc'!G227/C221</f>
        <v>15.221118421756172</v>
      </c>
      <c r="E221" s="141">
        <f>'H) Péréquation directe'!I232/C221</f>
        <v>-2.8652110876400032</v>
      </c>
      <c r="F221" s="116">
        <f>+'I) Dépenses thématiques'!O221/'J) Plafonnement effort'!C221</f>
        <v>-2.940438287465037</v>
      </c>
      <c r="G221" s="141">
        <f t="shared" si="13"/>
        <v>9.4154690466511308</v>
      </c>
      <c r="H221" s="316">
        <f t="shared" si="14"/>
        <v>0</v>
      </c>
      <c r="I221" s="58">
        <f t="shared" si="15"/>
        <v>0</v>
      </c>
      <c r="J221" s="34">
        <f t="shared" si="16"/>
        <v>9.4154690466511308</v>
      </c>
    </row>
    <row r="222" spans="1:10" x14ac:dyDescent="0.25">
      <c r="A222" s="50">
        <f>'A) Base RI'!A224</f>
        <v>5755</v>
      </c>
      <c r="B222" s="301" t="str">
        <f>'A) Base RI'!B224</f>
        <v>Lignerolle</v>
      </c>
      <c r="C222" s="100">
        <f>'B) D RI'!U224</f>
        <v>9584.7876607142862</v>
      </c>
      <c r="D222" s="116">
        <f>'E) Fact soc'!G228/C222</f>
        <v>16.843005795451994</v>
      </c>
      <c r="E222" s="141">
        <f>'H) Péréquation directe'!I233/C222</f>
        <v>-10.420678658408557</v>
      </c>
      <c r="F222" s="116">
        <f>+'I) Dépenses thématiques'!O222/'J) Plafonnement effort'!C222</f>
        <v>-17.13612099290636</v>
      </c>
      <c r="G222" s="141">
        <f t="shared" si="13"/>
        <v>-10.713793855862923</v>
      </c>
      <c r="H222" s="316">
        <f t="shared" si="14"/>
        <v>0</v>
      </c>
      <c r="I222" s="58">
        <f t="shared" si="15"/>
        <v>0</v>
      </c>
      <c r="J222" s="34">
        <f t="shared" si="16"/>
        <v>-10.713793855862923</v>
      </c>
    </row>
    <row r="223" spans="1:10" x14ac:dyDescent="0.25">
      <c r="A223" s="50">
        <f>'A) Base RI'!A225</f>
        <v>5756</v>
      </c>
      <c r="B223" s="301" t="str">
        <f>'A) Base RI'!B225</f>
        <v>Montcherand</v>
      </c>
      <c r="C223" s="100">
        <f>'B) D RI'!U225</f>
        <v>15844.670555555553</v>
      </c>
      <c r="D223" s="116">
        <f>'E) Fact soc'!G229/C223</f>
        <v>15.546096397258768</v>
      </c>
      <c r="E223" s="141">
        <f>'H) Péréquation directe'!I234/C223</f>
        <v>7.8561855242709369</v>
      </c>
      <c r="F223" s="116">
        <f>+'I) Dépenses thématiques'!O223/'J) Plafonnement effort'!C223</f>
        <v>-3.8302943881003362</v>
      </c>
      <c r="G223" s="141">
        <f t="shared" si="13"/>
        <v>19.571987533429372</v>
      </c>
      <c r="H223" s="316">
        <f t="shared" si="14"/>
        <v>0</v>
      </c>
      <c r="I223" s="58">
        <f t="shared" si="15"/>
        <v>0</v>
      </c>
      <c r="J223" s="34">
        <f t="shared" si="16"/>
        <v>19.571987533429372</v>
      </c>
    </row>
    <row r="224" spans="1:10" x14ac:dyDescent="0.25">
      <c r="A224" s="50">
        <f>'A) Base RI'!A226</f>
        <v>5757</v>
      </c>
      <c r="B224" s="301" t="str">
        <f>'A) Base RI'!B226</f>
        <v>Orbe</v>
      </c>
      <c r="C224" s="100">
        <f>'B) D RI'!U226</f>
        <v>227545.70272727273</v>
      </c>
      <c r="D224" s="116">
        <f>'E) Fact soc'!G230/C224</f>
        <v>20.880814612129008</v>
      </c>
      <c r="E224" s="141">
        <f>'H) Péréquation directe'!I235/C224</f>
        <v>-2.8591085285109115</v>
      </c>
      <c r="F224" s="116">
        <f>+'I) Dépenses thématiques'!O224/'J) Plafonnement effort'!C224</f>
        <v>-5.6892932644419734</v>
      </c>
      <c r="G224" s="141">
        <f t="shared" si="13"/>
        <v>12.332412819176122</v>
      </c>
      <c r="H224" s="316">
        <f t="shared" si="14"/>
        <v>0</v>
      </c>
      <c r="I224" s="58">
        <f t="shared" si="15"/>
        <v>0</v>
      </c>
      <c r="J224" s="34">
        <f t="shared" si="16"/>
        <v>12.332412819176122</v>
      </c>
    </row>
    <row r="225" spans="1:10" x14ac:dyDescent="0.25">
      <c r="A225" s="50">
        <f>'A) Base RI'!A227</f>
        <v>5758</v>
      </c>
      <c r="B225" s="301" t="str">
        <f>'A) Base RI'!B227</f>
        <v>La Praz</v>
      </c>
      <c r="C225" s="100">
        <f>'B) D RI'!U227</f>
        <v>4452.397389558233</v>
      </c>
      <c r="D225" s="116">
        <f>'E) Fact soc'!G231/C225</f>
        <v>21.961936188492768</v>
      </c>
      <c r="E225" s="141">
        <f>'H) Péréquation directe'!I236/C225</f>
        <v>-3.0451062861889615</v>
      </c>
      <c r="F225" s="116">
        <f>+'I) Dépenses thématiques'!O225/'J) Plafonnement effort'!C225</f>
        <v>-5.1743194029425839</v>
      </c>
      <c r="G225" s="141">
        <f t="shared" si="13"/>
        <v>13.742510499361224</v>
      </c>
      <c r="H225" s="316">
        <f t="shared" si="14"/>
        <v>0</v>
      </c>
      <c r="I225" s="58">
        <f t="shared" si="15"/>
        <v>0</v>
      </c>
      <c r="J225" s="34">
        <f t="shared" si="16"/>
        <v>13.742510499361224</v>
      </c>
    </row>
    <row r="226" spans="1:10" x14ac:dyDescent="0.25">
      <c r="A226" s="50">
        <f>'A) Base RI'!A228</f>
        <v>5759</v>
      </c>
      <c r="B226" s="301" t="str">
        <f>'A) Base RI'!B228</f>
        <v>Premier</v>
      </c>
      <c r="C226" s="100">
        <f>'B) D RI'!U228</f>
        <v>4744.6671604938274</v>
      </c>
      <c r="D226" s="116">
        <f>'E) Fact soc'!G232/C226</f>
        <v>21.081796743100174</v>
      </c>
      <c r="E226" s="141">
        <f>'H) Péréquation directe'!I237/C226</f>
        <v>-12.150680829519326</v>
      </c>
      <c r="F226" s="116">
        <f>+'I) Dépenses thématiques'!O226/'J) Plafonnement effort'!C226</f>
        <v>-14.535667997606106</v>
      </c>
      <c r="G226" s="141">
        <f t="shared" si="13"/>
        <v>-5.6045520840252578</v>
      </c>
      <c r="H226" s="316">
        <f t="shared" si="14"/>
        <v>0</v>
      </c>
      <c r="I226" s="58">
        <f t="shared" si="15"/>
        <v>0</v>
      </c>
      <c r="J226" s="34">
        <f t="shared" si="16"/>
        <v>-5.6045520840252578</v>
      </c>
    </row>
    <row r="227" spans="1:10" x14ac:dyDescent="0.25">
      <c r="A227" s="50">
        <f>'A) Base RI'!A229</f>
        <v>5760</v>
      </c>
      <c r="B227" s="301" t="str">
        <f>'A) Base RI'!B229</f>
        <v>Rances</v>
      </c>
      <c r="C227" s="100">
        <f>'B) D RI'!U229</f>
        <v>11427.8147008547</v>
      </c>
      <c r="D227" s="116">
        <f>'E) Fact soc'!G233/C227</f>
        <v>18.409785729801889</v>
      </c>
      <c r="E227" s="141">
        <f>'H) Péréquation directe'!I238/C227</f>
        <v>-6.9872650090101081</v>
      </c>
      <c r="F227" s="116">
        <f>+'I) Dépenses thématiques'!O227/'J) Plafonnement effort'!C227</f>
        <v>-11.47401071472539</v>
      </c>
      <c r="G227" s="141">
        <f t="shared" si="13"/>
        <v>-5.1489993933609313E-2</v>
      </c>
      <c r="H227" s="316">
        <f t="shared" si="14"/>
        <v>0</v>
      </c>
      <c r="I227" s="58">
        <f t="shared" si="15"/>
        <v>0</v>
      </c>
      <c r="J227" s="34">
        <f t="shared" si="16"/>
        <v>-5.1489993933609313E-2</v>
      </c>
    </row>
    <row r="228" spans="1:10" x14ac:dyDescent="0.25">
      <c r="A228" s="50">
        <f>'A) Base RI'!A230</f>
        <v>5761</v>
      </c>
      <c r="B228" s="301" t="str">
        <f>'A) Base RI'!B230</f>
        <v>Romainmôtier-Envy</v>
      </c>
      <c r="C228" s="100">
        <f>'B) D RI'!U230</f>
        <v>14843.375263748598</v>
      </c>
      <c r="D228" s="116">
        <f>'E) Fact soc'!G234/C228</f>
        <v>18.515625722203389</v>
      </c>
      <c r="E228" s="141">
        <f>'H) Péréquation directe'!I239/C228</f>
        <v>-1.3080229344389946</v>
      </c>
      <c r="F228" s="116">
        <f>+'I) Dépenses thématiques'!O228/'J) Plafonnement effort'!C228</f>
        <v>-6.6724108089535266</v>
      </c>
      <c r="G228" s="141">
        <f t="shared" si="13"/>
        <v>10.535191978810868</v>
      </c>
      <c r="H228" s="316">
        <f t="shared" si="14"/>
        <v>0</v>
      </c>
      <c r="I228" s="58">
        <f t="shared" si="15"/>
        <v>0</v>
      </c>
      <c r="J228" s="34">
        <f t="shared" si="16"/>
        <v>10.535191978810868</v>
      </c>
    </row>
    <row r="229" spans="1:10" x14ac:dyDescent="0.25">
      <c r="A229" s="50">
        <f>'A) Base RI'!A231</f>
        <v>5762</v>
      </c>
      <c r="B229" s="301" t="str">
        <f>'A) Base RI'!B231</f>
        <v>Sergey</v>
      </c>
      <c r="C229" s="100">
        <f>'B) D RI'!U231</f>
        <v>3817.1048717948711</v>
      </c>
      <c r="D229" s="116">
        <f>'E) Fact soc'!G235/C229</f>
        <v>15.189000589929917</v>
      </c>
      <c r="E229" s="141">
        <f>'H) Péréquation directe'!I240/C229</f>
        <v>-2.3182527303196947</v>
      </c>
      <c r="F229" s="116">
        <f>+'I) Dépenses thématiques'!O229/'J) Plafonnement effort'!C229</f>
        <v>-4.9134486026380637</v>
      </c>
      <c r="G229" s="141">
        <f t="shared" si="13"/>
        <v>7.957299256972159</v>
      </c>
      <c r="H229" s="316">
        <f t="shared" si="14"/>
        <v>0</v>
      </c>
      <c r="I229" s="58">
        <f t="shared" si="15"/>
        <v>0</v>
      </c>
      <c r="J229" s="34">
        <f t="shared" si="16"/>
        <v>7.957299256972159</v>
      </c>
    </row>
    <row r="230" spans="1:10" x14ac:dyDescent="0.25">
      <c r="A230" s="50">
        <f>'A) Base RI'!A232</f>
        <v>5763</v>
      </c>
      <c r="B230" s="301" t="str">
        <f>'A) Base RI'!B232</f>
        <v>Valeyres-sous-Rances</v>
      </c>
      <c r="C230" s="100">
        <f>'B) D RI'!U232</f>
        <v>21043.479230769233</v>
      </c>
      <c r="D230" s="116">
        <f>'E) Fact soc'!G236/C230</f>
        <v>14.885194270603741</v>
      </c>
      <c r="E230" s="141">
        <f>'H) Péréquation directe'!I241/C230</f>
        <v>10.460074324235904</v>
      </c>
      <c r="F230" s="116">
        <f>+'I) Dépenses thématiques'!O230/'J) Plafonnement effort'!C230</f>
        <v>-8.8202799320353513</v>
      </c>
      <c r="G230" s="141">
        <f t="shared" si="13"/>
        <v>16.524988662804294</v>
      </c>
      <c r="H230" s="316">
        <f t="shared" si="14"/>
        <v>0</v>
      </c>
      <c r="I230" s="58">
        <f t="shared" si="15"/>
        <v>0</v>
      </c>
      <c r="J230" s="34">
        <f t="shared" si="16"/>
        <v>16.524988662804294</v>
      </c>
    </row>
    <row r="231" spans="1:10" x14ac:dyDescent="0.25">
      <c r="A231" s="50">
        <f>'A) Base RI'!A233</f>
        <v>5764</v>
      </c>
      <c r="B231" s="301" t="str">
        <f>'A) Base RI'!B233</f>
        <v>Vallorbe</v>
      </c>
      <c r="C231" s="100">
        <f>'B) D RI'!U233</f>
        <v>86289.103835616435</v>
      </c>
      <c r="D231" s="116">
        <f>'E) Fact soc'!G237/C231</f>
        <v>24.641103439712388</v>
      </c>
      <c r="E231" s="141">
        <f>'H) Péréquation directe'!I242/C231</f>
        <v>-16.615833385230562</v>
      </c>
      <c r="F231" s="116">
        <f>+'I) Dépenses thématiques'!O231/'J) Plafonnement effort'!C231</f>
        <v>-20.617857620482436</v>
      </c>
      <c r="G231" s="141">
        <f t="shared" si="13"/>
        <v>-12.59258756600061</v>
      </c>
      <c r="H231" s="316">
        <f t="shared" si="14"/>
        <v>0</v>
      </c>
      <c r="I231" s="58">
        <f t="shared" si="15"/>
        <v>0</v>
      </c>
      <c r="J231" s="34">
        <f t="shared" si="16"/>
        <v>-12.59258756600061</v>
      </c>
    </row>
    <row r="232" spans="1:10" x14ac:dyDescent="0.25">
      <c r="A232" s="50">
        <f>'A) Base RI'!A234</f>
        <v>5765</v>
      </c>
      <c r="B232" s="301" t="str">
        <f>'A) Base RI'!B234</f>
        <v>Vaulion</v>
      </c>
      <c r="C232" s="100">
        <f>'B) D RI'!U234</f>
        <v>9839.660864197529</v>
      </c>
      <c r="D232" s="116">
        <f>'E) Fact soc'!G238/C232</f>
        <v>18.796961128280159</v>
      </c>
      <c r="E232" s="141">
        <f>'H) Péréquation directe'!I243/C232</f>
        <v>-15.681078817069015</v>
      </c>
      <c r="F232" s="116">
        <f>+'I) Dépenses thématiques'!O232/'J) Plafonnement effort'!C232</f>
        <v>-14.18015450728406</v>
      </c>
      <c r="G232" s="141">
        <f t="shared" si="13"/>
        <v>-11.064272196072915</v>
      </c>
      <c r="H232" s="316">
        <f t="shared" si="14"/>
        <v>0</v>
      </c>
      <c r="I232" s="58">
        <f t="shared" si="15"/>
        <v>0</v>
      </c>
      <c r="J232" s="34">
        <f t="shared" si="16"/>
        <v>-11.064272196072915</v>
      </c>
    </row>
    <row r="233" spans="1:10" x14ac:dyDescent="0.25">
      <c r="A233" s="50">
        <f>'A) Base RI'!A235</f>
        <v>5766</v>
      </c>
      <c r="B233" s="301" t="str">
        <f>'A) Base RI'!B235</f>
        <v>Vuiteboeuf</v>
      </c>
      <c r="C233" s="100">
        <f>'B) D RI'!U235</f>
        <v>13336.017235621519</v>
      </c>
      <c r="D233" s="116">
        <f>'E) Fact soc'!G239/C233</f>
        <v>16.731753618705362</v>
      </c>
      <c r="E233" s="141">
        <f>'H) Péréquation directe'!I244/C233</f>
        <v>-8.3055904833063749</v>
      </c>
      <c r="F233" s="116">
        <f>+'I) Dépenses thématiques'!O233/'J) Plafonnement effort'!C233</f>
        <v>-7.8030422157058625</v>
      </c>
      <c r="G233" s="141">
        <f t="shared" si="13"/>
        <v>0.62312091969312444</v>
      </c>
      <c r="H233" s="316">
        <f t="shared" si="14"/>
        <v>0</v>
      </c>
      <c r="I233" s="58">
        <f t="shared" si="15"/>
        <v>0</v>
      </c>
      <c r="J233" s="34">
        <f t="shared" si="16"/>
        <v>0.62312091969312444</v>
      </c>
    </row>
    <row r="234" spans="1:10" x14ac:dyDescent="0.25">
      <c r="A234" s="50">
        <f>'A) Base RI'!A236</f>
        <v>5785</v>
      </c>
      <c r="B234" s="301" t="str">
        <f>'A) Base RI'!B236</f>
        <v>Corcelles-le-Jorat</v>
      </c>
      <c r="C234" s="100">
        <f>'B) D RI'!U236</f>
        <v>15649.981168831173</v>
      </c>
      <c r="D234" s="116">
        <f>'E) Fact soc'!G240/C234</f>
        <v>16.275001195062487</v>
      </c>
      <c r="E234" s="141">
        <f>'H) Péréquation directe'!I245/C234</f>
        <v>9.5179935314451445</v>
      </c>
      <c r="F234" s="116">
        <f>+'I) Dépenses thématiques'!O234/'J) Plafonnement effort'!C234</f>
        <v>-3.0329532599707809</v>
      </c>
      <c r="G234" s="141">
        <f t="shared" si="13"/>
        <v>22.760041466536848</v>
      </c>
      <c r="H234" s="316">
        <f t="shared" si="14"/>
        <v>0</v>
      </c>
      <c r="I234" s="58">
        <f t="shared" si="15"/>
        <v>0</v>
      </c>
      <c r="J234" s="34">
        <f t="shared" si="16"/>
        <v>22.760041466536848</v>
      </c>
    </row>
    <row r="235" spans="1:10" x14ac:dyDescent="0.25">
      <c r="A235" s="50">
        <f>'A) Base RI'!A237</f>
        <v>5788</v>
      </c>
      <c r="B235" s="301" t="str">
        <f>'A) Base RI'!B237</f>
        <v>Essertes</v>
      </c>
      <c r="C235" s="100">
        <f>'B) D RI'!U237</f>
        <v>11949.454583333332</v>
      </c>
      <c r="D235" s="116">
        <f>'E) Fact soc'!G241/C235</f>
        <v>16.578088187820626</v>
      </c>
      <c r="E235" s="141">
        <f>'H) Péréquation directe'!I246/C235</f>
        <v>7.4078598922759626</v>
      </c>
      <c r="F235" s="116">
        <f>+'I) Dépenses thématiques'!O235/'J) Plafonnement effort'!C235</f>
        <v>-1.2662838517732025</v>
      </c>
      <c r="G235" s="141">
        <f t="shared" si="13"/>
        <v>22.719664228323385</v>
      </c>
      <c r="H235" s="316">
        <f t="shared" si="14"/>
        <v>0</v>
      </c>
      <c r="I235" s="58">
        <f t="shared" si="15"/>
        <v>0</v>
      </c>
      <c r="J235" s="34">
        <f t="shared" si="16"/>
        <v>22.719664228323385</v>
      </c>
    </row>
    <row r="236" spans="1:10" x14ac:dyDescent="0.25">
      <c r="A236" s="50">
        <f>'A) Base RI'!A238</f>
        <v>5790</v>
      </c>
      <c r="B236" s="301" t="str">
        <f>'A) Base RI'!B238</f>
        <v>Maracon</v>
      </c>
      <c r="C236" s="100">
        <f>'B) D RI'!U238</f>
        <v>13289.151710526314</v>
      </c>
      <c r="D236" s="116">
        <f>'E) Fact soc'!G242/C236</f>
        <v>19.786801783212006</v>
      </c>
      <c r="E236" s="141">
        <f>'H) Péréquation directe'!I247/C236</f>
        <v>-4.3786007442775263E-2</v>
      </c>
      <c r="F236" s="116">
        <f>+'I) Dépenses thématiques'!O236/'J) Plafonnement effort'!C236</f>
        <v>-7.3539166241363798</v>
      </c>
      <c r="G236" s="141">
        <f t="shared" si="13"/>
        <v>12.38909915163285</v>
      </c>
      <c r="H236" s="316">
        <f t="shared" si="14"/>
        <v>0</v>
      </c>
      <c r="I236" s="58">
        <f t="shared" si="15"/>
        <v>0</v>
      </c>
      <c r="J236" s="34">
        <f t="shared" si="16"/>
        <v>12.38909915163285</v>
      </c>
    </row>
    <row r="237" spans="1:10" x14ac:dyDescent="0.25">
      <c r="A237" s="50">
        <f>'A) Base RI'!A239</f>
        <v>5792</v>
      </c>
      <c r="B237" s="301" t="str">
        <f>'A) Base RI'!B239</f>
        <v>Montpreveyres</v>
      </c>
      <c r="C237" s="100">
        <f>'B) D RI'!U239</f>
        <v>18753.372987012986</v>
      </c>
      <c r="D237" s="116">
        <f>'E) Fact soc'!G243/C237</f>
        <v>18.395094750069088</v>
      </c>
      <c r="E237" s="141">
        <f>'H) Péréquation directe'!I248/C237</f>
        <v>2.7251837034295696</v>
      </c>
      <c r="F237" s="116">
        <f>+'I) Dépenses thématiques'!O237/'J) Plafonnement effort'!C237</f>
        <v>-6.7830950672366308</v>
      </c>
      <c r="G237" s="141">
        <f t="shared" si="13"/>
        <v>14.337183386262026</v>
      </c>
      <c r="H237" s="316">
        <f t="shared" si="14"/>
        <v>0</v>
      </c>
      <c r="I237" s="58">
        <f t="shared" si="15"/>
        <v>0</v>
      </c>
      <c r="J237" s="34">
        <f t="shared" si="16"/>
        <v>14.337183386262026</v>
      </c>
    </row>
    <row r="238" spans="1:10" x14ac:dyDescent="0.25">
      <c r="A238" s="50">
        <f>'A) Base RI'!A240</f>
        <v>5798</v>
      </c>
      <c r="B238" s="301" t="str">
        <f>'A) Base RI'!B240</f>
        <v>Ropraz</v>
      </c>
      <c r="C238" s="100">
        <f>'B) D RI'!U240</f>
        <v>13764.738967741932</v>
      </c>
      <c r="D238" s="116">
        <f>'E) Fact soc'!G244/C238</f>
        <v>18.19190418079906</v>
      </c>
      <c r="E238" s="141">
        <f>'H) Péréquation directe'!I249/C238</f>
        <v>0.67694266871645292</v>
      </c>
      <c r="F238" s="116">
        <f>+'I) Dépenses thématiques'!O238/'J) Plafonnement effort'!C238</f>
        <v>-5.335408491757101</v>
      </c>
      <c r="G238" s="141">
        <f t="shared" si="13"/>
        <v>13.533438357758413</v>
      </c>
      <c r="H238" s="316">
        <f t="shared" si="14"/>
        <v>0</v>
      </c>
      <c r="I238" s="58">
        <f t="shared" si="15"/>
        <v>0</v>
      </c>
      <c r="J238" s="34">
        <f t="shared" si="16"/>
        <v>13.533438357758413</v>
      </c>
    </row>
    <row r="239" spans="1:10" x14ac:dyDescent="0.25">
      <c r="A239" s="50">
        <f>'A) Base RI'!A241</f>
        <v>5799</v>
      </c>
      <c r="B239" s="301" t="str">
        <f>'A) Base RI'!B241</f>
        <v>Servion</v>
      </c>
      <c r="C239" s="100">
        <f>'B) D RI'!U241</f>
        <v>69335.991449275345</v>
      </c>
      <c r="D239" s="116">
        <f>'E) Fact soc'!G245/C239</f>
        <v>19.218554802678771</v>
      </c>
      <c r="E239" s="141">
        <f>'H) Péréquation directe'!I250/C239</f>
        <v>7.8349917548834052</v>
      </c>
      <c r="F239" s="116">
        <f>+'I) Dépenses thématiques'!O239/'J) Plafonnement effort'!C239</f>
        <v>-2.9519261148328404</v>
      </c>
      <c r="G239" s="141">
        <f t="shared" si="13"/>
        <v>24.101620442729335</v>
      </c>
      <c r="H239" s="316">
        <f t="shared" si="14"/>
        <v>0</v>
      </c>
      <c r="I239" s="58">
        <f t="shared" si="15"/>
        <v>0</v>
      </c>
      <c r="J239" s="34">
        <f t="shared" si="16"/>
        <v>24.101620442729335</v>
      </c>
    </row>
    <row r="240" spans="1:10" x14ac:dyDescent="0.25">
      <c r="A240" s="50">
        <f>'A) Base RI'!A242</f>
        <v>5803</v>
      </c>
      <c r="B240" s="301" t="str">
        <f>'A) Base RI'!B242</f>
        <v>Vulliens</v>
      </c>
      <c r="C240" s="100">
        <f>'B) D RI'!U242</f>
        <v>16619.681923076922</v>
      </c>
      <c r="D240" s="116">
        <f>'E) Fact soc'!G246/C240</f>
        <v>18.577918399649118</v>
      </c>
      <c r="E240" s="141">
        <f>'H) Péréquation directe'!I251/C240</f>
        <v>0.5908359134758534</v>
      </c>
      <c r="F240" s="116">
        <f>+'I) Dépenses thématiques'!O240/'J) Plafonnement effort'!C240</f>
        <v>-4.123845749563225</v>
      </c>
      <c r="G240" s="141">
        <f t="shared" si="13"/>
        <v>15.044908563561746</v>
      </c>
      <c r="H240" s="316">
        <f t="shared" si="14"/>
        <v>0</v>
      </c>
      <c r="I240" s="58">
        <f t="shared" si="15"/>
        <v>0</v>
      </c>
      <c r="J240" s="34">
        <f t="shared" si="16"/>
        <v>15.044908563561746</v>
      </c>
    </row>
    <row r="241" spans="1:10" x14ac:dyDescent="0.25">
      <c r="A241" s="50">
        <f>'A) Base RI'!A243</f>
        <v>5804</v>
      </c>
      <c r="B241" s="301" t="str">
        <f>'A) Base RI'!B243</f>
        <v>Jorat-Menthue</v>
      </c>
      <c r="C241" s="100">
        <f>'B) D RI'!U243</f>
        <v>47559.531944444454</v>
      </c>
      <c r="D241" s="116">
        <f>'E) Fact soc'!G247/C241</f>
        <v>15.681259499337672</v>
      </c>
      <c r="E241" s="141">
        <f>'H) Péréquation directe'!I252/C241</f>
        <v>2.2253706956210788</v>
      </c>
      <c r="F241" s="116">
        <f>+'I) Dépenses thématiques'!O241/'J) Plafonnement effort'!C241</f>
        <v>-7.5836076527856964</v>
      </c>
      <c r="G241" s="141">
        <f t="shared" si="13"/>
        <v>10.323022542173055</v>
      </c>
      <c r="H241" s="316">
        <f t="shared" si="14"/>
        <v>0</v>
      </c>
      <c r="I241" s="58">
        <f t="shared" si="15"/>
        <v>0</v>
      </c>
      <c r="J241" s="34">
        <f t="shared" si="16"/>
        <v>10.323022542173055</v>
      </c>
    </row>
    <row r="242" spans="1:10" x14ac:dyDescent="0.25">
      <c r="A242" s="50">
        <f>'A) Base RI'!A244</f>
        <v>5805</v>
      </c>
      <c r="B242" s="301" t="str">
        <f>'A) Base RI'!B244</f>
        <v>Oron</v>
      </c>
      <c r="C242" s="100">
        <f>'B) D RI'!U244</f>
        <v>157344.05109354414</v>
      </c>
      <c r="D242" s="116">
        <f>'E) Fact soc'!G248/C242</f>
        <v>18.550500146744294</v>
      </c>
      <c r="E242" s="141">
        <f>'H) Péréquation directe'!I253/C242</f>
        <v>-5.2332887125431391</v>
      </c>
      <c r="F242" s="116">
        <f>+'I) Dépenses thématiques'!O242/'J) Plafonnement effort'!C242</f>
        <v>-3.8146266075290129</v>
      </c>
      <c r="G242" s="141">
        <f t="shared" si="13"/>
        <v>9.5025848266721429</v>
      </c>
      <c r="H242" s="316">
        <f t="shared" si="14"/>
        <v>0</v>
      </c>
      <c r="I242" s="58">
        <f t="shared" si="15"/>
        <v>0</v>
      </c>
      <c r="J242" s="34">
        <f t="shared" si="16"/>
        <v>9.5025848266721429</v>
      </c>
    </row>
    <row r="243" spans="1:10" x14ac:dyDescent="0.25">
      <c r="A243" s="50">
        <f>'A) Base RI'!A245</f>
        <v>5806</v>
      </c>
      <c r="B243" s="301" t="str">
        <f>'A) Base RI'!B245</f>
        <v>Jorat-Mézières</v>
      </c>
      <c r="C243" s="100">
        <f>'B) D RI'!U245</f>
        <v>90571.355131578952</v>
      </c>
      <c r="D243" s="116">
        <f>'E) Fact soc'!G249/C243</f>
        <v>18.398915306827192</v>
      </c>
      <c r="E243" s="141">
        <f>'H) Péréquation directe'!I254/C243</f>
        <v>0.86094729933129799</v>
      </c>
      <c r="F243" s="116">
        <f>+'I) Dépenses thématiques'!O243/'J) Plafonnement effort'!C243</f>
        <v>-4.1006421087836822</v>
      </c>
      <c r="G243" s="141">
        <f t="shared" si="13"/>
        <v>15.159220497374807</v>
      </c>
      <c r="H243" s="316">
        <f t="shared" si="14"/>
        <v>0</v>
      </c>
      <c r="I243" s="58">
        <f t="shared" si="15"/>
        <v>0</v>
      </c>
      <c r="J243" s="34">
        <f t="shared" si="16"/>
        <v>15.159220497374807</v>
      </c>
    </row>
    <row r="244" spans="1:10" x14ac:dyDescent="0.25">
      <c r="A244" s="50">
        <f>'A) Base RI'!A246</f>
        <v>5812</v>
      </c>
      <c r="B244" s="301" t="str">
        <f>'A) Base RI'!B246</f>
        <v>Champtauroz</v>
      </c>
      <c r="C244" s="100">
        <f>'B) D RI'!U246</f>
        <v>2425.1270779220786</v>
      </c>
      <c r="D244" s="116">
        <f>'E) Fact soc'!G250/C244</f>
        <v>18.940836693740213</v>
      </c>
      <c r="E244" s="141">
        <f>'H) Péréquation directe'!I255/C244</f>
        <v>-15.867710066374638</v>
      </c>
      <c r="F244" s="116">
        <f>+'I) Dépenses thématiques'!O244/'J) Plafonnement effort'!C244</f>
        <v>-10.480770901113353</v>
      </c>
      <c r="G244" s="141">
        <f t="shared" si="13"/>
        <v>-7.4076442737477777</v>
      </c>
      <c r="H244" s="316">
        <f t="shared" si="14"/>
        <v>0</v>
      </c>
      <c r="I244" s="58">
        <f t="shared" si="15"/>
        <v>0</v>
      </c>
      <c r="J244" s="34">
        <f t="shared" si="16"/>
        <v>-7.4076442737477777</v>
      </c>
    </row>
    <row r="245" spans="1:10" x14ac:dyDescent="0.25">
      <c r="A245" s="50">
        <f>'A) Base RI'!A247</f>
        <v>5813</v>
      </c>
      <c r="B245" s="301" t="str">
        <f>'A) Base RI'!B247</f>
        <v>Chevroux</v>
      </c>
      <c r="C245" s="100">
        <f>'B) D RI'!U247</f>
        <v>13114.094904761907</v>
      </c>
      <c r="D245" s="116">
        <f>'E) Fact soc'!G251/C245</f>
        <v>21.210125463952753</v>
      </c>
      <c r="E245" s="141">
        <f>'H) Péréquation directe'!I256/C245</f>
        <v>2.6916482887745499</v>
      </c>
      <c r="F245" s="116">
        <f>+'I) Dépenses thématiques'!O245/'J) Plafonnement effort'!C245</f>
        <v>-6.2163161075676792</v>
      </c>
      <c r="G245" s="141">
        <f t="shared" si="13"/>
        <v>17.685457645159623</v>
      </c>
      <c r="H245" s="316">
        <f t="shared" si="14"/>
        <v>0</v>
      </c>
      <c r="I245" s="58">
        <f t="shared" si="15"/>
        <v>0</v>
      </c>
      <c r="J245" s="34">
        <f t="shared" si="16"/>
        <v>17.685457645159623</v>
      </c>
    </row>
    <row r="246" spans="1:10" x14ac:dyDescent="0.25">
      <c r="A246" s="50">
        <f>'A) Base RI'!A248</f>
        <v>5816</v>
      </c>
      <c r="B246" s="301" t="str">
        <f>'A) Base RI'!B248</f>
        <v>Corcelles-près-Payerne</v>
      </c>
      <c r="C246" s="100">
        <f>'B) D RI'!U248</f>
        <v>56247.882400793642</v>
      </c>
      <c r="D246" s="116">
        <f>'E) Fact soc'!G252/C246</f>
        <v>16.95607725969003</v>
      </c>
      <c r="E246" s="141">
        <f>'H) Péréquation directe'!I257/C246</f>
        <v>-12.282841349410214</v>
      </c>
      <c r="F246" s="116">
        <f>+'I) Dépenses thématiques'!O246/'J) Plafonnement effort'!C246</f>
        <v>-5.8577214399336111</v>
      </c>
      <c r="G246" s="141">
        <f t="shared" si="13"/>
        <v>-1.1844855296537951</v>
      </c>
      <c r="H246" s="316">
        <f t="shared" si="14"/>
        <v>0</v>
      </c>
      <c r="I246" s="58">
        <f t="shared" si="15"/>
        <v>0</v>
      </c>
      <c r="J246" s="34">
        <f t="shared" si="16"/>
        <v>-1.1844855296537951</v>
      </c>
    </row>
    <row r="247" spans="1:10" x14ac:dyDescent="0.25">
      <c r="A247" s="50">
        <f>'A) Base RI'!A249</f>
        <v>5817</v>
      </c>
      <c r="B247" s="301" t="str">
        <f>'A) Base RI'!B249</f>
        <v>Grandcour</v>
      </c>
      <c r="C247" s="100">
        <f>'B) D RI'!U249</f>
        <v>23573.392337662339</v>
      </c>
      <c r="D247" s="116">
        <f>'E) Fact soc'!G253/C247</f>
        <v>20.289234351883735</v>
      </c>
      <c r="E247" s="141">
        <f>'H) Péréquation directe'!I258/C247</f>
        <v>-3.2192499010731179</v>
      </c>
      <c r="F247" s="116">
        <f>+'I) Dépenses thématiques'!O247/'J) Plafonnement effort'!C247</f>
        <v>-5.322848249257297</v>
      </c>
      <c r="G247" s="141">
        <f t="shared" si="13"/>
        <v>11.747136201553317</v>
      </c>
      <c r="H247" s="316">
        <f t="shared" si="14"/>
        <v>0</v>
      </c>
      <c r="I247" s="58">
        <f t="shared" si="15"/>
        <v>0</v>
      </c>
      <c r="J247" s="34">
        <f t="shared" si="16"/>
        <v>11.747136201553317</v>
      </c>
    </row>
    <row r="248" spans="1:10" x14ac:dyDescent="0.25">
      <c r="A248" s="50">
        <f>'A) Base RI'!A250</f>
        <v>5819</v>
      </c>
      <c r="B248" s="301" t="str">
        <f>'A) Base RI'!B250</f>
        <v>Henniez</v>
      </c>
      <c r="C248" s="100">
        <f>'B) D RI'!U250</f>
        <v>13558.497971014494</v>
      </c>
      <c r="D248" s="116">
        <f>'E) Fact soc'!G254/C248</f>
        <v>17.443405352185533</v>
      </c>
      <c r="E248" s="141">
        <f>'H) Péréquation directe'!I259/C248</f>
        <v>13.94822766009705</v>
      </c>
      <c r="F248" s="116">
        <f>+'I) Dépenses thématiques'!O248/'J) Plafonnement effort'!C248</f>
        <v>-5.2450239397064866</v>
      </c>
      <c r="G248" s="141">
        <f t="shared" si="13"/>
        <v>26.146609072576098</v>
      </c>
      <c r="H248" s="316">
        <f t="shared" si="14"/>
        <v>0</v>
      </c>
      <c r="I248" s="58">
        <f t="shared" si="15"/>
        <v>0</v>
      </c>
      <c r="J248" s="34">
        <f t="shared" si="16"/>
        <v>26.146609072576098</v>
      </c>
    </row>
    <row r="249" spans="1:10" x14ac:dyDescent="0.25">
      <c r="A249" s="50">
        <f>'A) Base RI'!A251</f>
        <v>5821</v>
      </c>
      <c r="B249" s="301" t="str">
        <f>'A) Base RI'!B251</f>
        <v>Missy</v>
      </c>
      <c r="C249" s="100">
        <f>'B) D RI'!U251</f>
        <v>8603.5648611111101</v>
      </c>
      <c r="D249" s="116">
        <f>'E) Fact soc'!G255/C249</f>
        <v>16.386880194591772</v>
      </c>
      <c r="E249" s="141">
        <f>'H) Péréquation directe'!I260/C249</f>
        <v>-4.3805125661970665</v>
      </c>
      <c r="F249" s="116">
        <f>+'I) Dépenses thématiques'!O249/'J) Plafonnement effort'!C249</f>
        <v>-2.0162368809537234</v>
      </c>
      <c r="G249" s="141">
        <f t="shared" si="13"/>
        <v>9.9901307474409826</v>
      </c>
      <c r="H249" s="316">
        <f t="shared" si="14"/>
        <v>0</v>
      </c>
      <c r="I249" s="58">
        <f t="shared" si="15"/>
        <v>0</v>
      </c>
      <c r="J249" s="34">
        <f t="shared" si="16"/>
        <v>9.9901307474409826</v>
      </c>
    </row>
    <row r="250" spans="1:10" x14ac:dyDescent="0.25">
      <c r="A250" s="50">
        <f>'A) Base RI'!A252</f>
        <v>5822</v>
      </c>
      <c r="B250" s="301" t="str">
        <f>'A) Base RI'!B252</f>
        <v>Payerne</v>
      </c>
      <c r="C250" s="100">
        <f>'B) D RI'!U252</f>
        <v>249319.03186666669</v>
      </c>
      <c r="D250" s="116">
        <f>'E) Fact soc'!G256/C250</f>
        <v>17.607831982483034</v>
      </c>
      <c r="E250" s="141">
        <f>'H) Péréquation directe'!I261/C250</f>
        <v>-19.069724146758926</v>
      </c>
      <c r="F250" s="116">
        <f>+'I) Dépenses thématiques'!O250/'J) Plafonnement effort'!C250</f>
        <v>-4.7770452353210624</v>
      </c>
      <c r="G250" s="141">
        <f t="shared" si="13"/>
        <v>-6.2389373995969537</v>
      </c>
      <c r="H250" s="316">
        <f t="shared" si="14"/>
        <v>0</v>
      </c>
      <c r="I250" s="58">
        <f t="shared" si="15"/>
        <v>0</v>
      </c>
      <c r="J250" s="34">
        <f t="shared" si="16"/>
        <v>-6.2389373995969537</v>
      </c>
    </row>
    <row r="251" spans="1:10" x14ac:dyDescent="0.25">
      <c r="A251" s="50">
        <f>'A) Base RI'!A253</f>
        <v>5827</v>
      </c>
      <c r="B251" s="301" t="str">
        <f>'A) Base RI'!B253</f>
        <v>Trey</v>
      </c>
      <c r="C251" s="100">
        <f>'B) D RI'!U253</f>
        <v>7228.8600000000006</v>
      </c>
      <c r="D251" s="116">
        <f>'E) Fact soc'!G257/C251</f>
        <v>17.277119257264872</v>
      </c>
      <c r="E251" s="141">
        <f>'H) Péréquation directe'!I262/C251</f>
        <v>-1.5907706966933288</v>
      </c>
      <c r="F251" s="116">
        <f>+'I) Dépenses thématiques'!O251/'J) Plafonnement effort'!C251</f>
        <v>-7.0352299168759087</v>
      </c>
      <c r="G251" s="141">
        <f t="shared" si="13"/>
        <v>8.6511186436956322</v>
      </c>
      <c r="H251" s="316">
        <f t="shared" si="14"/>
        <v>0</v>
      </c>
      <c r="I251" s="58">
        <f t="shared" si="15"/>
        <v>0</v>
      </c>
      <c r="J251" s="34">
        <f t="shared" si="16"/>
        <v>8.6511186436956322</v>
      </c>
    </row>
    <row r="252" spans="1:10" x14ac:dyDescent="0.25">
      <c r="A252" s="50">
        <f>'A) Base RI'!A254</f>
        <v>5828</v>
      </c>
      <c r="B252" s="301" t="str">
        <f>'A) Base RI'!B254</f>
        <v>Treytorrens (Payerne)</v>
      </c>
      <c r="C252" s="100">
        <f>'B) D RI'!U254</f>
        <v>2672.2867063492063</v>
      </c>
      <c r="D252" s="116">
        <f>'E) Fact soc'!G258/C252</f>
        <v>18.724198436565267</v>
      </c>
      <c r="E252" s="141">
        <f>'H) Péréquation directe'!I263/C252</f>
        <v>-13.668843512715728</v>
      </c>
      <c r="F252" s="116">
        <f>+'I) Dépenses thématiques'!O252/'J) Plafonnement effort'!C252</f>
        <v>-12.784952343361576</v>
      </c>
      <c r="G252" s="141">
        <f t="shared" si="13"/>
        <v>-7.7295974195120376</v>
      </c>
      <c r="H252" s="316">
        <f t="shared" si="14"/>
        <v>0</v>
      </c>
      <c r="I252" s="58">
        <f t="shared" si="15"/>
        <v>0</v>
      </c>
      <c r="J252" s="34">
        <f t="shared" si="16"/>
        <v>-7.7295974195120376</v>
      </c>
    </row>
    <row r="253" spans="1:10" x14ac:dyDescent="0.25">
      <c r="A253" s="50">
        <f>'A) Base RI'!A255</f>
        <v>5830</v>
      </c>
      <c r="B253" s="301" t="str">
        <f>'A) Base RI'!B255</f>
        <v>Villarzel</v>
      </c>
      <c r="C253" s="100">
        <f>'B) D RI'!U255</f>
        <v>12137.70417721519</v>
      </c>
      <c r="D253" s="116">
        <f>'E) Fact soc'!G259/C253</f>
        <v>17.023973913436194</v>
      </c>
      <c r="E253" s="141">
        <f>'H) Péréquation directe'!I264/C253</f>
        <v>-0.93988270084355774</v>
      </c>
      <c r="F253" s="116">
        <f>+'I) Dépenses thématiques'!O253/'J) Plafonnement effort'!C253</f>
        <v>-7.095812234017</v>
      </c>
      <c r="G253" s="141">
        <f t="shared" si="13"/>
        <v>8.9882789785756358</v>
      </c>
      <c r="H253" s="316">
        <f t="shared" si="14"/>
        <v>0</v>
      </c>
      <c r="I253" s="58">
        <f t="shared" si="15"/>
        <v>0</v>
      </c>
      <c r="J253" s="34">
        <f t="shared" si="16"/>
        <v>8.9882789785756358</v>
      </c>
    </row>
    <row r="254" spans="1:10" x14ac:dyDescent="0.25">
      <c r="A254" s="50">
        <f>'A) Base RI'!A256</f>
        <v>5831</v>
      </c>
      <c r="B254" s="301" t="str">
        <f>'A) Base RI'!B256</f>
        <v>Valbroye</v>
      </c>
      <c r="C254" s="100">
        <f>'B) D RI'!U256</f>
        <v>85960.311415525095</v>
      </c>
      <c r="D254" s="116">
        <f>'E) Fact soc'!G260/C254</f>
        <v>18.639741402970181</v>
      </c>
      <c r="E254" s="141">
        <f>'H) Péréquation directe'!I265/C254</f>
        <v>-5.3733989334890895</v>
      </c>
      <c r="F254" s="116">
        <f>+'I) Dépenses thématiques'!O254/'J) Plafonnement effort'!C254</f>
        <v>-7.8518328623003075</v>
      </c>
      <c r="G254" s="141">
        <f t="shared" si="13"/>
        <v>5.4145096071807846</v>
      </c>
      <c r="H254" s="316">
        <f t="shared" si="14"/>
        <v>0</v>
      </c>
      <c r="I254" s="58">
        <f t="shared" si="15"/>
        <v>0</v>
      </c>
      <c r="J254" s="34">
        <f t="shared" si="16"/>
        <v>5.4145096071807846</v>
      </c>
    </row>
    <row r="255" spans="1:10" x14ac:dyDescent="0.25">
      <c r="A255" s="50">
        <f>'A) Base RI'!A257</f>
        <v>5841</v>
      </c>
      <c r="B255" s="301" t="str">
        <f>'A) Base RI'!B257</f>
        <v>Château-d'Oex</v>
      </c>
      <c r="C255" s="100">
        <f>'B) D RI'!U257</f>
        <v>118196.91686746987</v>
      </c>
      <c r="D255" s="116">
        <f>'E) Fact soc'!G261/C255</f>
        <v>18.867133654637041</v>
      </c>
      <c r="E255" s="141">
        <f>'H) Péréquation directe'!I266/C255</f>
        <v>1.5471237634849202</v>
      </c>
      <c r="F255" s="116">
        <f>+'I) Dépenses thématiques'!O255/'J) Plafonnement effort'!C255</f>
        <v>-15.181989466225239</v>
      </c>
      <c r="G255" s="141">
        <f t="shared" si="13"/>
        <v>5.2322679518967199</v>
      </c>
      <c r="H255" s="316">
        <f t="shared" si="14"/>
        <v>0</v>
      </c>
      <c r="I255" s="58">
        <f t="shared" si="15"/>
        <v>0</v>
      </c>
      <c r="J255" s="34">
        <f t="shared" si="16"/>
        <v>5.2322679518967199</v>
      </c>
    </row>
    <row r="256" spans="1:10" x14ac:dyDescent="0.25">
      <c r="A256" s="50">
        <f>'A) Base RI'!A258</f>
        <v>5842</v>
      </c>
      <c r="B256" s="301" t="str">
        <f>'A) Base RI'!B258</f>
        <v>Rossinière</v>
      </c>
      <c r="C256" s="100">
        <f>'B) D RI'!U258</f>
        <v>16178.883744855966</v>
      </c>
      <c r="D256" s="116">
        <f>'E) Fact soc'!G262/C256</f>
        <v>18.052324551910264</v>
      </c>
      <c r="E256" s="141">
        <f>'H) Péréquation directe'!I267/C256</f>
        <v>1.8871553002062005</v>
      </c>
      <c r="F256" s="116">
        <f>+'I) Dépenses thématiques'!O256/'J) Plafonnement effort'!C256</f>
        <v>-9.678487293519721</v>
      </c>
      <c r="G256" s="141">
        <f t="shared" si="13"/>
        <v>10.260992558596742</v>
      </c>
      <c r="H256" s="316">
        <f t="shared" si="14"/>
        <v>0</v>
      </c>
      <c r="I256" s="58">
        <f t="shared" si="15"/>
        <v>0</v>
      </c>
      <c r="J256" s="34">
        <f t="shared" si="16"/>
        <v>10.260992558596742</v>
      </c>
    </row>
    <row r="257" spans="1:10" x14ac:dyDescent="0.25">
      <c r="A257" s="50">
        <f>'A) Base RI'!A259</f>
        <v>5843</v>
      </c>
      <c r="B257" s="301" t="str">
        <f>'A) Base RI'!B259</f>
        <v>Rougemont</v>
      </c>
      <c r="C257" s="100">
        <f>'B) D RI'!U259</f>
        <v>96518.030855855861</v>
      </c>
      <c r="D257" s="116">
        <f>'E) Fact soc'!G263/C257</f>
        <v>36.45697410256119</v>
      </c>
      <c r="E257" s="141">
        <f>'H) Péréquation directe'!I268/C257</f>
        <v>15.891277596114593</v>
      </c>
      <c r="F257" s="116">
        <f>+'I) Dépenses thématiques'!O257/'J) Plafonnement effort'!C257</f>
        <v>-2.0223632071638806</v>
      </c>
      <c r="G257" s="141">
        <f t="shared" si="13"/>
        <v>50.325888491511904</v>
      </c>
      <c r="H257" s="316">
        <f t="shared" si="14"/>
        <v>-5.325888491511904</v>
      </c>
      <c r="I257" s="58">
        <f t="shared" si="15"/>
        <v>-514044.26975859358</v>
      </c>
      <c r="J257" s="34">
        <f t="shared" si="16"/>
        <v>45</v>
      </c>
    </row>
    <row r="258" spans="1:10" x14ac:dyDescent="0.25">
      <c r="A258" s="50">
        <f>'A) Base RI'!A260</f>
        <v>5851</v>
      </c>
      <c r="B258" s="301" t="str">
        <f>'A) Base RI'!B260</f>
        <v>Allaman</v>
      </c>
      <c r="C258" s="100">
        <f>'B) D RI'!U260</f>
        <v>29511.189985337249</v>
      </c>
      <c r="D258" s="116">
        <f>'E) Fact soc'!G264/C258</f>
        <v>27.883861351719251</v>
      </c>
      <c r="E258" s="141">
        <f>'H) Péréquation directe'!I269/C258</f>
        <v>16.885007984673475</v>
      </c>
      <c r="F258" s="116">
        <f>+'I) Dépenses thématiques'!O258/'J) Plafonnement effort'!C258</f>
        <v>0</v>
      </c>
      <c r="G258" s="141">
        <f t="shared" si="13"/>
        <v>44.768869336392726</v>
      </c>
      <c r="H258" s="316">
        <f t="shared" si="14"/>
        <v>0</v>
      </c>
      <c r="I258" s="58">
        <f t="shared" si="15"/>
        <v>0</v>
      </c>
      <c r="J258" s="34">
        <f t="shared" si="16"/>
        <v>44.768869336392726</v>
      </c>
    </row>
    <row r="259" spans="1:10" x14ac:dyDescent="0.25">
      <c r="A259" s="50">
        <f>'A) Base RI'!A261</f>
        <v>5852</v>
      </c>
      <c r="B259" s="301" t="str">
        <f>'A) Base RI'!B261</f>
        <v>Bursinel</v>
      </c>
      <c r="C259" s="100">
        <f>'B) D RI'!U261</f>
        <v>39767.165954198477</v>
      </c>
      <c r="D259" s="116">
        <f>'E) Fact soc'!G265/C259</f>
        <v>26.776648214528361</v>
      </c>
      <c r="E259" s="141">
        <f>'H) Péréquation directe'!I270/C259</f>
        <v>16.459007555567084</v>
      </c>
      <c r="F259" s="116">
        <f>+'I) Dépenses thématiques'!O259/'J) Plafonnement effort'!C259</f>
        <v>0</v>
      </c>
      <c r="G259" s="141">
        <f t="shared" si="13"/>
        <v>43.235655770095448</v>
      </c>
      <c r="H259" s="316">
        <f t="shared" si="14"/>
        <v>0</v>
      </c>
      <c r="I259" s="58">
        <f t="shared" si="15"/>
        <v>0</v>
      </c>
      <c r="J259" s="34">
        <f t="shared" si="16"/>
        <v>43.235655770095448</v>
      </c>
    </row>
    <row r="260" spans="1:10" x14ac:dyDescent="0.25">
      <c r="A260" s="50">
        <f>'A) Base RI'!A262</f>
        <v>5853</v>
      </c>
      <c r="B260" s="301" t="str">
        <f>'A) Base RI'!B262</f>
        <v>Bursins</v>
      </c>
      <c r="C260" s="100">
        <f>'B) D RI'!U262</f>
        <v>36845.197464788725</v>
      </c>
      <c r="D260" s="116">
        <f>'E) Fact soc'!G266/C260</f>
        <v>18.844224638813081</v>
      </c>
      <c r="E260" s="141">
        <f>'H) Péréquation directe'!I271/C260</f>
        <v>16.942447259739293</v>
      </c>
      <c r="F260" s="116">
        <f>+'I) Dépenses thématiques'!O260/'J) Plafonnement effort'!C260</f>
        <v>-0.58957784768838728</v>
      </c>
      <c r="G260" s="141">
        <f t="shared" si="13"/>
        <v>35.197094050863981</v>
      </c>
      <c r="H260" s="316">
        <f t="shared" si="14"/>
        <v>0</v>
      </c>
      <c r="I260" s="58">
        <f t="shared" si="15"/>
        <v>0</v>
      </c>
      <c r="J260" s="34">
        <f t="shared" si="16"/>
        <v>35.197094050863981</v>
      </c>
    </row>
    <row r="261" spans="1:10" x14ac:dyDescent="0.25">
      <c r="A261" s="50">
        <f>'A) Base RI'!A263</f>
        <v>5854</v>
      </c>
      <c r="B261" s="301" t="str">
        <f>'A) Base RI'!B263</f>
        <v>Burtigny</v>
      </c>
      <c r="C261" s="100">
        <f>'B) D RI'!U263</f>
        <v>15320.932833333329</v>
      </c>
      <c r="D261" s="116">
        <f>'E) Fact soc'!G267/C261</f>
        <v>21.96153092857476</v>
      </c>
      <c r="E261" s="141">
        <f>'H) Péréquation directe'!I272/C261</f>
        <v>12.619418358474711</v>
      </c>
      <c r="F261" s="116">
        <f>+'I) Dépenses thématiques'!O261/'J) Plafonnement effort'!C261</f>
        <v>-0.70718454344984538</v>
      </c>
      <c r="G261" s="141">
        <f t="shared" si="13"/>
        <v>33.873764743599622</v>
      </c>
      <c r="H261" s="316">
        <f t="shared" si="14"/>
        <v>0</v>
      </c>
      <c r="I261" s="58">
        <f t="shared" si="15"/>
        <v>0</v>
      </c>
      <c r="J261" s="34">
        <f t="shared" si="16"/>
        <v>33.873764743599622</v>
      </c>
    </row>
    <row r="262" spans="1:10" x14ac:dyDescent="0.25">
      <c r="A262" s="50">
        <f>'A) Base RI'!A264</f>
        <v>5855</v>
      </c>
      <c r="B262" s="301" t="str">
        <f>'A) Base RI'!B264</f>
        <v>Dully</v>
      </c>
      <c r="C262" s="100">
        <f>'B) D RI'!U264</f>
        <v>91198.462040816317</v>
      </c>
      <c r="D262" s="116">
        <f>'E) Fact soc'!G268/C262</f>
        <v>30.866477530310771</v>
      </c>
      <c r="E262" s="141">
        <f>'H) Péréquation directe'!I273/C262</f>
        <v>15.329762836369516</v>
      </c>
      <c r="F262" s="116">
        <f>+'I) Dépenses thématiques'!O262/'J) Plafonnement effort'!C262</f>
        <v>0</v>
      </c>
      <c r="G262" s="141">
        <f t="shared" ref="G262:G313" si="17">SUM(D262:F262)</f>
        <v>46.196240366680286</v>
      </c>
      <c r="H262" s="316">
        <f t="shared" ref="H262:H313" si="18">IF(G262&gt;H$4,H$4-G262,0)</f>
        <v>-1.1962403666802857</v>
      </c>
      <c r="I262" s="58">
        <f t="shared" ref="I262:I313" si="19">H262*C262</f>
        <v>-109095.28167238423</v>
      </c>
      <c r="J262" s="34">
        <f t="shared" ref="J262:J313" si="20">G262+H262</f>
        <v>45</v>
      </c>
    </row>
    <row r="263" spans="1:10" x14ac:dyDescent="0.25">
      <c r="A263" s="50">
        <f>'A) Base RI'!A265</f>
        <v>5856</v>
      </c>
      <c r="B263" s="301" t="str">
        <f>'A) Base RI'!B265</f>
        <v>Essertines-sur-Rolle</v>
      </c>
      <c r="C263" s="100">
        <f>'B) D RI'!U265</f>
        <v>37425.966018099534</v>
      </c>
      <c r="D263" s="116">
        <f>'E) Fact soc'!G269/C263</f>
        <v>19.491143702766262</v>
      </c>
      <c r="E263" s="141">
        <f>'H) Péréquation directe'!I274/C263</f>
        <v>17.043487374906917</v>
      </c>
      <c r="F263" s="116">
        <f>+'I) Dépenses thématiques'!O263/'J) Plafonnement effort'!C263</f>
        <v>0</v>
      </c>
      <c r="G263" s="141">
        <f t="shared" si="17"/>
        <v>36.534631077673183</v>
      </c>
      <c r="H263" s="316">
        <f t="shared" si="18"/>
        <v>0</v>
      </c>
      <c r="I263" s="58">
        <f t="shared" si="19"/>
        <v>0</v>
      </c>
      <c r="J263" s="34">
        <f t="shared" si="20"/>
        <v>36.534631077673183</v>
      </c>
    </row>
    <row r="264" spans="1:10" x14ac:dyDescent="0.25">
      <c r="A264" s="50">
        <f>'A) Base RI'!A266</f>
        <v>5857</v>
      </c>
      <c r="B264" s="301" t="str">
        <f>'A) Base RI'!B266</f>
        <v>Gilly</v>
      </c>
      <c r="C264" s="100">
        <f>'B) D RI'!U266</f>
        <v>89905.642121212135</v>
      </c>
      <c r="D264" s="116">
        <f>'E) Fact soc'!G270/C264</f>
        <v>20.769139915286967</v>
      </c>
      <c r="E264" s="141">
        <f>'H) Péréquation directe'!I275/C264</f>
        <v>15.986789108657799</v>
      </c>
      <c r="F264" s="116">
        <f>+'I) Dépenses thématiques'!O264/'J) Plafonnement effort'!C264</f>
        <v>0</v>
      </c>
      <c r="G264" s="141">
        <f t="shared" si="17"/>
        <v>36.755929023944766</v>
      </c>
      <c r="H264" s="316">
        <f t="shared" si="18"/>
        <v>0</v>
      </c>
      <c r="I264" s="58">
        <f t="shared" si="19"/>
        <v>0</v>
      </c>
      <c r="J264" s="34">
        <f t="shared" si="20"/>
        <v>36.755929023944766</v>
      </c>
    </row>
    <row r="265" spans="1:10" x14ac:dyDescent="0.25">
      <c r="A265" s="50">
        <f>'A) Base RI'!A267</f>
        <v>5858</v>
      </c>
      <c r="B265" s="301" t="str">
        <f>'A) Base RI'!B267</f>
        <v>Luins</v>
      </c>
      <c r="C265" s="100">
        <f>'B) D RI'!U267</f>
        <v>43824.152277777779</v>
      </c>
      <c r="D265" s="116">
        <f>'E) Fact soc'!G271/C265</f>
        <v>21.105334560238834</v>
      </c>
      <c r="E265" s="141">
        <f>'H) Péréquation directe'!I276/C265</f>
        <v>16.792658957371845</v>
      </c>
      <c r="F265" s="116">
        <f>+'I) Dépenses thématiques'!O265/'J) Plafonnement effort'!C265</f>
        <v>0</v>
      </c>
      <c r="G265" s="141">
        <f t="shared" si="17"/>
        <v>37.897993517610679</v>
      </c>
      <c r="H265" s="316">
        <f t="shared" si="18"/>
        <v>0</v>
      </c>
      <c r="I265" s="58">
        <f t="shared" si="19"/>
        <v>0</v>
      </c>
      <c r="J265" s="34">
        <f t="shared" si="20"/>
        <v>37.897993517610679</v>
      </c>
    </row>
    <row r="266" spans="1:10" x14ac:dyDescent="0.25">
      <c r="A266" s="50">
        <f>'A) Base RI'!A268</f>
        <v>5859</v>
      </c>
      <c r="B266" s="301" t="str">
        <f>'A) Base RI'!B268</f>
        <v>Mont-sur-Rolle</v>
      </c>
      <c r="C266" s="100">
        <f>'B) D RI'!U268</f>
        <v>142920.65553846155</v>
      </c>
      <c r="D266" s="116">
        <f>'E) Fact soc'!G272/C266</f>
        <v>16.446916511666689</v>
      </c>
      <c r="E266" s="141">
        <f>'H) Péréquation directe'!I277/C266</f>
        <v>14.243295608634453</v>
      </c>
      <c r="F266" s="116">
        <f>+'I) Dépenses thématiques'!O266/'J) Plafonnement effort'!C266</f>
        <v>0</v>
      </c>
      <c r="G266" s="141">
        <f t="shared" si="17"/>
        <v>30.69021212030114</v>
      </c>
      <c r="H266" s="316">
        <f t="shared" si="18"/>
        <v>0</v>
      </c>
      <c r="I266" s="58">
        <f t="shared" si="19"/>
        <v>0</v>
      </c>
      <c r="J266" s="34">
        <f t="shared" si="20"/>
        <v>30.69021212030114</v>
      </c>
    </row>
    <row r="267" spans="1:10" x14ac:dyDescent="0.25">
      <c r="A267" s="50">
        <f>'A) Base RI'!A269</f>
        <v>5860</v>
      </c>
      <c r="B267" s="301" t="str">
        <f>'A) Base RI'!B269</f>
        <v>Perroy</v>
      </c>
      <c r="C267" s="100">
        <f>'B) D RI'!U269</f>
        <v>95739.614192307679</v>
      </c>
      <c r="D267" s="116">
        <f>'E) Fact soc'!G273/C267</f>
        <v>22.447643077587347</v>
      </c>
      <c r="E267" s="141">
        <f>'H) Péréquation directe'!I278/C267</f>
        <v>15.596813690313182</v>
      </c>
      <c r="F267" s="116">
        <f>+'I) Dépenses thématiques'!O267/'J) Plafonnement effort'!C267</f>
        <v>0</v>
      </c>
      <c r="G267" s="141">
        <f t="shared" si="17"/>
        <v>38.044456767900527</v>
      </c>
      <c r="H267" s="316">
        <f t="shared" si="18"/>
        <v>0</v>
      </c>
      <c r="I267" s="58">
        <f t="shared" si="19"/>
        <v>0</v>
      </c>
      <c r="J267" s="34">
        <f t="shared" si="20"/>
        <v>38.044456767900527</v>
      </c>
    </row>
    <row r="268" spans="1:10" x14ac:dyDescent="0.25">
      <c r="A268" s="50">
        <f>'A) Base RI'!A270</f>
        <v>5861</v>
      </c>
      <c r="B268" s="301" t="str">
        <f>'A) Base RI'!B270</f>
        <v>Rolle</v>
      </c>
      <c r="C268" s="100">
        <f>'B) D RI'!U270</f>
        <v>654027.21747899149</v>
      </c>
      <c r="D268" s="116">
        <f>'E) Fact soc'!G274/C268</f>
        <v>27.355047067133338</v>
      </c>
      <c r="E268" s="141">
        <f>'H) Péréquation directe'!I279/C268</f>
        <v>13.054261409324413</v>
      </c>
      <c r="F268" s="116">
        <f>+'I) Dépenses thématiques'!O268/'J) Plafonnement effort'!C268</f>
        <v>0</v>
      </c>
      <c r="G268" s="141">
        <f t="shared" si="17"/>
        <v>40.409308476457753</v>
      </c>
      <c r="H268" s="316">
        <f t="shared" si="18"/>
        <v>0</v>
      </c>
      <c r="I268" s="58">
        <f t="shared" si="19"/>
        <v>0</v>
      </c>
      <c r="J268" s="34">
        <f t="shared" si="20"/>
        <v>40.409308476457753</v>
      </c>
    </row>
    <row r="269" spans="1:10" x14ac:dyDescent="0.25">
      <c r="A269" s="50">
        <f>'A) Base RI'!A271</f>
        <v>5862</v>
      </c>
      <c r="B269" s="301" t="str">
        <f>'A) Base RI'!B271</f>
        <v>Tartegnin</v>
      </c>
      <c r="C269" s="100">
        <f>'B) D RI'!U271</f>
        <v>12310.23827160494</v>
      </c>
      <c r="D269" s="116">
        <f>'E) Fact soc'!G275/C269</f>
        <v>16.619799895746915</v>
      </c>
      <c r="E269" s="141">
        <f>'H) Péréquation directe'!I280/C269</f>
        <v>16.985039298482594</v>
      </c>
      <c r="F269" s="116">
        <f>+'I) Dépenses thématiques'!O269/'J) Plafonnement effort'!C269</f>
        <v>0</v>
      </c>
      <c r="G269" s="141">
        <f t="shared" si="17"/>
        <v>33.604839194229513</v>
      </c>
      <c r="H269" s="316">
        <f t="shared" si="18"/>
        <v>0</v>
      </c>
      <c r="I269" s="58">
        <f t="shared" si="19"/>
        <v>0</v>
      </c>
      <c r="J269" s="34">
        <f t="shared" si="20"/>
        <v>33.604839194229513</v>
      </c>
    </row>
    <row r="270" spans="1:10" x14ac:dyDescent="0.25">
      <c r="A270" s="50">
        <f>'A) Base RI'!A272</f>
        <v>5863</v>
      </c>
      <c r="B270" s="301" t="str">
        <f>'A) Base RI'!B272</f>
        <v>Vinzel</v>
      </c>
      <c r="C270" s="100">
        <f>'B) D RI'!U272</f>
        <v>22498.98940298508</v>
      </c>
      <c r="D270" s="116">
        <f>'E) Fact soc'!G276/C270</f>
        <v>18.632618914482521</v>
      </c>
      <c r="E270" s="141">
        <f>'H) Péréquation directe'!I281/C270</f>
        <v>16.993237896779718</v>
      </c>
      <c r="F270" s="116">
        <f>+'I) Dépenses thématiques'!O270/'J) Plafonnement effort'!C270</f>
        <v>0</v>
      </c>
      <c r="G270" s="141">
        <f t="shared" si="17"/>
        <v>35.625856811262238</v>
      </c>
      <c r="H270" s="316">
        <f t="shared" si="18"/>
        <v>0</v>
      </c>
      <c r="I270" s="58">
        <f t="shared" si="19"/>
        <v>0</v>
      </c>
      <c r="J270" s="34">
        <f t="shared" si="20"/>
        <v>35.625856811262238</v>
      </c>
    </row>
    <row r="271" spans="1:10" x14ac:dyDescent="0.25">
      <c r="A271" s="50">
        <f>'A) Base RI'!A273</f>
        <v>5871</v>
      </c>
      <c r="B271" s="301" t="str">
        <f>'A) Base RI'!B273</f>
        <v>L'Abbaye</v>
      </c>
      <c r="C271" s="100">
        <f>'B) D RI'!U273</f>
        <v>44627.892122623205</v>
      </c>
      <c r="D271" s="116">
        <f>'E) Fact soc'!G277/C271</f>
        <v>20.888543834518408</v>
      </c>
      <c r="E271" s="141">
        <f>'H) Péréquation directe'!I282/C271</f>
        <v>1.2179094313722554</v>
      </c>
      <c r="F271" s="116">
        <f>+'I) Dépenses thématiques'!O271/'J) Plafonnement effort'!C271</f>
        <v>-7.8460564786795608</v>
      </c>
      <c r="G271" s="141">
        <f t="shared" si="17"/>
        <v>14.260396787211103</v>
      </c>
      <c r="H271" s="316">
        <f t="shared" si="18"/>
        <v>0</v>
      </c>
      <c r="I271" s="58">
        <f t="shared" si="19"/>
        <v>0</v>
      </c>
      <c r="J271" s="34">
        <f t="shared" si="20"/>
        <v>14.260396787211103</v>
      </c>
    </row>
    <row r="272" spans="1:10" x14ac:dyDescent="0.25">
      <c r="A272" s="50">
        <f>'A) Base RI'!A274</f>
        <v>5872</v>
      </c>
      <c r="B272" s="301" t="str">
        <f>'A) Base RI'!B274</f>
        <v>Le Chenit</v>
      </c>
      <c r="C272" s="100">
        <f>'B) D RI'!U274</f>
        <v>195855.08877191509</v>
      </c>
      <c r="D272" s="116">
        <f>'E) Fact soc'!G278/C272</f>
        <v>27.26959538372013</v>
      </c>
      <c r="E272" s="141">
        <f>'H) Péréquation directe'!I283/C272</f>
        <v>9.7106226056133309</v>
      </c>
      <c r="F272" s="116">
        <f>+'I) Dépenses thématiques'!O272/'J) Plafonnement effort'!C272</f>
        <v>-7.7319060246950153</v>
      </c>
      <c r="G272" s="141">
        <f t="shared" si="17"/>
        <v>29.248311964638447</v>
      </c>
      <c r="H272" s="316">
        <f t="shared" si="18"/>
        <v>0</v>
      </c>
      <c r="I272" s="58">
        <f t="shared" si="19"/>
        <v>0</v>
      </c>
      <c r="J272" s="34">
        <f t="shared" si="20"/>
        <v>29.248311964638447</v>
      </c>
    </row>
    <row r="273" spans="1:10" x14ac:dyDescent="0.25">
      <c r="A273" s="50">
        <f>'A) Base RI'!A275</f>
        <v>5873</v>
      </c>
      <c r="B273" s="301" t="str">
        <f>'A) Base RI'!B275</f>
        <v>Le Lieu</v>
      </c>
      <c r="C273" s="100">
        <f>'B) D RI'!U275</f>
        <v>31663.23595238095</v>
      </c>
      <c r="D273" s="116">
        <f>'E) Fact soc'!G279/C273</f>
        <v>23.68109598113373</v>
      </c>
      <c r="E273" s="141">
        <f>'H) Péréquation directe'!I284/C273</f>
        <v>11.44860598445657</v>
      </c>
      <c r="F273" s="116">
        <f>+'I) Dépenses thématiques'!O273/'J) Plafonnement effort'!C273</f>
        <v>-22.155420364439166</v>
      </c>
      <c r="G273" s="141">
        <f t="shared" si="17"/>
        <v>12.974281601151134</v>
      </c>
      <c r="H273" s="316">
        <f t="shared" si="18"/>
        <v>0</v>
      </c>
      <c r="I273" s="58">
        <f t="shared" si="19"/>
        <v>0</v>
      </c>
      <c r="J273" s="34">
        <f t="shared" si="20"/>
        <v>12.974281601151134</v>
      </c>
    </row>
    <row r="274" spans="1:10" x14ac:dyDescent="0.25">
      <c r="A274" s="50">
        <f>'A) Base RI'!A276</f>
        <v>5881</v>
      </c>
      <c r="B274" s="301" t="str">
        <f>'A) Base RI'!B276</f>
        <v>Blonay</v>
      </c>
      <c r="C274" s="100">
        <f>'B) D RI'!U276</f>
        <v>333471.52885714278</v>
      </c>
      <c r="D274" s="116">
        <f>'E) Fact soc'!G280/C274</f>
        <v>16.725748195477074</v>
      </c>
      <c r="E274" s="141">
        <f>'H) Péréquation directe'!I285/C274</f>
        <v>11.477037080386291</v>
      </c>
      <c r="F274" s="116">
        <f>+'I) Dépenses thématiques'!O274/'J) Plafonnement effort'!C274</f>
        <v>-1.7309422338173646</v>
      </c>
      <c r="G274" s="141">
        <f t="shared" si="17"/>
        <v>26.471843042045997</v>
      </c>
      <c r="H274" s="316">
        <f t="shared" si="18"/>
        <v>0</v>
      </c>
      <c r="I274" s="58">
        <f t="shared" si="19"/>
        <v>0</v>
      </c>
      <c r="J274" s="34">
        <f t="shared" si="20"/>
        <v>26.471843042045997</v>
      </c>
    </row>
    <row r="275" spans="1:10" x14ac:dyDescent="0.25">
      <c r="A275" s="50">
        <f>'A) Base RI'!A277</f>
        <v>5882</v>
      </c>
      <c r="B275" s="301" t="str">
        <f>'A) Base RI'!B277</f>
        <v>Chardonne</v>
      </c>
      <c r="C275" s="100">
        <f>'B) D RI'!U277</f>
        <v>161419.68117647059</v>
      </c>
      <c r="D275" s="116">
        <f>'E) Fact soc'!G281/C275</f>
        <v>20.485907501960206</v>
      </c>
      <c r="E275" s="141">
        <f>'H) Péréquation directe'!I286/C275</f>
        <v>14.158125012477401</v>
      </c>
      <c r="F275" s="116">
        <f>+'I) Dépenses thématiques'!O275/'J) Plafonnement effort'!C275</f>
        <v>-2.2012713092578648</v>
      </c>
      <c r="G275" s="141">
        <f t="shared" si="17"/>
        <v>32.442761205179742</v>
      </c>
      <c r="H275" s="316">
        <f t="shared" si="18"/>
        <v>0</v>
      </c>
      <c r="I275" s="58">
        <f t="shared" si="19"/>
        <v>0</v>
      </c>
      <c r="J275" s="34">
        <f t="shared" si="20"/>
        <v>32.442761205179742</v>
      </c>
    </row>
    <row r="276" spans="1:10" x14ac:dyDescent="0.25">
      <c r="A276" s="50">
        <f>'A) Base RI'!A278</f>
        <v>5883</v>
      </c>
      <c r="B276" s="301" t="str">
        <f>'A) Base RI'!B278</f>
        <v>Corseaux</v>
      </c>
      <c r="C276" s="100">
        <f>'B) D RI'!U278</f>
        <v>156359.79318840581</v>
      </c>
      <c r="D276" s="116">
        <f>'E) Fact soc'!G282/C276</f>
        <v>30.000354829279406</v>
      </c>
      <c r="E276" s="141">
        <f>'H) Péréquation directe'!I287/C276</f>
        <v>14.827278626466176</v>
      </c>
      <c r="F276" s="116">
        <f>+'I) Dépenses thématiques'!O276/'J) Plafonnement effort'!C276</f>
        <v>0</v>
      </c>
      <c r="G276" s="141">
        <f t="shared" si="17"/>
        <v>44.827633455745584</v>
      </c>
      <c r="H276" s="316">
        <f t="shared" si="18"/>
        <v>0</v>
      </c>
      <c r="I276" s="58">
        <f t="shared" si="19"/>
        <v>0</v>
      </c>
      <c r="J276" s="34">
        <f t="shared" si="20"/>
        <v>44.827633455745584</v>
      </c>
    </row>
    <row r="277" spans="1:10" x14ac:dyDescent="0.25">
      <c r="A277" s="50">
        <f>'A) Base RI'!A279</f>
        <v>5884</v>
      </c>
      <c r="B277" s="301" t="str">
        <f>'A) Base RI'!B279</f>
        <v>Corsier-sur-Vevey</v>
      </c>
      <c r="C277" s="100">
        <f>'B) D RI'!U279</f>
        <v>119111.03626262626</v>
      </c>
      <c r="D277" s="116">
        <f>'E) Fact soc'!G283/C277</f>
        <v>18.074882286032988</v>
      </c>
      <c r="E277" s="141">
        <f>'H) Péréquation directe'!I288/C277</f>
        <v>5.7929539497425289</v>
      </c>
      <c r="F277" s="116">
        <f>+'I) Dépenses thématiques'!O277/'J) Plafonnement effort'!C277</f>
        <v>-10.022963518188549</v>
      </c>
      <c r="G277" s="141">
        <f t="shared" si="17"/>
        <v>13.844872717586968</v>
      </c>
      <c r="H277" s="316">
        <f t="shared" si="18"/>
        <v>0</v>
      </c>
      <c r="I277" s="58">
        <f t="shared" si="19"/>
        <v>0</v>
      </c>
      <c r="J277" s="34">
        <f t="shared" si="20"/>
        <v>13.844872717586968</v>
      </c>
    </row>
    <row r="278" spans="1:10" x14ac:dyDescent="0.25">
      <c r="A278" s="50">
        <f>'A) Base RI'!A280</f>
        <v>5885</v>
      </c>
      <c r="B278" s="301" t="str">
        <f>'A) Base RI'!B280</f>
        <v>Jongny</v>
      </c>
      <c r="C278" s="100">
        <f>'B) D RI'!U280</f>
        <v>83805.46166666667</v>
      </c>
      <c r="D278" s="116">
        <f>'E) Fact soc'!G284/C278</f>
        <v>22.164252850382152</v>
      </c>
      <c r="E278" s="141">
        <f>'H) Péréquation directe'!I289/C278</f>
        <v>15.553060754412558</v>
      </c>
      <c r="F278" s="116">
        <f>+'I) Dépenses thématiques'!O278/'J) Plafonnement effort'!C278</f>
        <v>-0.18306984637361476</v>
      </c>
      <c r="G278" s="141">
        <f t="shared" si="17"/>
        <v>37.534243758421098</v>
      </c>
      <c r="H278" s="316">
        <f t="shared" si="18"/>
        <v>0</v>
      </c>
      <c r="I278" s="58">
        <f t="shared" si="19"/>
        <v>0</v>
      </c>
      <c r="J278" s="34">
        <f t="shared" si="20"/>
        <v>37.534243758421098</v>
      </c>
    </row>
    <row r="279" spans="1:10" x14ac:dyDescent="0.25">
      <c r="A279" s="50">
        <f>'A) Base RI'!A281</f>
        <v>5886</v>
      </c>
      <c r="B279" s="301" t="str">
        <f>'A) Base RI'!B281</f>
        <v>Montreux</v>
      </c>
      <c r="C279" s="100">
        <f>'B) D RI'!U281</f>
        <v>1120949.2064615386</v>
      </c>
      <c r="D279" s="116">
        <f>'E) Fact soc'!G285/C279</f>
        <v>25.332234553462236</v>
      </c>
      <c r="E279" s="141">
        <f>'H) Péréquation directe'!I290/C279</f>
        <v>-0.76954800465649231</v>
      </c>
      <c r="F279" s="116">
        <f>+'I) Dépenses thématiques'!O279/'J) Plafonnement effort'!C279</f>
        <v>-5.4804014299169062</v>
      </c>
      <c r="G279" s="141">
        <f t="shared" si="17"/>
        <v>19.082285118888837</v>
      </c>
      <c r="H279" s="316">
        <f t="shared" si="18"/>
        <v>0</v>
      </c>
      <c r="I279" s="58">
        <f t="shared" si="19"/>
        <v>0</v>
      </c>
      <c r="J279" s="34">
        <f t="shared" si="20"/>
        <v>19.082285118888837</v>
      </c>
    </row>
    <row r="280" spans="1:10" x14ac:dyDescent="0.25">
      <c r="A280" s="50">
        <f>'A) Base RI'!A282</f>
        <v>5888</v>
      </c>
      <c r="B280" s="301" t="str">
        <f>'A) Base RI'!B282</f>
        <v>Saint-Légier-La Chiésaz</v>
      </c>
      <c r="C280" s="100">
        <f>'B) D RI'!U282</f>
        <v>318719.43035714288</v>
      </c>
      <c r="D280" s="116">
        <f>'E) Fact soc'!G286/C280</f>
        <v>19.89371694185639</v>
      </c>
      <c r="E280" s="141">
        <f>'H) Péréquation directe'!I291/C280</f>
        <v>12.660583520117424</v>
      </c>
      <c r="F280" s="116">
        <f>+'I) Dépenses thématiques'!O280/'J) Plafonnement effort'!C280</f>
        <v>-1.6640201992023445</v>
      </c>
      <c r="G280" s="141">
        <f t="shared" si="17"/>
        <v>30.890280262771466</v>
      </c>
      <c r="H280" s="316">
        <f t="shared" si="18"/>
        <v>0</v>
      </c>
      <c r="I280" s="58">
        <f t="shared" si="19"/>
        <v>0</v>
      </c>
      <c r="J280" s="34">
        <f t="shared" si="20"/>
        <v>30.890280262771466</v>
      </c>
    </row>
    <row r="281" spans="1:10" x14ac:dyDescent="0.25">
      <c r="A281" s="50">
        <f>'A) Base RI'!A283</f>
        <v>5889</v>
      </c>
      <c r="B281" s="301" t="str">
        <f>'A) Base RI'!B283</f>
        <v>La Tour-de-Peilz</v>
      </c>
      <c r="C281" s="100">
        <f>'B) D RI'!U283</f>
        <v>645590.04875000007</v>
      </c>
      <c r="D281" s="116">
        <f>'E) Fact soc'!G287/C281</f>
        <v>20.995916898586824</v>
      </c>
      <c r="E281" s="141">
        <f>'H) Péréquation directe'!I292/C281</f>
        <v>8.7060064474743566</v>
      </c>
      <c r="F281" s="116">
        <f>+'I) Dépenses thématiques'!O281/'J) Plafonnement effort'!C281</f>
        <v>0</v>
      </c>
      <c r="G281" s="141">
        <f t="shared" si="17"/>
        <v>29.701923346061179</v>
      </c>
      <c r="H281" s="316">
        <f t="shared" si="18"/>
        <v>0</v>
      </c>
      <c r="I281" s="58">
        <f t="shared" si="19"/>
        <v>0</v>
      </c>
      <c r="J281" s="34">
        <f t="shared" si="20"/>
        <v>29.701923346061179</v>
      </c>
    </row>
    <row r="282" spans="1:10" x14ac:dyDescent="0.25">
      <c r="A282" s="50">
        <f>'A) Base RI'!A284</f>
        <v>5890</v>
      </c>
      <c r="B282" s="301" t="str">
        <f>'A) Base RI'!B284</f>
        <v>Vevey</v>
      </c>
      <c r="C282" s="100">
        <f>'B) D RI'!U284</f>
        <v>923815.49078947364</v>
      </c>
      <c r="D282" s="116">
        <f>'E) Fact soc'!G288/C282</f>
        <v>18.757816148390258</v>
      </c>
      <c r="E282" s="141">
        <f>'H) Péréquation directe'!I293/C282</f>
        <v>2.8696949434492423</v>
      </c>
      <c r="F282" s="116">
        <f>+'I) Dépenses thématiques'!O282/'J) Plafonnement effort'!C282</f>
        <v>-3.1156549530591291</v>
      </c>
      <c r="G282" s="141">
        <f t="shared" si="17"/>
        <v>18.511856138780374</v>
      </c>
      <c r="H282" s="316">
        <f t="shared" si="18"/>
        <v>0</v>
      </c>
      <c r="I282" s="58">
        <f t="shared" si="19"/>
        <v>0</v>
      </c>
      <c r="J282" s="34">
        <f t="shared" si="20"/>
        <v>18.511856138780374</v>
      </c>
    </row>
    <row r="283" spans="1:10" x14ac:dyDescent="0.25">
      <c r="A283" s="50">
        <f>'A) Base RI'!A285</f>
        <v>5891</v>
      </c>
      <c r="B283" s="301" t="str">
        <f>'A) Base RI'!B285</f>
        <v>Veytaux</v>
      </c>
      <c r="C283" s="100">
        <f>'B) D RI'!U285</f>
        <v>37468.229154929577</v>
      </c>
      <c r="D283" s="116">
        <f>'E) Fact soc'!G289/C283</f>
        <v>26.222172356109223</v>
      </c>
      <c r="E283" s="141">
        <f>'H) Péréquation directe'!I294/C283</f>
        <v>15.359702694259617</v>
      </c>
      <c r="F283" s="116">
        <f>+'I) Dépenses thématiques'!O283/'J) Plafonnement effort'!C283</f>
        <v>-11.71690697520536</v>
      </c>
      <c r="G283" s="141">
        <f t="shared" si="17"/>
        <v>29.864968075163475</v>
      </c>
      <c r="H283" s="316">
        <f t="shared" si="18"/>
        <v>0</v>
      </c>
      <c r="I283" s="58">
        <f t="shared" si="19"/>
        <v>0</v>
      </c>
      <c r="J283" s="34">
        <f t="shared" si="20"/>
        <v>29.864968075163475</v>
      </c>
    </row>
    <row r="284" spans="1:10" x14ac:dyDescent="0.25">
      <c r="A284" s="50">
        <f>'A) Base RI'!A286</f>
        <v>5902</v>
      </c>
      <c r="B284" s="301" t="str">
        <f>'A) Base RI'!B286</f>
        <v>Belmont-sur-Yverdon</v>
      </c>
      <c r="C284" s="100">
        <f>'B) D RI'!U286</f>
        <v>10322.452500000001</v>
      </c>
      <c r="D284" s="116">
        <f>'E) Fact soc'!G290/C284</f>
        <v>14.692798763463033</v>
      </c>
      <c r="E284" s="141">
        <f>'H) Péréquation directe'!I295/C284</f>
        <v>-0.24526178151617434</v>
      </c>
      <c r="F284" s="116">
        <f>+'I) Dépenses thématiques'!O284/'J) Plafonnement effort'!C284</f>
        <v>-0.65354181209391093</v>
      </c>
      <c r="G284" s="141">
        <f t="shared" si="17"/>
        <v>13.793995169852948</v>
      </c>
      <c r="H284" s="316">
        <f t="shared" si="18"/>
        <v>0</v>
      </c>
      <c r="I284" s="58">
        <f t="shared" si="19"/>
        <v>0</v>
      </c>
      <c r="J284" s="34">
        <f t="shared" si="20"/>
        <v>13.793995169852948</v>
      </c>
    </row>
    <row r="285" spans="1:10" x14ac:dyDescent="0.25">
      <c r="A285" s="50">
        <f>'A) Base RI'!A287</f>
        <v>5903</v>
      </c>
      <c r="B285" s="301" t="str">
        <f>'A) Base RI'!B287</f>
        <v>Bioley-Magnoux</v>
      </c>
      <c r="C285" s="100">
        <f>'B) D RI'!U287</f>
        <v>5492.9202895752896</v>
      </c>
      <c r="D285" s="116">
        <f>'E) Fact soc'!G291/C285</f>
        <v>17.493715563564109</v>
      </c>
      <c r="E285" s="141">
        <f>'H) Péréquation directe'!I296/C285</f>
        <v>-3.5004219392217202</v>
      </c>
      <c r="F285" s="116">
        <f>+'I) Dépenses thématiques'!O285/'J) Plafonnement effort'!C285</f>
        <v>-38.279955997924809</v>
      </c>
      <c r="G285" s="141">
        <f t="shared" si="17"/>
        <v>-24.28666237358242</v>
      </c>
      <c r="H285" s="316">
        <f t="shared" si="18"/>
        <v>0</v>
      </c>
      <c r="I285" s="58">
        <f t="shared" si="19"/>
        <v>0</v>
      </c>
      <c r="J285" s="34">
        <f t="shared" si="20"/>
        <v>-24.28666237358242</v>
      </c>
    </row>
    <row r="286" spans="1:10" x14ac:dyDescent="0.25">
      <c r="A286" s="50">
        <f>'A) Base RI'!A288</f>
        <v>5904</v>
      </c>
      <c r="B286" s="301" t="str">
        <f>'A) Base RI'!B288</f>
        <v>Chamblon</v>
      </c>
      <c r="C286" s="100">
        <f>'B) D RI'!U288</f>
        <v>20041.272272727278</v>
      </c>
      <c r="D286" s="116">
        <f>'E) Fact soc'!G292/C286</f>
        <v>16.352849427120166</v>
      </c>
      <c r="E286" s="141">
        <f>'H) Péréquation directe'!I297/C286</f>
        <v>12.497480553264893</v>
      </c>
      <c r="F286" s="116">
        <f>+'I) Dépenses thématiques'!O286/'J) Plafonnement effort'!C286</f>
        <v>0</v>
      </c>
      <c r="G286" s="141">
        <f t="shared" si="17"/>
        <v>28.850329980385059</v>
      </c>
      <c r="H286" s="316">
        <f t="shared" si="18"/>
        <v>0</v>
      </c>
      <c r="I286" s="58">
        <f t="shared" si="19"/>
        <v>0</v>
      </c>
      <c r="J286" s="34">
        <f t="shared" si="20"/>
        <v>28.850329980385059</v>
      </c>
    </row>
    <row r="287" spans="1:10" x14ac:dyDescent="0.25">
      <c r="A287" s="50">
        <f>'A) Base RI'!A289</f>
        <v>5905</v>
      </c>
      <c r="B287" s="301" t="str">
        <f>'A) Base RI'!B289</f>
        <v>Champvent</v>
      </c>
      <c r="C287" s="100">
        <f>'B) D RI'!U289</f>
        <v>24102.36943661972</v>
      </c>
      <c r="D287" s="116">
        <f>'E) Fact soc'!G293/C287</f>
        <v>16.314205373793435</v>
      </c>
      <c r="E287" s="141">
        <f>'H) Péréquation directe'!I298/C287</f>
        <v>10.524024062994348</v>
      </c>
      <c r="F287" s="116">
        <f>+'I) Dépenses thématiques'!O287/'J) Plafonnement effort'!C287</f>
        <v>-0.84257739981391599</v>
      </c>
      <c r="G287" s="141">
        <f t="shared" si="17"/>
        <v>25.995652036973869</v>
      </c>
      <c r="H287" s="316">
        <f t="shared" si="18"/>
        <v>0</v>
      </c>
      <c r="I287" s="58">
        <f t="shared" si="19"/>
        <v>0</v>
      </c>
      <c r="J287" s="34">
        <f t="shared" si="20"/>
        <v>25.995652036973869</v>
      </c>
    </row>
    <row r="288" spans="1:10" x14ac:dyDescent="0.25">
      <c r="A288" s="50">
        <f>'A) Base RI'!A290</f>
        <v>5907</v>
      </c>
      <c r="B288" s="301" t="str">
        <f>'A) Base RI'!B290</f>
        <v>Chavannes-le-Chêne</v>
      </c>
      <c r="C288" s="100">
        <f>'B) D RI'!U290</f>
        <v>8071.0708974358949</v>
      </c>
      <c r="D288" s="116">
        <f>'E) Fact soc'!G294/C288</f>
        <v>15.660033752505154</v>
      </c>
      <c r="E288" s="141">
        <f>'H) Péréquation directe'!I299/C288</f>
        <v>-2.2137940491046573</v>
      </c>
      <c r="F288" s="116">
        <f>+'I) Dépenses thématiques'!O288/'J) Plafonnement effort'!C288</f>
        <v>-6.9271419452392768</v>
      </c>
      <c r="G288" s="141">
        <f t="shared" si="17"/>
        <v>6.5190977581612204</v>
      </c>
      <c r="H288" s="316">
        <f t="shared" si="18"/>
        <v>0</v>
      </c>
      <c r="I288" s="58">
        <f t="shared" si="19"/>
        <v>0</v>
      </c>
      <c r="J288" s="34">
        <f t="shared" si="20"/>
        <v>6.5190977581612204</v>
      </c>
    </row>
    <row r="289" spans="1:10" x14ac:dyDescent="0.25">
      <c r="A289" s="50">
        <f>'A) Base RI'!A291</f>
        <v>5908</v>
      </c>
      <c r="B289" s="301" t="str">
        <f>'A) Base RI'!B291</f>
        <v>Chêne-Pâquier</v>
      </c>
      <c r="C289" s="100">
        <f>'B) D RI'!U291</f>
        <v>3125.58</v>
      </c>
      <c r="D289" s="116">
        <f>'E) Fact soc'!G295/C289</f>
        <v>27.428457475439501</v>
      </c>
      <c r="E289" s="141">
        <f>'H) Péréquation directe'!I300/C289</f>
        <v>-11.117562562035708</v>
      </c>
      <c r="F289" s="116">
        <f>+'I) Dépenses thématiques'!O289/'J) Plafonnement effort'!C289</f>
        <v>-3.7469054101437229</v>
      </c>
      <c r="G289" s="141">
        <f t="shared" si="17"/>
        <v>12.563989503260069</v>
      </c>
      <c r="H289" s="316">
        <f t="shared" si="18"/>
        <v>0</v>
      </c>
      <c r="I289" s="58">
        <f t="shared" si="19"/>
        <v>0</v>
      </c>
      <c r="J289" s="34">
        <f t="shared" si="20"/>
        <v>12.563989503260069</v>
      </c>
    </row>
    <row r="290" spans="1:10" x14ac:dyDescent="0.25">
      <c r="A290" s="50">
        <f>'A) Base RI'!A292</f>
        <v>5909</v>
      </c>
      <c r="B290" s="301" t="str">
        <f>'A) Base RI'!B292</f>
        <v>Cheseaux-Noréaz</v>
      </c>
      <c r="C290" s="100">
        <f>'B) D RI'!U292</f>
        <v>32763.333428571434</v>
      </c>
      <c r="D290" s="116">
        <f>'E) Fact soc'!G296/C290</f>
        <v>17.356331885381223</v>
      </c>
      <c r="E290" s="141">
        <f>'H) Péréquation directe'!I301/C290</f>
        <v>16.782948658627053</v>
      </c>
      <c r="F290" s="116">
        <f>+'I) Dépenses thématiques'!O290/'J) Plafonnement effort'!C290</f>
        <v>-2.0526164823562438</v>
      </c>
      <c r="G290" s="141">
        <f t="shared" si="17"/>
        <v>32.08666406165203</v>
      </c>
      <c r="H290" s="316">
        <f t="shared" si="18"/>
        <v>0</v>
      </c>
      <c r="I290" s="58">
        <f t="shared" si="19"/>
        <v>0</v>
      </c>
      <c r="J290" s="34">
        <f t="shared" si="20"/>
        <v>32.08666406165203</v>
      </c>
    </row>
    <row r="291" spans="1:10" x14ac:dyDescent="0.25">
      <c r="A291" s="50">
        <f>'A) Base RI'!A293</f>
        <v>5910</v>
      </c>
      <c r="B291" s="301" t="str">
        <f>'A) Base RI'!B293</f>
        <v>Cronay</v>
      </c>
      <c r="C291" s="100">
        <f>'B) D RI'!U293</f>
        <v>9653.2049367088639</v>
      </c>
      <c r="D291" s="116">
        <f>'E) Fact soc'!G297/C291</f>
        <v>16.07446901777579</v>
      </c>
      <c r="E291" s="141">
        <f>'H) Péréquation directe'!I302/C291</f>
        <v>-4.7572897736111432</v>
      </c>
      <c r="F291" s="116">
        <f>+'I) Dépenses thématiques'!O291/'J) Plafonnement effort'!C291</f>
        <v>-8.4619904064457678</v>
      </c>
      <c r="G291" s="141">
        <f t="shared" si="17"/>
        <v>2.8551888377188792</v>
      </c>
      <c r="H291" s="316">
        <f t="shared" si="18"/>
        <v>0</v>
      </c>
      <c r="I291" s="58">
        <f t="shared" si="19"/>
        <v>0</v>
      </c>
      <c r="J291" s="34">
        <f t="shared" si="20"/>
        <v>2.8551888377188792</v>
      </c>
    </row>
    <row r="292" spans="1:10" x14ac:dyDescent="0.25">
      <c r="A292" s="50">
        <f>'A) Base RI'!A294</f>
        <v>5911</v>
      </c>
      <c r="B292" s="301" t="str">
        <f>'A) Base RI'!B294</f>
        <v>Cuarny</v>
      </c>
      <c r="C292" s="100">
        <f>'B) D RI'!U294</f>
        <v>6896.824556962024</v>
      </c>
      <c r="D292" s="116">
        <f>'E) Fact soc'!G298/C292</f>
        <v>18.804891822566663</v>
      </c>
      <c r="E292" s="141">
        <f>'H) Péréquation directe'!I303/C292</f>
        <v>0.89867683147163047</v>
      </c>
      <c r="F292" s="116">
        <f>+'I) Dépenses thématiques'!O292/'J) Plafonnement effort'!C292</f>
        <v>-14.34705146749805</v>
      </c>
      <c r="G292" s="141">
        <f t="shared" si="17"/>
        <v>5.356517186540243</v>
      </c>
      <c r="H292" s="316">
        <f t="shared" si="18"/>
        <v>0</v>
      </c>
      <c r="I292" s="58">
        <f t="shared" si="19"/>
        <v>0</v>
      </c>
      <c r="J292" s="34">
        <f t="shared" si="20"/>
        <v>5.356517186540243</v>
      </c>
    </row>
    <row r="293" spans="1:10" x14ac:dyDescent="0.25">
      <c r="A293" s="50">
        <f>'A) Base RI'!A295</f>
        <v>5912</v>
      </c>
      <c r="B293" s="301" t="str">
        <f>'A) Base RI'!B295</f>
        <v>Démoret</v>
      </c>
      <c r="C293" s="100">
        <f>'B) D RI'!U295</f>
        <v>3136.4120987654323</v>
      </c>
      <c r="D293" s="116">
        <f>'E) Fact soc'!G299/C293</f>
        <v>14.631093466199614</v>
      </c>
      <c r="E293" s="141">
        <f>'H) Péréquation directe'!I304/C293</f>
        <v>-12.231333429236038</v>
      </c>
      <c r="F293" s="116">
        <f>+'I) Dépenses thématiques'!O293/'J) Plafonnement effort'!C293</f>
        <v>-16.53127729158069</v>
      </c>
      <c r="G293" s="141">
        <f t="shared" si="17"/>
        <v>-14.131517254617114</v>
      </c>
      <c r="H293" s="316">
        <f t="shared" si="18"/>
        <v>0</v>
      </c>
      <c r="I293" s="58">
        <f t="shared" si="19"/>
        <v>0</v>
      </c>
      <c r="J293" s="34">
        <f t="shared" si="20"/>
        <v>-14.131517254617114</v>
      </c>
    </row>
    <row r="294" spans="1:10" x14ac:dyDescent="0.25">
      <c r="A294" s="50">
        <f>'A) Base RI'!A296</f>
        <v>5913</v>
      </c>
      <c r="B294" s="301" t="str">
        <f>'A) Base RI'!B296</f>
        <v>Donneloye</v>
      </c>
      <c r="C294" s="100">
        <f>'B) D RI'!U296</f>
        <v>20372.909452054791</v>
      </c>
      <c r="D294" s="116">
        <f>'E) Fact soc'!G300/C294</f>
        <v>18.575251034322292</v>
      </c>
      <c r="E294" s="141">
        <f>'H) Péréquation directe'!I305/C294</f>
        <v>-1.6877971454204248</v>
      </c>
      <c r="F294" s="116">
        <f>+'I) Dépenses thématiques'!O294/'J) Plafonnement effort'!C294</f>
        <v>-1.861812537002475</v>
      </c>
      <c r="G294" s="141">
        <f t="shared" si="17"/>
        <v>15.025641351899392</v>
      </c>
      <c r="H294" s="316">
        <f t="shared" si="18"/>
        <v>0</v>
      </c>
      <c r="I294" s="58">
        <f t="shared" si="19"/>
        <v>0</v>
      </c>
      <c r="J294" s="34">
        <f t="shared" si="20"/>
        <v>15.025641351899392</v>
      </c>
    </row>
    <row r="295" spans="1:10" x14ac:dyDescent="0.25">
      <c r="A295" s="50">
        <f>'A) Base RI'!A297</f>
        <v>5914</v>
      </c>
      <c r="B295" s="301" t="str">
        <f>'A) Base RI'!B297</f>
        <v>Ependes</v>
      </c>
      <c r="C295" s="100">
        <f>'B) D RI'!U297</f>
        <v>9355.5792000000001</v>
      </c>
      <c r="D295" s="116">
        <f>'E) Fact soc'!G301/C295</f>
        <v>16.65116294516891</v>
      </c>
      <c r="E295" s="141">
        <f>'H) Péréquation directe'!I306/C295</f>
        <v>-1.2549584969286025</v>
      </c>
      <c r="F295" s="116">
        <f>+'I) Dépenses thématiques'!O295/'J) Plafonnement effort'!C295</f>
        <v>-4.5616853266640494</v>
      </c>
      <c r="G295" s="141">
        <f t="shared" si="17"/>
        <v>10.834519121576259</v>
      </c>
      <c r="H295" s="316">
        <f t="shared" si="18"/>
        <v>0</v>
      </c>
      <c r="I295" s="58">
        <f t="shared" si="19"/>
        <v>0</v>
      </c>
      <c r="J295" s="34">
        <f t="shared" si="20"/>
        <v>10.834519121576259</v>
      </c>
    </row>
    <row r="296" spans="1:10" x14ac:dyDescent="0.25">
      <c r="A296" s="50">
        <f>'A) Base RI'!A298</f>
        <v>5919</v>
      </c>
      <c r="B296" s="301" t="str">
        <f>'A) Base RI'!B298</f>
        <v>Mathod</v>
      </c>
      <c r="C296" s="100">
        <f>'B) D RI'!U298</f>
        <v>17162.928379629626</v>
      </c>
      <c r="D296" s="116">
        <f>'E) Fact soc'!G302/C296</f>
        <v>20.886993544850238</v>
      </c>
      <c r="E296" s="141">
        <f>'H) Péréquation directe'!I307/C296</f>
        <v>2.9886992702033806</v>
      </c>
      <c r="F296" s="116">
        <f>+'I) Dépenses thématiques'!O296/'J) Plafonnement effort'!C296</f>
        <v>-3.3530286861682184</v>
      </c>
      <c r="G296" s="141">
        <f t="shared" si="17"/>
        <v>20.522664128885399</v>
      </c>
      <c r="H296" s="316">
        <f t="shared" si="18"/>
        <v>0</v>
      </c>
      <c r="I296" s="58">
        <f t="shared" si="19"/>
        <v>0</v>
      </c>
      <c r="J296" s="34">
        <f t="shared" si="20"/>
        <v>20.522664128885399</v>
      </c>
    </row>
    <row r="297" spans="1:10" x14ac:dyDescent="0.25">
      <c r="A297" s="50">
        <f>'A) Base RI'!A299</f>
        <v>5921</v>
      </c>
      <c r="B297" s="301" t="str">
        <f>'A) Base RI'!B299</f>
        <v>Molondin</v>
      </c>
      <c r="C297" s="100">
        <f>'B) D RI'!U299</f>
        <v>5558.427777777777</v>
      </c>
      <c r="D297" s="116">
        <f>'E) Fact soc'!G303/C297</f>
        <v>16.591521924686575</v>
      </c>
      <c r="E297" s="141">
        <f>'H) Péréquation directe'!I308/C297</f>
        <v>-8.8207322788940097</v>
      </c>
      <c r="F297" s="116">
        <f>+'I) Dépenses thématiques'!O297/'J) Plafonnement effort'!C297</f>
        <v>-6.6553847833422797</v>
      </c>
      <c r="G297" s="141">
        <f t="shared" si="17"/>
        <v>1.1154048624502853</v>
      </c>
      <c r="H297" s="316">
        <f t="shared" si="18"/>
        <v>0</v>
      </c>
      <c r="I297" s="58">
        <f t="shared" si="19"/>
        <v>0</v>
      </c>
      <c r="J297" s="34">
        <f t="shared" si="20"/>
        <v>1.1154048624502853</v>
      </c>
    </row>
    <row r="298" spans="1:10" x14ac:dyDescent="0.25">
      <c r="A298" s="50">
        <f>'A) Base RI'!A300</f>
        <v>5922</v>
      </c>
      <c r="B298" s="301" t="str">
        <f>'A) Base RI'!B300</f>
        <v>Montagny-près-Yverdon</v>
      </c>
      <c r="C298" s="100">
        <f>'B) D RI'!U300</f>
        <v>39297.928807692319</v>
      </c>
      <c r="D298" s="116">
        <f>'E) Fact soc'!G304/C298</f>
        <v>20.791039227835167</v>
      </c>
      <c r="E298" s="141">
        <f>'H) Péréquation directe'!I309/C298</f>
        <v>17.105293253837235</v>
      </c>
      <c r="F298" s="116">
        <f>+'I) Dépenses thématiques'!O298/'J) Plafonnement effort'!C298</f>
        <v>-3.9020340989432665</v>
      </c>
      <c r="G298" s="141">
        <f t="shared" si="17"/>
        <v>33.994298382729134</v>
      </c>
      <c r="H298" s="316">
        <f t="shared" si="18"/>
        <v>0</v>
      </c>
      <c r="I298" s="58">
        <f t="shared" si="19"/>
        <v>0</v>
      </c>
      <c r="J298" s="34">
        <f t="shared" si="20"/>
        <v>33.994298382729134</v>
      </c>
    </row>
    <row r="299" spans="1:10" x14ac:dyDescent="0.25">
      <c r="A299" s="50">
        <f>'A) Base RI'!A301</f>
        <v>5923</v>
      </c>
      <c r="B299" s="301" t="str">
        <f>'A) Base RI'!B301</f>
        <v>Oppens</v>
      </c>
      <c r="C299" s="100">
        <f>'B) D RI'!U301</f>
        <v>5148.3425925925922</v>
      </c>
      <c r="D299" s="116">
        <f>'E) Fact soc'!G305/C299</f>
        <v>17.86991735954177</v>
      </c>
      <c r="E299" s="141">
        <f>'H) Péréquation directe'!I310/C299</f>
        <v>-3.4614109029922711</v>
      </c>
      <c r="F299" s="116">
        <f>+'I) Dépenses thématiques'!O299/'J) Plafonnement effort'!C299</f>
        <v>-7.7086323605858089</v>
      </c>
      <c r="G299" s="141">
        <f t="shared" si="17"/>
        <v>6.6998740959636907</v>
      </c>
      <c r="H299" s="316">
        <f t="shared" si="18"/>
        <v>0</v>
      </c>
      <c r="I299" s="58">
        <f t="shared" si="19"/>
        <v>0</v>
      </c>
      <c r="J299" s="34">
        <f t="shared" si="20"/>
        <v>6.6998740959636907</v>
      </c>
    </row>
    <row r="300" spans="1:10" x14ac:dyDescent="0.25">
      <c r="A300" s="50">
        <f>'A) Base RI'!A302</f>
        <v>5924</v>
      </c>
      <c r="B300" s="301" t="str">
        <f>'A) Base RI'!B302</f>
        <v>Orges</v>
      </c>
      <c r="C300" s="100">
        <f>'B) D RI'!U302</f>
        <v>10554.565405405407</v>
      </c>
      <c r="D300" s="116">
        <f>'E) Fact soc'!G306/C300</f>
        <v>16.702349283971515</v>
      </c>
      <c r="E300" s="141">
        <f>'H) Péréquation directe'!I311/C300</f>
        <v>6.7624893643261794</v>
      </c>
      <c r="F300" s="116">
        <f>+'I) Dépenses thématiques'!O300/'J) Plafonnement effort'!C300</f>
        <v>0</v>
      </c>
      <c r="G300" s="141">
        <f t="shared" si="17"/>
        <v>23.464838648297693</v>
      </c>
      <c r="H300" s="316">
        <f t="shared" si="18"/>
        <v>0</v>
      </c>
      <c r="I300" s="58">
        <f t="shared" si="19"/>
        <v>0</v>
      </c>
      <c r="J300" s="34">
        <f t="shared" si="20"/>
        <v>23.464838648297693</v>
      </c>
    </row>
    <row r="301" spans="1:10" x14ac:dyDescent="0.25">
      <c r="A301" s="50">
        <f>'A) Base RI'!A303</f>
        <v>5925</v>
      </c>
      <c r="B301" s="301" t="str">
        <f>'A) Base RI'!B303</f>
        <v>Orzens</v>
      </c>
      <c r="C301" s="100">
        <f>'B) D RI'!U303</f>
        <v>5593.0722784810123</v>
      </c>
      <c r="D301" s="116">
        <f>'E) Fact soc'!G307/C301</f>
        <v>19.13425000449492</v>
      </c>
      <c r="E301" s="141">
        <f>'H) Péréquation directe'!I312/C301</f>
        <v>1.1301139262396862</v>
      </c>
      <c r="F301" s="116">
        <f>+'I) Dépenses thématiques'!O301/'J) Plafonnement effort'!C301</f>
        <v>-2.7110762268824184</v>
      </c>
      <c r="G301" s="141">
        <f t="shared" si="17"/>
        <v>17.553287703852188</v>
      </c>
      <c r="H301" s="316">
        <f t="shared" si="18"/>
        <v>0</v>
      </c>
      <c r="I301" s="58">
        <f t="shared" si="19"/>
        <v>0</v>
      </c>
      <c r="J301" s="34">
        <f t="shared" si="20"/>
        <v>17.553287703852188</v>
      </c>
    </row>
    <row r="302" spans="1:10" x14ac:dyDescent="0.25">
      <c r="A302" s="50">
        <f>'A) Base RI'!A304</f>
        <v>5926</v>
      </c>
      <c r="B302" s="301" t="str">
        <f>'A) Base RI'!B304</f>
        <v>Pomy</v>
      </c>
      <c r="C302" s="100">
        <f>'B) D RI'!U304</f>
        <v>26612.015633802817</v>
      </c>
      <c r="D302" s="116">
        <f>'E) Fact soc'!G308/C302</f>
        <v>15.695158300282742</v>
      </c>
      <c r="E302" s="141">
        <f>'H) Péréquation directe'!I313/C302</f>
        <v>9.6328206102444511</v>
      </c>
      <c r="F302" s="116">
        <f>+'I) Dépenses thématiques'!O302/'J) Plafonnement effort'!C302</f>
        <v>-0.4255128399108315</v>
      </c>
      <c r="G302" s="141">
        <f t="shared" si="17"/>
        <v>24.902466070616363</v>
      </c>
      <c r="H302" s="316">
        <f t="shared" si="18"/>
        <v>0</v>
      </c>
      <c r="I302" s="58">
        <f t="shared" si="19"/>
        <v>0</v>
      </c>
      <c r="J302" s="34">
        <f t="shared" si="20"/>
        <v>24.902466070616363</v>
      </c>
    </row>
    <row r="303" spans="1:10" x14ac:dyDescent="0.25">
      <c r="A303" s="50">
        <f>'A) Base RI'!A305</f>
        <v>5928</v>
      </c>
      <c r="B303" s="301" t="str">
        <f>'A) Base RI'!B305</f>
        <v>Rovray</v>
      </c>
      <c r="C303" s="100">
        <f>'B) D RI'!U305</f>
        <v>4333.9980821917816</v>
      </c>
      <c r="D303" s="116">
        <f>'E) Fact soc'!G309/C303</f>
        <v>17.916646373689314</v>
      </c>
      <c r="E303" s="141">
        <f>'H) Péréquation directe'!I314/C303</f>
        <v>-3.6074277448504244</v>
      </c>
      <c r="F303" s="116">
        <f>+'I) Dépenses thématiques'!O303/'J) Plafonnement effort'!C303</f>
        <v>-2.087565963975313</v>
      </c>
      <c r="G303" s="141">
        <f t="shared" si="17"/>
        <v>12.221652664863576</v>
      </c>
      <c r="H303" s="316">
        <f t="shared" si="18"/>
        <v>0</v>
      </c>
      <c r="I303" s="58">
        <f t="shared" si="19"/>
        <v>0</v>
      </c>
      <c r="J303" s="34">
        <f t="shared" si="20"/>
        <v>12.221652664863576</v>
      </c>
    </row>
    <row r="304" spans="1:10" x14ac:dyDescent="0.25">
      <c r="A304" s="50">
        <f>'A) Base RI'!A306</f>
        <v>5929</v>
      </c>
      <c r="B304" s="301" t="str">
        <f>'A) Base RI'!B306</f>
        <v>Suchy</v>
      </c>
      <c r="C304" s="100">
        <f>'B) D RI'!U306</f>
        <v>17148.792607142859</v>
      </c>
      <c r="D304" s="116">
        <f>'E) Fact soc'!G310/C304</f>
        <v>17.477582202652577</v>
      </c>
      <c r="E304" s="141">
        <f>'H) Péréquation directe'!I315/C304</f>
        <v>4.324695556884679</v>
      </c>
      <c r="F304" s="116">
        <f>+'I) Dépenses thématiques'!O304/'J) Plafonnement effort'!C304</f>
        <v>-0.89842470398979091</v>
      </c>
      <c r="G304" s="141">
        <f t="shared" si="17"/>
        <v>20.903853055547465</v>
      </c>
      <c r="H304" s="316">
        <f t="shared" si="18"/>
        <v>0</v>
      </c>
      <c r="I304" s="58">
        <f t="shared" si="19"/>
        <v>0</v>
      </c>
      <c r="J304" s="34">
        <f t="shared" si="20"/>
        <v>20.903853055547465</v>
      </c>
    </row>
    <row r="305" spans="1:13" x14ac:dyDescent="0.25">
      <c r="A305" s="50">
        <f>'A) Base RI'!A307</f>
        <v>5930</v>
      </c>
      <c r="B305" s="301" t="str">
        <f>'A) Base RI'!B307</f>
        <v>Suscévaz</v>
      </c>
      <c r="C305" s="100">
        <f>'B) D RI'!U307</f>
        <v>5907.1765277777777</v>
      </c>
      <c r="D305" s="116">
        <f>'E) Fact soc'!G311/C305</f>
        <v>19.81977453165787</v>
      </c>
      <c r="E305" s="141">
        <f>'H) Péréquation directe'!I316/C305</f>
        <v>2.5183237907905704</v>
      </c>
      <c r="F305" s="116">
        <f>+'I) Dépenses thématiques'!O305/'J) Plafonnement effort'!C305</f>
        <v>-4.405289967861493</v>
      </c>
      <c r="G305" s="141">
        <f t="shared" si="17"/>
        <v>17.93280835458695</v>
      </c>
      <c r="H305" s="316">
        <f t="shared" si="18"/>
        <v>0</v>
      </c>
      <c r="I305" s="58">
        <f t="shared" si="19"/>
        <v>0</v>
      </c>
      <c r="J305" s="34">
        <f t="shared" si="20"/>
        <v>17.93280835458695</v>
      </c>
    </row>
    <row r="306" spans="1:13" x14ac:dyDescent="0.25">
      <c r="A306" s="50">
        <f>'A) Base RI'!A308</f>
        <v>5931</v>
      </c>
      <c r="B306" s="301" t="str">
        <f>'A) Base RI'!B308</f>
        <v>Treycovagnes</v>
      </c>
      <c r="C306" s="100">
        <f>'B) D RI'!U308</f>
        <v>12973.060799999999</v>
      </c>
      <c r="D306" s="116">
        <f>'E) Fact soc'!G312/C306</f>
        <v>17.292134721783647</v>
      </c>
      <c r="E306" s="141">
        <f>'H) Péréquation directe'!I317/C306</f>
        <v>0.38225832205348009</v>
      </c>
      <c r="F306" s="116">
        <f>+'I) Dépenses thématiques'!O306/'J) Plafonnement effort'!C306</f>
        <v>-0.57177183167047496</v>
      </c>
      <c r="G306" s="141">
        <f t="shared" si="17"/>
        <v>17.102621212166653</v>
      </c>
      <c r="H306" s="316">
        <f t="shared" si="18"/>
        <v>0</v>
      </c>
      <c r="I306" s="58">
        <f t="shared" si="19"/>
        <v>0</v>
      </c>
      <c r="J306" s="34">
        <f t="shared" si="20"/>
        <v>17.102621212166653</v>
      </c>
    </row>
    <row r="307" spans="1:13" x14ac:dyDescent="0.25">
      <c r="A307" s="50">
        <f>'A) Base RI'!A309</f>
        <v>5932</v>
      </c>
      <c r="B307" s="301" t="str">
        <f>'A) Base RI'!B309</f>
        <v>Ursins</v>
      </c>
      <c r="C307" s="100">
        <f>'B) D RI'!U309</f>
        <v>6683.323116883118</v>
      </c>
      <c r="D307" s="116">
        <f>'E) Fact soc'!G313/C307</f>
        <v>18.168839522539734</v>
      </c>
      <c r="E307" s="141">
        <f>'H) Péréquation directe'!I318/C307</f>
        <v>2.5779533874138312</v>
      </c>
      <c r="F307" s="116">
        <f>+'I) Dépenses thématiques'!O307/'J) Plafonnement effort'!C307</f>
        <v>-1.3770502261978841</v>
      </c>
      <c r="G307" s="141">
        <f t="shared" si="17"/>
        <v>19.369742683755682</v>
      </c>
      <c r="H307" s="316">
        <f t="shared" si="18"/>
        <v>0</v>
      </c>
      <c r="I307" s="58">
        <f t="shared" si="19"/>
        <v>0</v>
      </c>
      <c r="J307" s="34">
        <f t="shared" si="20"/>
        <v>19.369742683755682</v>
      </c>
    </row>
    <row r="308" spans="1:13" x14ac:dyDescent="0.25">
      <c r="A308" s="50">
        <f>'A) Base RI'!A310</f>
        <v>5933</v>
      </c>
      <c r="B308" s="301" t="str">
        <f>'A) Base RI'!B310</f>
        <v>Valeyres-sous-Montagny</v>
      </c>
      <c r="C308" s="100">
        <f>'B) D RI'!U310</f>
        <v>22363.871527777774</v>
      </c>
      <c r="D308" s="116">
        <f>'E) Fact soc'!G314/C308</f>
        <v>16.726296210581324</v>
      </c>
      <c r="E308" s="141">
        <f>'H) Péréquation directe'!I319/C308</f>
        <v>7.0383155014775358</v>
      </c>
      <c r="F308" s="116">
        <f>+'I) Dépenses thématiques'!O308/'J) Plafonnement effort'!C308</f>
        <v>-6.0745168027462055</v>
      </c>
      <c r="G308" s="141">
        <f t="shared" si="17"/>
        <v>17.690094909312652</v>
      </c>
      <c r="H308" s="316">
        <f t="shared" si="18"/>
        <v>0</v>
      </c>
      <c r="I308" s="58">
        <f t="shared" si="19"/>
        <v>0</v>
      </c>
      <c r="J308" s="34">
        <f t="shared" si="20"/>
        <v>17.690094909312652</v>
      </c>
    </row>
    <row r="309" spans="1:13" x14ac:dyDescent="0.25">
      <c r="A309" s="50">
        <f>'A) Base RI'!A311</f>
        <v>5934</v>
      </c>
      <c r="B309" s="301" t="str">
        <f>'A) Base RI'!B311</f>
        <v>Valeyres-sous-Ursins</v>
      </c>
      <c r="C309" s="100">
        <f>'B) D RI'!U311</f>
        <v>7624.9658227848104</v>
      </c>
      <c r="D309" s="116">
        <f>'E) Fact soc'!G315/C309</f>
        <v>14.815422161260791</v>
      </c>
      <c r="E309" s="141">
        <f>'H) Péréquation directe'!I320/C309</f>
        <v>6.7465029015885518</v>
      </c>
      <c r="F309" s="116">
        <f>+'I) Dépenses thématiques'!O309/'J) Plafonnement effort'!C309</f>
        <v>-0.81358046276687468</v>
      </c>
      <c r="G309" s="141">
        <f t="shared" si="17"/>
        <v>20.748344600082469</v>
      </c>
      <c r="H309" s="316">
        <f t="shared" si="18"/>
        <v>0</v>
      </c>
      <c r="I309" s="58">
        <f t="shared" si="19"/>
        <v>0</v>
      </c>
      <c r="J309" s="34">
        <f t="shared" si="20"/>
        <v>20.748344600082469</v>
      </c>
    </row>
    <row r="310" spans="1:13" x14ac:dyDescent="0.25">
      <c r="A310" s="50">
        <f>'A) Base RI'!A312</f>
        <v>5935</v>
      </c>
      <c r="B310" s="301" t="str">
        <f>'A) Base RI'!B312</f>
        <v>Villars-Epeney</v>
      </c>
      <c r="C310" s="100">
        <f>'B) D RI'!U312</f>
        <v>5603.6660000000002</v>
      </c>
      <c r="D310" s="116">
        <f>'E) Fact soc'!G316/C310</f>
        <v>16.009949874513577</v>
      </c>
      <c r="E310" s="141">
        <f>'H) Péréquation directe'!I321/C310</f>
        <v>17.166834080507552</v>
      </c>
      <c r="F310" s="116">
        <f>+'I) Dépenses thématiques'!O310/'J) Plafonnement effort'!C310</f>
        <v>-1.1162087773516536</v>
      </c>
      <c r="G310" s="141">
        <f t="shared" si="17"/>
        <v>32.060575177669477</v>
      </c>
      <c r="H310" s="316">
        <f t="shared" si="18"/>
        <v>0</v>
      </c>
      <c r="I310" s="58">
        <f t="shared" si="19"/>
        <v>0</v>
      </c>
      <c r="J310" s="34">
        <f t="shared" si="20"/>
        <v>32.060575177669477</v>
      </c>
    </row>
    <row r="311" spans="1:13" x14ac:dyDescent="0.25">
      <c r="A311" s="50">
        <f>'A) Base RI'!A313</f>
        <v>5937</v>
      </c>
      <c r="B311" s="301" t="str">
        <f>'A) Base RI'!B313</f>
        <v>Vugelles-La Mothe</v>
      </c>
      <c r="C311" s="100">
        <f>'B) D RI'!U313</f>
        <v>2433.2134081632657</v>
      </c>
      <c r="D311" s="116">
        <f>'E) Fact soc'!G317/C311</f>
        <v>18.443541634074233</v>
      </c>
      <c r="E311" s="141">
        <f>'H) Péréquation directe'!I322/C311</f>
        <v>-14.541876463032299</v>
      </c>
      <c r="F311" s="116">
        <f>+'I) Dépenses thématiques'!O311/'J) Plafonnement effort'!C311</f>
        <v>-13.468177806135564</v>
      </c>
      <c r="G311" s="141">
        <f t="shared" si="17"/>
        <v>-9.5665126350936305</v>
      </c>
      <c r="H311" s="316">
        <f t="shared" si="18"/>
        <v>0</v>
      </c>
      <c r="I311" s="58">
        <f t="shared" si="19"/>
        <v>0</v>
      </c>
      <c r="J311" s="34">
        <f t="shared" si="20"/>
        <v>-9.5665126350936305</v>
      </c>
    </row>
    <row r="312" spans="1:13" x14ac:dyDescent="0.25">
      <c r="A312" s="50">
        <f>'A) Base RI'!A314</f>
        <v>5938</v>
      </c>
      <c r="B312" s="301" t="str">
        <f>'A) Base RI'!B314</f>
        <v>Yverdon-les-Bains</v>
      </c>
      <c r="C312" s="100">
        <f>'B) D RI'!U314</f>
        <v>774658.89816993475</v>
      </c>
      <c r="D312" s="116">
        <f>'E) Fact soc'!G318/C312</f>
        <v>19.261982065652649</v>
      </c>
      <c r="E312" s="141">
        <f>'H) Péréquation directe'!I323/C312</f>
        <v>-31.787216068847499</v>
      </c>
      <c r="F312" s="116">
        <f>+'I) Dépenses thématiques'!O312/'J) Plafonnement effort'!C312</f>
        <v>-9.9401040835149423</v>
      </c>
      <c r="G312" s="141">
        <f t="shared" si="17"/>
        <v>-22.465338086709792</v>
      </c>
      <c r="H312" s="316">
        <f t="shared" si="18"/>
        <v>0</v>
      </c>
      <c r="I312" s="58">
        <f t="shared" si="19"/>
        <v>0</v>
      </c>
      <c r="J312" s="34">
        <f t="shared" si="20"/>
        <v>-22.465338086709792</v>
      </c>
    </row>
    <row r="313" spans="1:13" x14ac:dyDescent="0.25">
      <c r="A313" s="50">
        <f>'A) Base RI'!A315</f>
        <v>5939</v>
      </c>
      <c r="B313" s="301" t="str">
        <f>'A) Base RI'!B315</f>
        <v>Yvonand</v>
      </c>
      <c r="C313" s="100">
        <f>'B) D RI'!U315</f>
        <v>93821.233287671232</v>
      </c>
      <c r="D313" s="116">
        <f>'E) Fact soc'!G319/C313</f>
        <v>18.365465502492601</v>
      </c>
      <c r="E313" s="141">
        <f>'H) Péréquation directe'!I324/C313</f>
        <v>-5.4625708554879484</v>
      </c>
      <c r="F313" s="116">
        <f>+'I) Dépenses thématiques'!O313/'J) Plafonnement effort'!C313</f>
        <v>-2.3218710850941489</v>
      </c>
      <c r="G313" s="141">
        <f t="shared" si="17"/>
        <v>10.581023561910504</v>
      </c>
      <c r="H313" s="316">
        <f t="shared" si="18"/>
        <v>0</v>
      </c>
      <c r="I313" s="58">
        <f t="shared" si="19"/>
        <v>0</v>
      </c>
      <c r="J313" s="34">
        <f t="shared" si="20"/>
        <v>10.581023561910504</v>
      </c>
    </row>
    <row r="314" spans="1:13" x14ac:dyDescent="0.25">
      <c r="A314" s="31"/>
      <c r="B314" s="308">
        <f>COUNTA(B5:B313)</f>
        <v>309</v>
      </c>
      <c r="C314" s="102">
        <f>SUM(C5:C313)</f>
        <v>37017775.996768594</v>
      </c>
      <c r="D314" s="317">
        <f>'E) Fact soc'!G320/C314</f>
        <v>21.341393228727789</v>
      </c>
      <c r="E314" s="115">
        <f>'H) Péréquation directe'!I325/C314</f>
        <v>4.0231600504360188</v>
      </c>
      <c r="F314" s="317">
        <f>'I) Dépenses thématiques'!P314</f>
        <v>-3.8962824567096486</v>
      </c>
      <c r="G314" s="115">
        <f>SUM(D314:F314)</f>
        <v>21.468270822454159</v>
      </c>
      <c r="H314" s="318"/>
      <c r="I314" s="38">
        <f>SUM(I5:I313)</f>
        <v>-9662514.5173370894</v>
      </c>
      <c r="J314" s="20">
        <f>G314+H314</f>
        <v>21.468270822454159</v>
      </c>
      <c r="L314" s="12"/>
      <c r="M314" s="12"/>
    </row>
    <row r="318" spans="1:13" x14ac:dyDescent="0.25">
      <c r="G318" s="29"/>
      <c r="H318" s="29"/>
      <c r="I318" s="29"/>
    </row>
    <row r="320" spans="1:13" x14ac:dyDescent="0.25">
      <c r="I320" s="29"/>
    </row>
  </sheetData>
  <mergeCells count="9">
    <mergeCell ref="C3:C4"/>
    <mergeCell ref="B3:B4"/>
    <mergeCell ref="A3:A4"/>
    <mergeCell ref="J3:J4"/>
    <mergeCell ref="I3:I4"/>
    <mergeCell ref="G3:G4"/>
    <mergeCell ref="F3:F4"/>
    <mergeCell ref="E3:E4"/>
    <mergeCell ref="D3:D4"/>
  </mergeCells>
  <phoneticPr fontId="0" type="noConversion"/>
  <printOptions horizontalCentered="1"/>
  <pageMargins left="0" right="0" top="0" bottom="0" header="0.51181102362204722" footer="0.51181102362204722"/>
  <pageSetup paperSize="9" scale="64" orientation="portrait" horizontalDpi="4294967292" verticalDpi="4294967292"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4">
    <tabColor rgb="FF00B050"/>
  </sheetPr>
  <dimension ref="A1:Y316"/>
  <sheetViews>
    <sheetView workbookViewId="0">
      <pane ySplit="4" topLeftCell="A5" activePane="bottomLeft" state="frozen"/>
      <selection pane="bottomLeft" activeCell="A5" sqref="A5"/>
    </sheetView>
  </sheetViews>
  <sheetFormatPr baseColWidth="10" defaultColWidth="10.75" defaultRowHeight="15" x14ac:dyDescent="0.25"/>
  <cols>
    <col min="1" max="1" width="7.25" style="13" customWidth="1"/>
    <col min="2" max="2" width="18" style="13" customWidth="1"/>
    <col min="3" max="4" width="9.25" style="13" customWidth="1"/>
    <col min="5" max="5" width="11.625" style="13" customWidth="1"/>
    <col min="6" max="6" width="11" style="13" customWidth="1"/>
    <col min="7" max="7" width="10.375" style="13" customWidth="1"/>
    <col min="8" max="8" width="12.25" style="13" customWidth="1"/>
    <col min="9" max="9" width="10" style="13" customWidth="1"/>
    <col min="10" max="10" width="12.875" style="13" customWidth="1"/>
    <col min="11" max="14" width="12.125" style="13" customWidth="1"/>
    <col min="15" max="17" width="8.125" style="13" customWidth="1"/>
    <col min="18" max="16384" width="10.75" style="13"/>
  </cols>
  <sheetData>
    <row r="1" spans="1:25" s="44" customFormat="1" ht="20.25" customHeight="1" x14ac:dyDescent="0.25">
      <c r="A1" s="52" t="s">
        <v>4</v>
      </c>
      <c r="B1" s="43"/>
      <c r="C1" s="73"/>
      <c r="D1" s="73"/>
      <c r="E1" s="73"/>
      <c r="F1" s="73"/>
      <c r="G1" s="73"/>
      <c r="H1" s="73"/>
      <c r="I1" s="73"/>
      <c r="J1" s="73"/>
      <c r="L1" s="60"/>
      <c r="N1" s="13"/>
      <c r="O1" s="13"/>
      <c r="P1" s="13"/>
      <c r="Q1" s="13"/>
      <c r="R1" s="13"/>
      <c r="Y1" s="13"/>
    </row>
    <row r="3" spans="1:25" ht="45" customHeight="1" x14ac:dyDescent="0.25">
      <c r="A3" s="535" t="s">
        <v>50</v>
      </c>
      <c r="B3" s="535" t="s">
        <v>101</v>
      </c>
      <c r="C3" s="535" t="s">
        <v>376</v>
      </c>
      <c r="D3" s="535" t="s">
        <v>98</v>
      </c>
      <c r="E3" s="535" t="s">
        <v>334</v>
      </c>
      <c r="F3" s="535" t="s">
        <v>374</v>
      </c>
      <c r="G3" s="535" t="s">
        <v>375</v>
      </c>
      <c r="H3" s="535" t="s">
        <v>416</v>
      </c>
      <c r="I3" s="118" t="s">
        <v>151</v>
      </c>
      <c r="J3" s="535" t="s">
        <v>469</v>
      </c>
    </row>
    <row r="4" spans="1:25" x14ac:dyDescent="0.25">
      <c r="A4" s="537"/>
      <c r="B4" s="536"/>
      <c r="C4" s="537"/>
      <c r="D4" s="536"/>
      <c r="E4" s="537"/>
      <c r="F4" s="536"/>
      <c r="G4" s="537"/>
      <c r="H4" s="536"/>
      <c r="I4" s="146">
        <f>Paramètres!B48</f>
        <v>-6.5</v>
      </c>
      <c r="J4" s="537"/>
    </row>
    <row r="5" spans="1:25" x14ac:dyDescent="0.25">
      <c r="A5" s="47">
        <f>'A) Base RI'!A7</f>
        <v>5401</v>
      </c>
      <c r="B5" s="301" t="str">
        <f>'A) Base RI'!B7</f>
        <v>Aigle</v>
      </c>
      <c r="C5" s="99">
        <f>'B) D RI'!U7</f>
        <v>276325.40780246921</v>
      </c>
      <c r="D5" s="116">
        <f>'E) Fact soc'!G11/C5</f>
        <v>19.038522807154767</v>
      </c>
      <c r="E5" s="140">
        <f>'H) Péréquation directe'!I16/C5</f>
        <v>-11.493485396314856</v>
      </c>
      <c r="F5" s="116">
        <f>+'I) Dépenses thématiques'!O5/'K) Plafonnement aide'!C5</f>
        <v>-8.0004101058734367</v>
      </c>
      <c r="G5" s="140">
        <f>SUM(D5:F5)</f>
        <v>-0.4553726950335264</v>
      </c>
      <c r="H5" s="116">
        <f>G5-F5</f>
        <v>7.5450374108399103</v>
      </c>
      <c r="I5" s="140">
        <f>IF(H5&lt;I$4,H5-I$4,0)</f>
        <v>0</v>
      </c>
      <c r="J5" s="105">
        <f t="shared" ref="J5:J68" si="0">-I5*C5</f>
        <v>0</v>
      </c>
      <c r="K5" s="37"/>
    </row>
    <row r="6" spans="1:25" x14ac:dyDescent="0.25">
      <c r="A6" s="50">
        <f>'A) Base RI'!A8</f>
        <v>5402</v>
      </c>
      <c r="B6" s="301" t="str">
        <f>'A) Base RI'!B8</f>
        <v>Bex</v>
      </c>
      <c r="C6" s="100">
        <f>'B) D RI'!U8</f>
        <v>172586.81591549295</v>
      </c>
      <c r="D6" s="116">
        <f>'E) Fact soc'!G12/C6</f>
        <v>17.542502442224958</v>
      </c>
      <c r="E6" s="141">
        <f>'H) Péréquation directe'!I17/C6</f>
        <v>-21.534440236731719</v>
      </c>
      <c r="F6" s="116">
        <f>+'I) Dépenses thématiques'!O6/'K) Plafonnement aide'!C6</f>
        <v>-9.8192828908289744</v>
      </c>
      <c r="G6" s="141">
        <f t="shared" ref="G6:G69" si="1">SUM(D6:F6)</f>
        <v>-13.811220685335735</v>
      </c>
      <c r="H6" s="116">
        <f t="shared" ref="H6:H69" si="2">G6-F6</f>
        <v>-3.9919377945067609</v>
      </c>
      <c r="I6" s="141">
        <f t="shared" ref="I6:I69" si="3">IF(H6&lt;I$4,H6-I$4,0)</f>
        <v>0</v>
      </c>
      <c r="J6" s="58">
        <f t="shared" si="0"/>
        <v>0</v>
      </c>
      <c r="K6" s="37"/>
    </row>
    <row r="7" spans="1:25" x14ac:dyDescent="0.25">
      <c r="A7" s="50">
        <f>'A) Base RI'!A9</f>
        <v>5403</v>
      </c>
      <c r="B7" s="301" t="str">
        <f>'A) Base RI'!B9</f>
        <v>Chessel</v>
      </c>
      <c r="C7" s="100">
        <f>'B) D RI'!U9</f>
        <v>10175.556621621625</v>
      </c>
      <c r="D7" s="116">
        <f>'E) Fact soc'!G13/C7</f>
        <v>17.791323534761236</v>
      </c>
      <c r="E7" s="141">
        <f>'H) Péréquation directe'!I18/C7</f>
        <v>-4.4755296701246055</v>
      </c>
      <c r="F7" s="116">
        <f>+'I) Dépenses thématiques'!O7/'K) Plafonnement aide'!C7</f>
        <v>-3.9588905880751448</v>
      </c>
      <c r="G7" s="141">
        <f t="shared" si="1"/>
        <v>9.3569032765614875</v>
      </c>
      <c r="H7" s="116">
        <f t="shared" si="2"/>
        <v>13.315793864636632</v>
      </c>
      <c r="I7" s="141">
        <f t="shared" si="3"/>
        <v>0</v>
      </c>
      <c r="J7" s="58">
        <f t="shared" si="0"/>
        <v>0</v>
      </c>
      <c r="K7" s="37"/>
    </row>
    <row r="8" spans="1:25" x14ac:dyDescent="0.25">
      <c r="A8" s="50">
        <f>'A) Base RI'!A10</f>
        <v>5404</v>
      </c>
      <c r="B8" s="301" t="str">
        <f>'A) Base RI'!B10</f>
        <v>Corbeyrier</v>
      </c>
      <c r="C8" s="100">
        <f>'B) D RI'!U10</f>
        <v>12084.741666666667</v>
      </c>
      <c r="D8" s="116">
        <f>'E) Fact soc'!G14/C8</f>
        <v>17.613395115179838</v>
      </c>
      <c r="E8" s="141">
        <f>'H) Péréquation directe'!I19/C8</f>
        <v>3.041045268205091</v>
      </c>
      <c r="F8" s="116">
        <f>+'I) Dépenses thématiques'!O8/'K) Plafonnement aide'!C8</f>
        <v>-11.073967968934925</v>
      </c>
      <c r="G8" s="141">
        <f t="shared" si="1"/>
        <v>9.5804724144500053</v>
      </c>
      <c r="H8" s="116">
        <f t="shared" si="2"/>
        <v>20.65444038338493</v>
      </c>
      <c r="I8" s="141">
        <f t="shared" si="3"/>
        <v>0</v>
      </c>
      <c r="J8" s="58">
        <f t="shared" si="0"/>
        <v>0</v>
      </c>
      <c r="K8" s="37"/>
    </row>
    <row r="9" spans="1:25" x14ac:dyDescent="0.25">
      <c r="A9" s="50">
        <f>'A) Base RI'!A11</f>
        <v>5405</v>
      </c>
      <c r="B9" s="301" t="str">
        <f>'A) Base RI'!B11</f>
        <v>Gryon</v>
      </c>
      <c r="C9" s="100">
        <f>'B) D RI'!U11</f>
        <v>67578.882888888897</v>
      </c>
      <c r="D9" s="116">
        <f>'E) Fact soc'!G15/C9</f>
        <v>26.293222837230978</v>
      </c>
      <c r="E9" s="141">
        <f>'H) Péréquation directe'!I20/C9</f>
        <v>15.785359823564907</v>
      </c>
      <c r="F9" s="116">
        <f>+'I) Dépenses thématiques'!O9/'K) Plafonnement aide'!C9</f>
        <v>-9.993367540752363</v>
      </c>
      <c r="G9" s="141">
        <f t="shared" si="1"/>
        <v>32.085215120043529</v>
      </c>
      <c r="H9" s="116">
        <f t="shared" si="2"/>
        <v>42.078582660795888</v>
      </c>
      <c r="I9" s="141">
        <f t="shared" si="3"/>
        <v>0</v>
      </c>
      <c r="J9" s="58">
        <f t="shared" si="0"/>
        <v>0</v>
      </c>
      <c r="K9" s="37"/>
    </row>
    <row r="10" spans="1:25" x14ac:dyDescent="0.25">
      <c r="A10" s="50">
        <f>'A) Base RI'!A12</f>
        <v>5406</v>
      </c>
      <c r="B10" s="301" t="str">
        <f>'A) Base RI'!B12</f>
        <v>Lavey-Morcles</v>
      </c>
      <c r="C10" s="100">
        <f>'B) D RI'!U12</f>
        <v>21586.094615384616</v>
      </c>
      <c r="D10" s="116">
        <f>'E) Fact soc'!G16/C10</f>
        <v>15.798250399813892</v>
      </c>
      <c r="E10" s="141">
        <f>'H) Péréquation directe'!I21/C10</f>
        <v>-4.9073540479452529</v>
      </c>
      <c r="F10" s="116">
        <f>+'I) Dépenses thématiques'!O10/'K) Plafonnement aide'!C10</f>
        <v>-3.5542224685081787</v>
      </c>
      <c r="G10" s="141">
        <f t="shared" si="1"/>
        <v>7.3366738833604597</v>
      </c>
      <c r="H10" s="116">
        <f t="shared" si="2"/>
        <v>10.890896351868639</v>
      </c>
      <c r="I10" s="141">
        <f t="shared" si="3"/>
        <v>0</v>
      </c>
      <c r="J10" s="58">
        <f t="shared" si="0"/>
        <v>0</v>
      </c>
      <c r="K10" s="37"/>
    </row>
    <row r="11" spans="1:25" x14ac:dyDescent="0.25">
      <c r="A11" s="50">
        <f>'A) Base RI'!A13</f>
        <v>5407</v>
      </c>
      <c r="B11" s="301" t="str">
        <f>'A) Base RI'!B13</f>
        <v>Leysin</v>
      </c>
      <c r="C11" s="100">
        <f>'B) D RI'!U13</f>
        <v>89616.305299145315</v>
      </c>
      <c r="D11" s="116">
        <f>'E) Fact soc'!G17/C11</f>
        <v>17.122848445994897</v>
      </c>
      <c r="E11" s="141">
        <f>'H) Péréquation directe'!I22/C11</f>
        <v>-18.858842072635611</v>
      </c>
      <c r="F11" s="116">
        <f>+'I) Dépenses thématiques'!O11/'K) Plafonnement aide'!C11</f>
        <v>-19.198202362440174</v>
      </c>
      <c r="G11" s="141">
        <f t="shared" si="1"/>
        <v>-20.934195989080887</v>
      </c>
      <c r="H11" s="116">
        <f t="shared" si="2"/>
        <v>-1.7359936266407132</v>
      </c>
      <c r="I11" s="141">
        <f t="shared" si="3"/>
        <v>0</v>
      </c>
      <c r="J11" s="58">
        <f t="shared" si="0"/>
        <v>0</v>
      </c>
      <c r="K11" s="37"/>
      <c r="L11" s="29"/>
    </row>
    <row r="12" spans="1:25" x14ac:dyDescent="0.25">
      <c r="A12" s="50">
        <f>'A) Base RI'!A14</f>
        <v>5408</v>
      </c>
      <c r="B12" s="301" t="str">
        <f>'A) Base RI'!B14</f>
        <v>Noville</v>
      </c>
      <c r="C12" s="100">
        <f>'B) D RI'!U14</f>
        <v>38763.706581740975</v>
      </c>
      <c r="D12" s="116">
        <f>'E) Fact soc'!G18/C12</f>
        <v>21.356367646321413</v>
      </c>
      <c r="E12" s="141">
        <f>'H) Péréquation directe'!I23/C12</f>
        <v>8.1952864844949183</v>
      </c>
      <c r="F12" s="116">
        <f>+'I) Dépenses thématiques'!O12/'K) Plafonnement aide'!C12</f>
        <v>-4.0590922246255428</v>
      </c>
      <c r="G12" s="141">
        <f t="shared" si="1"/>
        <v>25.492561906190787</v>
      </c>
      <c r="H12" s="116">
        <f t="shared" si="2"/>
        <v>29.551654130816331</v>
      </c>
      <c r="I12" s="141">
        <f t="shared" si="3"/>
        <v>0</v>
      </c>
      <c r="J12" s="58">
        <f t="shared" si="0"/>
        <v>0</v>
      </c>
      <c r="K12" s="37"/>
    </row>
    <row r="13" spans="1:25" x14ac:dyDescent="0.25">
      <c r="A13" s="50">
        <f>'A) Base RI'!A15</f>
        <v>5409</v>
      </c>
      <c r="B13" s="301" t="str">
        <f>'A) Base RI'!B15</f>
        <v>Ollon</v>
      </c>
      <c r="C13" s="100">
        <f>'B) D RI'!U15</f>
        <v>369055.23328054306</v>
      </c>
      <c r="D13" s="116">
        <f>'E) Fact soc'!G19/C13</f>
        <v>20.247975623847335</v>
      </c>
      <c r="E13" s="141">
        <f>'H) Péréquation directe'!I24/C13</f>
        <v>10.111951608685612</v>
      </c>
      <c r="F13" s="116">
        <f>+'I) Dépenses thématiques'!O13/'K) Plafonnement aide'!C13</f>
        <v>-5.6778621408955221</v>
      </c>
      <c r="G13" s="141">
        <f t="shared" si="1"/>
        <v>24.682065091637426</v>
      </c>
      <c r="H13" s="116">
        <f t="shared" si="2"/>
        <v>30.359927232532947</v>
      </c>
      <c r="I13" s="141">
        <f t="shared" si="3"/>
        <v>0</v>
      </c>
      <c r="J13" s="58">
        <f t="shared" si="0"/>
        <v>0</v>
      </c>
      <c r="K13" s="37"/>
    </row>
    <row r="14" spans="1:25" x14ac:dyDescent="0.25">
      <c r="A14" s="50">
        <f>'A) Base RI'!A16</f>
        <v>5410</v>
      </c>
      <c r="B14" s="301" t="str">
        <f>'A) Base RI'!B16</f>
        <v>Ormont-Dessous</v>
      </c>
      <c r="C14" s="100">
        <f>'B) D RI'!U16</f>
        <v>43491.149554140131</v>
      </c>
      <c r="D14" s="116">
        <f>'E) Fact soc'!G20/C14</f>
        <v>18.341447794707786</v>
      </c>
      <c r="E14" s="141">
        <f>'H) Péréquation directe'!I25/C14</f>
        <v>11.75993249031362</v>
      </c>
      <c r="F14" s="116">
        <f>+'I) Dépenses thématiques'!O14/'K) Plafonnement aide'!C14</f>
        <v>-19.038272207314819</v>
      </c>
      <c r="G14" s="141">
        <f t="shared" si="1"/>
        <v>11.063108077706588</v>
      </c>
      <c r="H14" s="116">
        <f t="shared" si="2"/>
        <v>30.101380285021406</v>
      </c>
      <c r="I14" s="141">
        <f t="shared" si="3"/>
        <v>0</v>
      </c>
      <c r="J14" s="58">
        <f t="shared" si="0"/>
        <v>0</v>
      </c>
      <c r="K14" s="37"/>
    </row>
    <row r="15" spans="1:25" x14ac:dyDescent="0.25">
      <c r="A15" s="50">
        <f>'A) Base RI'!A17</f>
        <v>5411</v>
      </c>
      <c r="B15" s="301" t="str">
        <f>'A) Base RI'!B17</f>
        <v>Ormont-Dessus</v>
      </c>
      <c r="C15" s="100">
        <f>'B) D RI'!U17</f>
        <v>72912.297236842089</v>
      </c>
      <c r="D15" s="116">
        <f>'E) Fact soc'!G21/C15</f>
        <v>19.73105429711562</v>
      </c>
      <c r="E15" s="141">
        <f>'H) Péréquation directe'!I26/C15</f>
        <v>15.472460115854705</v>
      </c>
      <c r="F15" s="116">
        <f>+'I) Dépenses thématiques'!O15/'K) Plafonnement aide'!C15</f>
        <v>-10.677193023809803</v>
      </c>
      <c r="G15" s="141">
        <f t="shared" si="1"/>
        <v>24.526321389160518</v>
      </c>
      <c r="H15" s="116">
        <f t="shared" si="2"/>
        <v>35.203514412970321</v>
      </c>
      <c r="I15" s="141">
        <f t="shared" si="3"/>
        <v>0</v>
      </c>
      <c r="J15" s="58">
        <f t="shared" si="0"/>
        <v>0</v>
      </c>
      <c r="K15" s="37"/>
    </row>
    <row r="16" spans="1:25" x14ac:dyDescent="0.25">
      <c r="A16" s="50">
        <f>'A) Base RI'!A18</f>
        <v>5412</v>
      </c>
      <c r="B16" s="301" t="str">
        <f>'A) Base RI'!B18</f>
        <v>Rennaz</v>
      </c>
      <c r="C16" s="100">
        <f>'B) D RI'!U18</f>
        <v>28091.749629629627</v>
      </c>
      <c r="D16" s="116">
        <f>'E) Fact soc'!G22/C16</f>
        <v>30.282482603466281</v>
      </c>
      <c r="E16" s="141">
        <f>'H) Péréquation directe'!I27/C16</f>
        <v>10.1645916898726</v>
      </c>
      <c r="F16" s="116">
        <f>+'I) Dépenses thématiques'!O16/'K) Plafonnement aide'!C16</f>
        <v>-0.82600331582661946</v>
      </c>
      <c r="G16" s="141">
        <f t="shared" si="1"/>
        <v>39.621070977512261</v>
      </c>
      <c r="H16" s="116">
        <f t="shared" si="2"/>
        <v>40.447074293338879</v>
      </c>
      <c r="I16" s="141">
        <f t="shared" si="3"/>
        <v>0</v>
      </c>
      <c r="J16" s="58">
        <f t="shared" si="0"/>
        <v>0</v>
      </c>
      <c r="K16" s="37"/>
    </row>
    <row r="17" spans="1:11" x14ac:dyDescent="0.25">
      <c r="A17" s="50">
        <f>'A) Base RI'!A19</f>
        <v>5413</v>
      </c>
      <c r="B17" s="301" t="str">
        <f>'A) Base RI'!B19</f>
        <v>Roche</v>
      </c>
      <c r="C17" s="100">
        <f>'B) D RI'!U19</f>
        <v>39560.237499999996</v>
      </c>
      <c r="D17" s="116">
        <f>'E) Fact soc'!G23/C17</f>
        <v>20.9330599293686</v>
      </c>
      <c r="E17" s="141">
        <f>'H) Péréquation directe'!I28/C17</f>
        <v>-9.1538211510013046</v>
      </c>
      <c r="F17" s="116">
        <f>+'I) Dépenses thématiques'!O17/'K) Plafonnement aide'!C17</f>
        <v>-0.6745822407168216</v>
      </c>
      <c r="G17" s="141">
        <f t="shared" si="1"/>
        <v>11.104656537650474</v>
      </c>
      <c r="H17" s="116">
        <f t="shared" si="2"/>
        <v>11.779238778367295</v>
      </c>
      <c r="I17" s="141">
        <f t="shared" si="3"/>
        <v>0</v>
      </c>
      <c r="J17" s="58">
        <f t="shared" si="0"/>
        <v>0</v>
      </c>
      <c r="K17" s="37"/>
    </row>
    <row r="18" spans="1:11" x14ac:dyDescent="0.25">
      <c r="A18" s="50">
        <f>'A) Base RI'!A20</f>
        <v>5414</v>
      </c>
      <c r="B18" s="301" t="str">
        <f>'A) Base RI'!B20</f>
        <v>Villeneuve</v>
      </c>
      <c r="C18" s="100">
        <f>'B) D RI'!U20</f>
        <v>165641.09797101447</v>
      </c>
      <c r="D18" s="116">
        <f>'E) Fact soc'!G24/C18</f>
        <v>22.176212825518874</v>
      </c>
      <c r="E18" s="141">
        <f>'H) Péréquation directe'!I29/C18</f>
        <v>-5.4390215633326848</v>
      </c>
      <c r="F18" s="116">
        <f>+'I) Dépenses thématiques'!O18/'K) Plafonnement aide'!C18</f>
        <v>-10.43768416277528</v>
      </c>
      <c r="G18" s="141">
        <f t="shared" si="1"/>
        <v>6.2995070994109099</v>
      </c>
      <c r="H18" s="116">
        <f t="shared" si="2"/>
        <v>16.73719126218619</v>
      </c>
      <c r="I18" s="141">
        <f t="shared" si="3"/>
        <v>0</v>
      </c>
      <c r="J18" s="58">
        <f t="shared" si="0"/>
        <v>0</v>
      </c>
      <c r="K18" s="37"/>
    </row>
    <row r="19" spans="1:11" x14ac:dyDescent="0.25">
      <c r="A19" s="50">
        <f>'A) Base RI'!A21</f>
        <v>5415</v>
      </c>
      <c r="B19" s="301" t="str">
        <f>'A) Base RI'!B21</f>
        <v>Yvorne</v>
      </c>
      <c r="C19" s="100">
        <f>'B) D RI'!U21</f>
        <v>34590.752587412586</v>
      </c>
      <c r="D19" s="116">
        <f>'E) Fact soc'!G25/C19</f>
        <v>16.976352500243319</v>
      </c>
      <c r="E19" s="141">
        <f>'H) Péréquation directe'!I30/C19</f>
        <v>7.5362420805806032</v>
      </c>
      <c r="F19" s="116">
        <f>+'I) Dépenses thématiques'!O19/'K) Plafonnement aide'!C19</f>
        <v>-2.6472122974523797</v>
      </c>
      <c r="G19" s="141">
        <f t="shared" si="1"/>
        <v>21.865382283371542</v>
      </c>
      <c r="H19" s="116">
        <f t="shared" si="2"/>
        <v>24.512594580823922</v>
      </c>
      <c r="I19" s="141">
        <f t="shared" si="3"/>
        <v>0</v>
      </c>
      <c r="J19" s="58">
        <f t="shared" si="0"/>
        <v>0</v>
      </c>
      <c r="K19" s="37"/>
    </row>
    <row r="20" spans="1:11" x14ac:dyDescent="0.25">
      <c r="A20" s="50">
        <f>'A) Base RI'!A22</f>
        <v>5421</v>
      </c>
      <c r="B20" s="301" t="str">
        <f>'A) Base RI'!B22</f>
        <v>Apples</v>
      </c>
      <c r="C20" s="100">
        <f>'B) D RI'!U22</f>
        <v>67631.915526315803</v>
      </c>
      <c r="D20" s="116">
        <f>'E) Fact soc'!G26/C20</f>
        <v>16.104774482394088</v>
      </c>
      <c r="E20" s="141">
        <f>'H) Péréquation directe'!I31/C20</f>
        <v>15.079594393436583</v>
      </c>
      <c r="F20" s="116">
        <f>+'I) Dépenses thématiques'!O20/'K) Plafonnement aide'!C20</f>
        <v>-2.1247956298681978</v>
      </c>
      <c r="G20" s="141">
        <f t="shared" si="1"/>
        <v>29.059573245962472</v>
      </c>
      <c r="H20" s="116">
        <f t="shared" si="2"/>
        <v>31.184368875830671</v>
      </c>
      <c r="I20" s="141">
        <f t="shared" si="3"/>
        <v>0</v>
      </c>
      <c r="J20" s="58">
        <f t="shared" si="0"/>
        <v>0</v>
      </c>
      <c r="K20" s="37"/>
    </row>
    <row r="21" spans="1:11" x14ac:dyDescent="0.25">
      <c r="A21" s="50">
        <f>'A) Base RI'!A23</f>
        <v>5422</v>
      </c>
      <c r="B21" s="301" t="str">
        <f>'A) Base RI'!B23</f>
        <v>Aubonne</v>
      </c>
      <c r="C21" s="100">
        <f>'B) D RI'!U23</f>
        <v>238709.58323529412</v>
      </c>
      <c r="D21" s="116">
        <f>'E) Fact soc'!G27/C21</f>
        <v>26.400156943628765</v>
      </c>
      <c r="E21" s="141">
        <f>'H) Péréquation directe'!I32/C21</f>
        <v>14.231819779697823</v>
      </c>
      <c r="F21" s="116">
        <f>+'I) Dépenses thématiques'!O21/'K) Plafonnement aide'!C21</f>
        <v>0</v>
      </c>
      <c r="G21" s="141">
        <f t="shared" si="1"/>
        <v>40.631976723326588</v>
      </c>
      <c r="H21" s="116">
        <f t="shared" si="2"/>
        <v>40.631976723326588</v>
      </c>
      <c r="I21" s="141">
        <f t="shared" si="3"/>
        <v>0</v>
      </c>
      <c r="J21" s="58">
        <f t="shared" si="0"/>
        <v>0</v>
      </c>
      <c r="K21" s="37"/>
    </row>
    <row r="22" spans="1:11" x14ac:dyDescent="0.25">
      <c r="A22" s="50">
        <f>'A) Base RI'!A24</f>
        <v>5423</v>
      </c>
      <c r="B22" s="301" t="str">
        <f>'A) Base RI'!B24</f>
        <v>Ballens</v>
      </c>
      <c r="C22" s="100">
        <f>'B) D RI'!U24</f>
        <v>13821.516027397261</v>
      </c>
      <c r="D22" s="116">
        <f>'E) Fact soc'!G28/C22</f>
        <v>16.308554531544555</v>
      </c>
      <c r="E22" s="141">
        <f>'H) Péréquation directe'!I33/C22</f>
        <v>-0.70877792836413356</v>
      </c>
      <c r="F22" s="116">
        <f>+'I) Dépenses thématiques'!O22/'K) Plafonnement aide'!C22</f>
        <v>-6.327414613905753</v>
      </c>
      <c r="G22" s="141">
        <f t="shared" si="1"/>
        <v>9.2723619892746676</v>
      </c>
      <c r="H22" s="116">
        <f t="shared" si="2"/>
        <v>15.59977660318042</v>
      </c>
      <c r="I22" s="141">
        <f t="shared" si="3"/>
        <v>0</v>
      </c>
      <c r="J22" s="58">
        <f t="shared" si="0"/>
        <v>0</v>
      </c>
      <c r="K22" s="37"/>
    </row>
    <row r="23" spans="1:11" x14ac:dyDescent="0.25">
      <c r="A23" s="50">
        <f>'A) Base RI'!A25</f>
        <v>5424</v>
      </c>
      <c r="B23" s="301" t="str">
        <f>'A) Base RI'!B25</f>
        <v>Berolle</v>
      </c>
      <c r="C23" s="100">
        <f>'B) D RI'!U25</f>
        <v>9297.6342857142881</v>
      </c>
      <c r="D23" s="116">
        <f>'E) Fact soc'!G29/C23</f>
        <v>15.091014223307718</v>
      </c>
      <c r="E23" s="141">
        <f>'H) Péréquation directe'!I34/C23</f>
        <v>4.1968944707770923</v>
      </c>
      <c r="F23" s="116">
        <f>+'I) Dépenses thématiques'!O23/'K) Plafonnement aide'!C23</f>
        <v>-3.7013021079320421</v>
      </c>
      <c r="G23" s="141">
        <f t="shared" si="1"/>
        <v>15.586606586152771</v>
      </c>
      <c r="H23" s="116">
        <f t="shared" si="2"/>
        <v>19.287908694084813</v>
      </c>
      <c r="I23" s="141">
        <f t="shared" si="3"/>
        <v>0</v>
      </c>
      <c r="J23" s="58">
        <f t="shared" si="0"/>
        <v>0</v>
      </c>
      <c r="K23" s="37"/>
    </row>
    <row r="24" spans="1:11" x14ac:dyDescent="0.25">
      <c r="A24" s="50">
        <f>'A) Base RI'!A26</f>
        <v>5425</v>
      </c>
      <c r="B24" s="301" t="str">
        <f>'A) Base RI'!B26</f>
        <v>Bière</v>
      </c>
      <c r="C24" s="100">
        <f>'B) D RI'!U26</f>
        <v>39425.527551724139</v>
      </c>
      <c r="D24" s="116">
        <f>'E) Fact soc'!G30/C24</f>
        <v>17.015628964847338</v>
      </c>
      <c r="E24" s="141">
        <f>'H) Péréquation directe'!I35/C24</f>
        <v>-4.841282120234971</v>
      </c>
      <c r="F24" s="116">
        <f>+'I) Dépenses thématiques'!O24/'K) Plafonnement aide'!C24</f>
        <v>-10.335782692959679</v>
      </c>
      <c r="G24" s="141">
        <f t="shared" si="1"/>
        <v>1.8385641516526867</v>
      </c>
      <c r="H24" s="116">
        <f t="shared" si="2"/>
        <v>12.174346844612366</v>
      </c>
      <c r="I24" s="141">
        <f t="shared" si="3"/>
        <v>0</v>
      </c>
      <c r="J24" s="58">
        <f t="shared" si="0"/>
        <v>0</v>
      </c>
      <c r="K24" s="37"/>
    </row>
    <row r="25" spans="1:11" x14ac:dyDescent="0.25">
      <c r="A25" s="50">
        <f>'A) Base RI'!A27</f>
        <v>5426</v>
      </c>
      <c r="B25" s="301" t="str">
        <f>'A) Base RI'!B27</f>
        <v>Bougy-Villars</v>
      </c>
      <c r="C25" s="100">
        <f>'B) D RI'!U27</f>
        <v>50769.838510101006</v>
      </c>
      <c r="D25" s="116">
        <f>'E) Fact soc'!G31/C25</f>
        <v>49.525021367389805</v>
      </c>
      <c r="E25" s="141">
        <f>'H) Péréquation directe'!I36/C25</f>
        <v>16.016218871552397</v>
      </c>
      <c r="F25" s="116">
        <f>+'I) Dépenses thématiques'!O25/'K) Plafonnement aide'!C25</f>
        <v>0</v>
      </c>
      <c r="G25" s="141">
        <f t="shared" si="1"/>
        <v>65.541240238942208</v>
      </c>
      <c r="H25" s="116">
        <f t="shared" si="2"/>
        <v>65.541240238942208</v>
      </c>
      <c r="I25" s="141">
        <f t="shared" si="3"/>
        <v>0</v>
      </c>
      <c r="J25" s="58">
        <f t="shared" si="0"/>
        <v>0</v>
      </c>
      <c r="K25" s="37"/>
    </row>
    <row r="26" spans="1:11" x14ac:dyDescent="0.25">
      <c r="A26" s="50">
        <f>'A) Base RI'!A28</f>
        <v>5427</v>
      </c>
      <c r="B26" s="301" t="str">
        <f>'A) Base RI'!B28</f>
        <v>Féchy</v>
      </c>
      <c r="C26" s="100">
        <f>'B) D RI'!U28</f>
        <v>73025.207608173092</v>
      </c>
      <c r="D26" s="116">
        <f>'E) Fact soc'!G32/C26</f>
        <v>25.68558015999405</v>
      </c>
      <c r="E26" s="141">
        <f>'H) Péréquation directe'!I37/C26</f>
        <v>16.448550842233235</v>
      </c>
      <c r="F26" s="116">
        <f>+'I) Dépenses thématiques'!O26/'K) Plafonnement aide'!C26</f>
        <v>0</v>
      </c>
      <c r="G26" s="141">
        <f t="shared" si="1"/>
        <v>42.134131002227285</v>
      </c>
      <c r="H26" s="116">
        <f t="shared" si="2"/>
        <v>42.134131002227285</v>
      </c>
      <c r="I26" s="141">
        <f t="shared" si="3"/>
        <v>0</v>
      </c>
      <c r="J26" s="58">
        <f t="shared" si="0"/>
        <v>0</v>
      </c>
      <c r="K26" s="37"/>
    </row>
    <row r="27" spans="1:11" x14ac:dyDescent="0.25">
      <c r="A27" s="50">
        <f>'A) Base RI'!A29</f>
        <v>5428</v>
      </c>
      <c r="B27" s="301" t="str">
        <f>'A) Base RI'!B29</f>
        <v>Gimel</v>
      </c>
      <c r="C27" s="100">
        <f>'B) D RI'!U29</f>
        <v>59817.35356643358</v>
      </c>
      <c r="D27" s="116">
        <f>'E) Fact soc'!G33/C27</f>
        <v>21.665127904595554</v>
      </c>
      <c r="E27" s="141">
        <f>'H) Péréquation directe'!I38/C27</f>
        <v>-2.7492528642231377</v>
      </c>
      <c r="F27" s="116">
        <f>+'I) Dépenses thématiques'!O27/'K) Plafonnement aide'!C27</f>
        <v>-3.7633840710898072</v>
      </c>
      <c r="G27" s="141">
        <f t="shared" si="1"/>
        <v>15.15249096928261</v>
      </c>
      <c r="H27" s="116">
        <f t="shared" si="2"/>
        <v>18.915875040372416</v>
      </c>
      <c r="I27" s="141">
        <f t="shared" si="3"/>
        <v>0</v>
      </c>
      <c r="J27" s="58">
        <f t="shared" si="0"/>
        <v>0</v>
      </c>
      <c r="K27" s="37"/>
    </row>
    <row r="28" spans="1:11" x14ac:dyDescent="0.25">
      <c r="A28" s="50">
        <f>'A) Base RI'!A30</f>
        <v>5429</v>
      </c>
      <c r="B28" s="301" t="str">
        <f>'A) Base RI'!B30</f>
        <v>Longirod</v>
      </c>
      <c r="C28" s="100">
        <f>'B) D RI'!U30</f>
        <v>13793.381358024693</v>
      </c>
      <c r="D28" s="116">
        <f>'E) Fact soc'!G34/C28</f>
        <v>17.269511056156809</v>
      </c>
      <c r="E28" s="141">
        <f>'H) Péréquation directe'!I39/C28</f>
        <v>0.88984981057678225</v>
      </c>
      <c r="F28" s="116">
        <f>+'I) Dépenses thématiques'!O28/'K) Plafonnement aide'!C28</f>
        <v>-8.9300277253226703</v>
      </c>
      <c r="G28" s="141">
        <f t="shared" si="1"/>
        <v>9.229333141410919</v>
      </c>
      <c r="H28" s="116">
        <f t="shared" si="2"/>
        <v>18.159360866733589</v>
      </c>
      <c r="I28" s="141">
        <f t="shared" si="3"/>
        <v>0</v>
      </c>
      <c r="J28" s="58">
        <f t="shared" si="0"/>
        <v>0</v>
      </c>
      <c r="K28" s="37"/>
    </row>
    <row r="29" spans="1:11" x14ac:dyDescent="0.25">
      <c r="A29" s="50">
        <f>'A) Base RI'!A31</f>
        <v>5430</v>
      </c>
      <c r="B29" s="301" t="str">
        <f>'A) Base RI'!B31</f>
        <v>Marchissy</v>
      </c>
      <c r="C29" s="100">
        <f>'B) D RI'!U31</f>
        <v>13616.452025316456</v>
      </c>
      <c r="D29" s="116">
        <f>'E) Fact soc'!G35/C29</f>
        <v>17.335686772262697</v>
      </c>
      <c r="E29" s="141">
        <f>'H) Péréquation directe'!I40/C29</f>
        <v>2.3956821755220994</v>
      </c>
      <c r="F29" s="116">
        <f>+'I) Dépenses thématiques'!O29/'K) Plafonnement aide'!C29</f>
        <v>-5.534441945104442</v>
      </c>
      <c r="G29" s="141">
        <f t="shared" si="1"/>
        <v>14.196927002680356</v>
      </c>
      <c r="H29" s="116">
        <f t="shared" si="2"/>
        <v>19.731368947784798</v>
      </c>
      <c r="I29" s="141">
        <f t="shared" si="3"/>
        <v>0</v>
      </c>
      <c r="J29" s="58">
        <f t="shared" si="0"/>
        <v>0</v>
      </c>
      <c r="K29" s="37"/>
    </row>
    <row r="30" spans="1:11" x14ac:dyDescent="0.25">
      <c r="A30" s="50">
        <f>'A) Base RI'!A32</f>
        <v>5431</v>
      </c>
      <c r="B30" s="301" t="str">
        <f>'A) Base RI'!B32</f>
        <v>Mollens</v>
      </c>
      <c r="C30" s="100">
        <f>'B) D RI'!U32</f>
        <v>8628.4962162162174</v>
      </c>
      <c r="D30" s="116">
        <f>'E) Fact soc'!G36/C30</f>
        <v>20.14972716630006</v>
      </c>
      <c r="E30" s="141">
        <f>'H) Péréquation directe'!I41/C30</f>
        <v>5.3128951003910609</v>
      </c>
      <c r="F30" s="116">
        <f>+'I) Dépenses thématiques'!O30/'K) Plafonnement aide'!C30</f>
        <v>-5.8794707484213999</v>
      </c>
      <c r="G30" s="141">
        <f t="shared" si="1"/>
        <v>19.58315151826972</v>
      </c>
      <c r="H30" s="116">
        <f t="shared" si="2"/>
        <v>25.46262226669112</v>
      </c>
      <c r="I30" s="141">
        <f t="shared" si="3"/>
        <v>0</v>
      </c>
      <c r="J30" s="58">
        <f t="shared" si="0"/>
        <v>0</v>
      </c>
      <c r="K30" s="37"/>
    </row>
    <row r="31" spans="1:11" x14ac:dyDescent="0.25">
      <c r="A31" s="50">
        <f>'A) Base RI'!A33</f>
        <v>5432</v>
      </c>
      <c r="B31" s="301" t="str">
        <f>'A) Base RI'!B33</f>
        <v>Montherod</v>
      </c>
      <c r="C31" s="100">
        <f>'B) D RI'!U33</f>
        <v>18262.77307692308</v>
      </c>
      <c r="D31" s="116">
        <f>'E) Fact soc'!G37/C31</f>
        <v>16.142996115578203</v>
      </c>
      <c r="E31" s="141">
        <f>'H) Péréquation directe'!I42/C31</f>
        <v>8.2577527378144495</v>
      </c>
      <c r="F31" s="116">
        <f>+'I) Dépenses thématiques'!O31/'K) Plafonnement aide'!C31</f>
        <v>-1.2053333195656533</v>
      </c>
      <c r="G31" s="141">
        <f t="shared" si="1"/>
        <v>23.195415533826999</v>
      </c>
      <c r="H31" s="116">
        <f t="shared" si="2"/>
        <v>24.400748853392653</v>
      </c>
      <c r="I31" s="141">
        <f t="shared" si="3"/>
        <v>0</v>
      </c>
      <c r="J31" s="58">
        <f t="shared" si="0"/>
        <v>0</v>
      </c>
      <c r="K31" s="37"/>
    </row>
    <row r="32" spans="1:11" x14ac:dyDescent="0.25">
      <c r="A32" s="50">
        <f>'A) Base RI'!A34</f>
        <v>5434</v>
      </c>
      <c r="B32" s="301" t="str">
        <f>'A) Base RI'!B34</f>
        <v>Saint-George</v>
      </c>
      <c r="C32" s="100">
        <f>'B) D RI'!U34</f>
        <v>36787.196197183097</v>
      </c>
      <c r="D32" s="116">
        <f>'E) Fact soc'!G38/C32</f>
        <v>19.357439259666574</v>
      </c>
      <c r="E32" s="141">
        <f>'H) Péréquation directe'!I43/C32</f>
        <v>10.708650994772684</v>
      </c>
      <c r="F32" s="116">
        <f>+'I) Dépenses thématiques'!O32/'K) Plafonnement aide'!C32</f>
        <v>-2.6501444797140445</v>
      </c>
      <c r="G32" s="141">
        <f t="shared" si="1"/>
        <v>27.415945774725216</v>
      </c>
      <c r="H32" s="116">
        <f t="shared" si="2"/>
        <v>30.06609025443926</v>
      </c>
      <c r="I32" s="141">
        <f t="shared" si="3"/>
        <v>0</v>
      </c>
      <c r="J32" s="58">
        <f t="shared" si="0"/>
        <v>0</v>
      </c>
      <c r="K32" s="37"/>
    </row>
    <row r="33" spans="1:11" x14ac:dyDescent="0.25">
      <c r="A33" s="50">
        <f>'A) Base RI'!A35</f>
        <v>5435</v>
      </c>
      <c r="B33" s="301" t="str">
        <f>'A) Base RI'!B35</f>
        <v>Saint-Livres</v>
      </c>
      <c r="C33" s="100">
        <f>'B) D RI'!U35</f>
        <v>24145.271449275358</v>
      </c>
      <c r="D33" s="116">
        <f>'E) Fact soc'!G39/C33</f>
        <v>16.466350944795071</v>
      </c>
      <c r="E33" s="141">
        <f>'H) Péréquation directe'!I44/C33</f>
        <v>10.687066529121685</v>
      </c>
      <c r="F33" s="116">
        <f>+'I) Dépenses thématiques'!O33/'K) Plafonnement aide'!C33</f>
        <v>-1.0727209818680807</v>
      </c>
      <c r="G33" s="141">
        <f t="shared" si="1"/>
        <v>26.080696492048673</v>
      </c>
      <c r="H33" s="116">
        <f t="shared" si="2"/>
        <v>27.153417473916754</v>
      </c>
      <c r="I33" s="141">
        <f t="shared" si="3"/>
        <v>0</v>
      </c>
      <c r="J33" s="58">
        <f t="shared" si="0"/>
        <v>0</v>
      </c>
      <c r="K33" s="37"/>
    </row>
    <row r="34" spans="1:11" x14ac:dyDescent="0.25">
      <c r="A34" s="50">
        <f>'A) Base RI'!A36</f>
        <v>5436</v>
      </c>
      <c r="B34" s="301" t="str">
        <f>'A) Base RI'!B36</f>
        <v>Saint-Oyens</v>
      </c>
      <c r="C34" s="100">
        <f>'B) D RI'!U36</f>
        <v>15077.325709876546</v>
      </c>
      <c r="D34" s="116">
        <f>'E) Fact soc'!G40/C34</f>
        <v>18.427351907609157</v>
      </c>
      <c r="E34" s="141">
        <f>'H) Péréquation directe'!I45/C34</f>
        <v>7.1830215086392633</v>
      </c>
      <c r="F34" s="116">
        <f>+'I) Dépenses thématiques'!O34/'K) Plafonnement aide'!C34</f>
        <v>-8.0796308011276565</v>
      </c>
      <c r="G34" s="141">
        <f t="shared" si="1"/>
        <v>17.530742615120765</v>
      </c>
      <c r="H34" s="116">
        <f t="shared" si="2"/>
        <v>25.610373416248422</v>
      </c>
      <c r="I34" s="141">
        <f t="shared" si="3"/>
        <v>0</v>
      </c>
      <c r="J34" s="58">
        <f t="shared" si="0"/>
        <v>0</v>
      </c>
      <c r="K34" s="37"/>
    </row>
    <row r="35" spans="1:11" x14ac:dyDescent="0.25">
      <c r="A35" s="50">
        <f>'A) Base RI'!A37</f>
        <v>5437</v>
      </c>
      <c r="B35" s="301" t="str">
        <f>'A) Base RI'!B37</f>
        <v>Saubraz</v>
      </c>
      <c r="C35" s="100">
        <f>'B) D RI'!U37</f>
        <v>11422.239624999998</v>
      </c>
      <c r="D35" s="116">
        <f>'E) Fact soc'!G41/C35</f>
        <v>18.217253128823572</v>
      </c>
      <c r="E35" s="141">
        <f>'H) Péréquation directe'!I46/C35</f>
        <v>-1.1674900726063653</v>
      </c>
      <c r="F35" s="116">
        <f>+'I) Dépenses thématiques'!O35/'K) Plafonnement aide'!C35</f>
        <v>-3.3518284133329295</v>
      </c>
      <c r="G35" s="141">
        <f t="shared" si="1"/>
        <v>13.697934642884276</v>
      </c>
      <c r="H35" s="116">
        <f t="shared" si="2"/>
        <v>17.049763056217206</v>
      </c>
      <c r="I35" s="141">
        <f t="shared" si="3"/>
        <v>0</v>
      </c>
      <c r="J35" s="58">
        <f t="shared" si="0"/>
        <v>0</v>
      </c>
      <c r="K35" s="37"/>
    </row>
    <row r="36" spans="1:11" x14ac:dyDescent="0.25">
      <c r="A36" s="50">
        <f>'A) Base RI'!A38</f>
        <v>5451</v>
      </c>
      <c r="B36" s="301" t="str">
        <f>'A) Base RI'!B38</f>
        <v>Avenches</v>
      </c>
      <c r="C36" s="100">
        <f>'B) D RI'!U38</f>
        <v>150757.73362745097</v>
      </c>
      <c r="D36" s="116">
        <f>'E) Fact soc'!G42/C36</f>
        <v>19.22169040174537</v>
      </c>
      <c r="E36" s="141">
        <f>'H) Péréquation directe'!I47/C36</f>
        <v>4.2934619021624334</v>
      </c>
      <c r="F36" s="116">
        <f>+'I) Dépenses thématiques'!O36/'K) Plafonnement aide'!C36</f>
        <v>-7.6786633497752534</v>
      </c>
      <c r="G36" s="141">
        <f t="shared" si="1"/>
        <v>15.836488954132552</v>
      </c>
      <c r="H36" s="116">
        <f t="shared" si="2"/>
        <v>23.515152303907804</v>
      </c>
      <c r="I36" s="141">
        <f t="shared" si="3"/>
        <v>0</v>
      </c>
      <c r="J36" s="58">
        <f t="shared" si="0"/>
        <v>0</v>
      </c>
      <c r="K36" s="37"/>
    </row>
    <row r="37" spans="1:11" x14ac:dyDescent="0.25">
      <c r="A37" s="50">
        <f>'A) Base RI'!A39</f>
        <v>5456</v>
      </c>
      <c r="B37" s="301" t="str">
        <f>'A) Base RI'!B39</f>
        <v>Cudrefin</v>
      </c>
      <c r="C37" s="100">
        <f>'B) D RI'!U39</f>
        <v>59376.955254237291</v>
      </c>
      <c r="D37" s="116">
        <f>'E) Fact soc'!G43/C37</f>
        <v>18.968662964285667</v>
      </c>
      <c r="E37" s="141">
        <f>'H) Péréquation directe'!I48/C37</f>
        <v>10.263693019364357</v>
      </c>
      <c r="F37" s="116">
        <f>+'I) Dépenses thématiques'!O37/'K) Plafonnement aide'!C37</f>
        <v>-4.4942327330602572</v>
      </c>
      <c r="G37" s="141">
        <f t="shared" si="1"/>
        <v>24.738123250589766</v>
      </c>
      <c r="H37" s="116">
        <f t="shared" si="2"/>
        <v>29.232355983650024</v>
      </c>
      <c r="I37" s="141">
        <f t="shared" si="3"/>
        <v>0</v>
      </c>
      <c r="J37" s="58">
        <f t="shared" si="0"/>
        <v>0</v>
      </c>
      <c r="K37" s="37"/>
    </row>
    <row r="38" spans="1:11" x14ac:dyDescent="0.25">
      <c r="A38" s="50">
        <f>'A) Base RI'!A40</f>
        <v>5458</v>
      </c>
      <c r="B38" s="301" t="str">
        <f>'A) Base RI'!B40</f>
        <v>Faoug</v>
      </c>
      <c r="C38" s="100">
        <f>'B) D RI'!U40</f>
        <v>30529.72296875</v>
      </c>
      <c r="D38" s="116">
        <f>'E) Fact soc'!G44/C38</f>
        <v>18.729971963331405</v>
      </c>
      <c r="E38" s="141">
        <f>'H) Péréquation directe'!I49/C38</f>
        <v>10.586262021768825</v>
      </c>
      <c r="F38" s="116">
        <f>+'I) Dépenses thématiques'!O38/'K) Plafonnement aide'!C38</f>
        <v>-2.8256844083329122</v>
      </c>
      <c r="G38" s="141">
        <f t="shared" si="1"/>
        <v>26.490549576767318</v>
      </c>
      <c r="H38" s="116">
        <f t="shared" si="2"/>
        <v>29.316233985100229</v>
      </c>
      <c r="I38" s="141">
        <f t="shared" si="3"/>
        <v>0</v>
      </c>
      <c r="J38" s="58">
        <f t="shared" si="0"/>
        <v>0</v>
      </c>
      <c r="K38" s="37"/>
    </row>
    <row r="39" spans="1:11" x14ac:dyDescent="0.25">
      <c r="A39" s="50">
        <f>'A) Base RI'!A41</f>
        <v>5464</v>
      </c>
      <c r="B39" s="301" t="str">
        <f>'A) Base RI'!B41</f>
        <v>Vully-les-Lacs</v>
      </c>
      <c r="C39" s="100">
        <f>'B) D RI'!U41</f>
        <v>103962.98910447762</v>
      </c>
      <c r="D39" s="116">
        <f>'E) Fact soc'!G45/C39</f>
        <v>18.381179226125195</v>
      </c>
      <c r="E39" s="141">
        <f>'H) Péréquation directe'!I50/C39</f>
        <v>3.8986378345638606</v>
      </c>
      <c r="F39" s="116">
        <f>+'I) Dépenses thématiques'!O39/'K) Plafonnement aide'!C39</f>
        <v>-5.3490229436974417</v>
      </c>
      <c r="G39" s="141">
        <f t="shared" si="1"/>
        <v>16.930794116991613</v>
      </c>
      <c r="H39" s="116">
        <f t="shared" si="2"/>
        <v>22.279817060689055</v>
      </c>
      <c r="I39" s="141">
        <f t="shared" si="3"/>
        <v>0</v>
      </c>
      <c r="J39" s="58">
        <f t="shared" si="0"/>
        <v>0</v>
      </c>
      <c r="K39" s="37"/>
    </row>
    <row r="40" spans="1:11" x14ac:dyDescent="0.25">
      <c r="A40" s="50">
        <f>'A) Base RI'!A42</f>
        <v>5471</v>
      </c>
      <c r="B40" s="301" t="str">
        <f>'A) Base RI'!B42</f>
        <v>Bettens</v>
      </c>
      <c r="C40" s="100">
        <f>'B) D RI'!U42</f>
        <v>18585.086968253971</v>
      </c>
      <c r="D40" s="116">
        <f>'E) Fact soc'!G46/C40</f>
        <v>16.592916677588406</v>
      </c>
      <c r="E40" s="141">
        <f>'H) Péréquation directe'!I51/C40</f>
        <v>7.3286288267956836</v>
      </c>
      <c r="F40" s="116">
        <f>+'I) Dépenses thématiques'!O40/'K) Plafonnement aide'!C40</f>
        <v>-1.8054118354505764</v>
      </c>
      <c r="G40" s="141">
        <f t="shared" si="1"/>
        <v>22.116133668933511</v>
      </c>
      <c r="H40" s="116">
        <f t="shared" si="2"/>
        <v>23.921545504384088</v>
      </c>
      <c r="I40" s="141">
        <f t="shared" si="3"/>
        <v>0</v>
      </c>
      <c r="J40" s="58">
        <f t="shared" si="0"/>
        <v>0</v>
      </c>
      <c r="K40" s="37"/>
    </row>
    <row r="41" spans="1:11" x14ac:dyDescent="0.25">
      <c r="A41" s="50">
        <f>'A) Base RI'!A43</f>
        <v>5472</v>
      </c>
      <c r="B41" s="301" t="str">
        <f>'A) Base RI'!B43</f>
        <v>Bournens</v>
      </c>
      <c r="C41" s="100">
        <f>'B) D RI'!U43</f>
        <v>16542.658815789473</v>
      </c>
      <c r="D41" s="116">
        <f>'E) Fact soc'!G47/C41</f>
        <v>15.895012116328783</v>
      </c>
      <c r="E41" s="141">
        <f>'H) Péréquation directe'!I52/C41</f>
        <v>14.236517128536816</v>
      </c>
      <c r="F41" s="116">
        <f>+'I) Dépenses thématiques'!O41/'K) Plafonnement aide'!C41</f>
        <v>-1.3699017555243624</v>
      </c>
      <c r="G41" s="141">
        <f t="shared" si="1"/>
        <v>28.761627489341233</v>
      </c>
      <c r="H41" s="116">
        <f t="shared" si="2"/>
        <v>30.131529244865597</v>
      </c>
      <c r="I41" s="141">
        <f t="shared" si="3"/>
        <v>0</v>
      </c>
      <c r="J41" s="58">
        <f t="shared" si="0"/>
        <v>0</v>
      </c>
      <c r="K41" s="37"/>
    </row>
    <row r="42" spans="1:11" x14ac:dyDescent="0.25">
      <c r="A42" s="50">
        <f>'A) Base RI'!A44</f>
        <v>5473</v>
      </c>
      <c r="B42" s="301" t="str">
        <f>'A) Base RI'!B44</f>
        <v>Boussens</v>
      </c>
      <c r="C42" s="100">
        <f>'B) D RI'!U44</f>
        <v>36720.844927536244</v>
      </c>
      <c r="D42" s="116">
        <f>'E) Fact soc'!G48/C42</f>
        <v>15.729963197536904</v>
      </c>
      <c r="E42" s="141">
        <f>'H) Péréquation directe'!I53/C42</f>
        <v>12.795962793669897</v>
      </c>
      <c r="F42" s="116">
        <f>+'I) Dépenses thématiques'!O42/'K) Plafonnement aide'!C42</f>
        <v>0</v>
      </c>
      <c r="G42" s="141">
        <f t="shared" si="1"/>
        <v>28.525925991206801</v>
      </c>
      <c r="H42" s="116">
        <f t="shared" si="2"/>
        <v>28.525925991206801</v>
      </c>
      <c r="I42" s="141">
        <f t="shared" si="3"/>
        <v>0</v>
      </c>
      <c r="J42" s="58">
        <f t="shared" si="0"/>
        <v>0</v>
      </c>
      <c r="K42" s="37"/>
    </row>
    <row r="43" spans="1:11" x14ac:dyDescent="0.25">
      <c r="A43" s="50">
        <f>'A) Base RI'!A45</f>
        <v>5474</v>
      </c>
      <c r="B43" s="301" t="str">
        <f>'A) Base RI'!B45</f>
        <v>La Chaux (Cossonay)</v>
      </c>
      <c r="C43" s="100">
        <f>'B) D RI'!U45</f>
        <v>12985.393549783552</v>
      </c>
      <c r="D43" s="116">
        <f>'E) Fact soc'!G49/C43</f>
        <v>14.482558499384368</v>
      </c>
      <c r="E43" s="141">
        <f>'H) Péréquation directe'!I54/C43</f>
        <v>5.8742730026993115</v>
      </c>
      <c r="F43" s="116">
        <f>+'I) Dépenses thématiques'!O43/'K) Plafonnement aide'!C43</f>
        <v>-7.1527614330635974</v>
      </c>
      <c r="G43" s="141">
        <f t="shared" si="1"/>
        <v>13.204070069020082</v>
      </c>
      <c r="H43" s="116">
        <f t="shared" si="2"/>
        <v>20.356831502083679</v>
      </c>
      <c r="I43" s="141">
        <f t="shared" si="3"/>
        <v>0</v>
      </c>
      <c r="J43" s="58">
        <f t="shared" si="0"/>
        <v>0</v>
      </c>
      <c r="K43" s="37"/>
    </row>
    <row r="44" spans="1:11" x14ac:dyDescent="0.25">
      <c r="A44" s="50">
        <f>'A) Base RI'!A46</f>
        <v>5475</v>
      </c>
      <c r="B44" s="301" t="str">
        <f>'A) Base RI'!B46</f>
        <v>Chavannes-le-Veyron</v>
      </c>
      <c r="C44" s="100">
        <f>'B) D RI'!U46</f>
        <v>4956.4012987012984</v>
      </c>
      <c r="D44" s="116">
        <f>'E) Fact soc'!G50/C44</f>
        <v>21.152266400374465</v>
      </c>
      <c r="E44" s="141">
        <f>'H) Péréquation directe'!I55/C44</f>
        <v>9.2681303352291042</v>
      </c>
      <c r="F44" s="116">
        <f>+'I) Dépenses thématiques'!O44/'K) Plafonnement aide'!C44</f>
        <v>-9.0947708282909048</v>
      </c>
      <c r="G44" s="141">
        <f t="shared" si="1"/>
        <v>21.325625907312663</v>
      </c>
      <c r="H44" s="116">
        <f t="shared" si="2"/>
        <v>30.420396735603568</v>
      </c>
      <c r="I44" s="141">
        <f t="shared" si="3"/>
        <v>0</v>
      </c>
      <c r="J44" s="58">
        <f t="shared" si="0"/>
        <v>0</v>
      </c>
      <c r="K44" s="37"/>
    </row>
    <row r="45" spans="1:11" x14ac:dyDescent="0.25">
      <c r="A45" s="50">
        <f>'A) Base RI'!A47</f>
        <v>5476</v>
      </c>
      <c r="B45" s="301" t="str">
        <f>'A) Base RI'!B47</f>
        <v>Chevilly</v>
      </c>
      <c r="C45" s="100">
        <f>'B) D RI'!U47</f>
        <v>10630.648108108109</v>
      </c>
      <c r="D45" s="116">
        <f>'E) Fact soc'!G51/C45</f>
        <v>14.615468830870624</v>
      </c>
      <c r="E45" s="141">
        <f>'H) Péréquation directe'!I56/C45</f>
        <v>8.8335279369007722</v>
      </c>
      <c r="F45" s="116">
        <f>+'I) Dépenses thématiques'!O45/'K) Plafonnement aide'!C45</f>
        <v>-2.3705209172164854</v>
      </c>
      <c r="G45" s="141">
        <f t="shared" si="1"/>
        <v>21.078475850554913</v>
      </c>
      <c r="H45" s="116">
        <f t="shared" si="2"/>
        <v>23.448996767771398</v>
      </c>
      <c r="I45" s="141">
        <f t="shared" si="3"/>
        <v>0</v>
      </c>
      <c r="J45" s="58">
        <f t="shared" si="0"/>
        <v>0</v>
      </c>
      <c r="K45" s="37"/>
    </row>
    <row r="46" spans="1:11" x14ac:dyDescent="0.25">
      <c r="A46" s="50">
        <f>'A) Base RI'!A48</f>
        <v>5477</v>
      </c>
      <c r="B46" s="301" t="str">
        <f>'A) Base RI'!B48</f>
        <v>Cossonay</v>
      </c>
      <c r="C46" s="100">
        <f>'B) D RI'!U48</f>
        <v>133477.09521126762</v>
      </c>
      <c r="D46" s="116">
        <f>'E) Fact soc'!G52/C46</f>
        <v>17.700997327618147</v>
      </c>
      <c r="E46" s="141">
        <f>'H) Péréquation directe'!I57/C46</f>
        <v>3.5924539706854866</v>
      </c>
      <c r="F46" s="116">
        <f>+'I) Dépenses thématiques'!O46/'K) Plafonnement aide'!C46</f>
        <v>-4.0818563344100163</v>
      </c>
      <c r="G46" s="141">
        <f t="shared" si="1"/>
        <v>17.211594963893617</v>
      </c>
      <c r="H46" s="116">
        <f t="shared" si="2"/>
        <v>21.293451298303633</v>
      </c>
      <c r="I46" s="141">
        <f t="shared" si="3"/>
        <v>0</v>
      </c>
      <c r="J46" s="58">
        <f t="shared" si="0"/>
        <v>0</v>
      </c>
      <c r="K46" s="37"/>
    </row>
    <row r="47" spans="1:11" x14ac:dyDescent="0.25">
      <c r="A47" s="50">
        <f>'A) Base RI'!A49</f>
        <v>5478</v>
      </c>
      <c r="B47" s="301" t="str">
        <f>'A) Base RI'!B49</f>
        <v>Cottens</v>
      </c>
      <c r="C47" s="100">
        <f>'B) D RI'!U49</f>
        <v>14377.418378378377</v>
      </c>
      <c r="D47" s="116">
        <f>'E) Fact soc'!G53/C47</f>
        <v>16.247148545666576</v>
      </c>
      <c r="E47" s="141">
        <f>'H) Péréquation directe'!I58/C47</f>
        <v>4.2282127227052646</v>
      </c>
      <c r="F47" s="116">
        <f>+'I) Dépenses thématiques'!O47/'K) Plafonnement aide'!C47</f>
        <v>-2.0766622558550263</v>
      </c>
      <c r="G47" s="141">
        <f t="shared" si="1"/>
        <v>18.398699012516815</v>
      </c>
      <c r="H47" s="116">
        <f t="shared" si="2"/>
        <v>20.475361268371842</v>
      </c>
      <c r="I47" s="141">
        <f t="shared" si="3"/>
        <v>0</v>
      </c>
      <c r="J47" s="58">
        <f t="shared" si="0"/>
        <v>0</v>
      </c>
      <c r="K47" s="37"/>
    </row>
    <row r="48" spans="1:11" x14ac:dyDescent="0.25">
      <c r="A48" s="50">
        <f>'A) Base RI'!A50</f>
        <v>5479</v>
      </c>
      <c r="B48" s="301" t="str">
        <f>'A) Base RI'!B50</f>
        <v>Cuarnens</v>
      </c>
      <c r="C48" s="100">
        <f>'B) D RI'!U50</f>
        <v>16455.372077922078</v>
      </c>
      <c r="D48" s="116">
        <f>'E) Fact soc'!G54/C48</f>
        <v>17.251039693841768</v>
      </c>
      <c r="E48" s="141">
        <f>'H) Péréquation directe'!I59/C48</f>
        <v>8.7351445951022573</v>
      </c>
      <c r="F48" s="116">
        <f>+'I) Dépenses thématiques'!O48/'K) Plafonnement aide'!C48</f>
        <v>-7.1878866186096504</v>
      </c>
      <c r="G48" s="141">
        <f t="shared" si="1"/>
        <v>18.798297670334374</v>
      </c>
      <c r="H48" s="116">
        <f t="shared" si="2"/>
        <v>25.986184288944024</v>
      </c>
      <c r="I48" s="141">
        <f t="shared" si="3"/>
        <v>0</v>
      </c>
      <c r="J48" s="58">
        <f t="shared" si="0"/>
        <v>0</v>
      </c>
      <c r="K48" s="37"/>
    </row>
    <row r="49" spans="1:11" x14ac:dyDescent="0.25">
      <c r="A49" s="50">
        <f>'A) Base RI'!A51</f>
        <v>5480</v>
      </c>
      <c r="B49" s="301" t="str">
        <f>'A) Base RI'!B51</f>
        <v>Daillens</v>
      </c>
      <c r="C49" s="100">
        <f>'B) D RI'!U51</f>
        <v>41472.794507042257</v>
      </c>
      <c r="D49" s="116">
        <f>'E) Fact soc'!G55/C49</f>
        <v>18.900824553887269</v>
      </c>
      <c r="E49" s="141">
        <f>'H) Péréquation directe'!I60/C49</f>
        <v>14.025135456701785</v>
      </c>
      <c r="F49" s="116">
        <f>+'I) Dépenses thématiques'!O49/'K) Plafonnement aide'!C49</f>
        <v>-3.0270600497483984</v>
      </c>
      <c r="G49" s="141">
        <f t="shared" si="1"/>
        <v>29.898899960840652</v>
      </c>
      <c r="H49" s="116">
        <f t="shared" si="2"/>
        <v>32.925960010589051</v>
      </c>
      <c r="I49" s="141">
        <f t="shared" si="3"/>
        <v>0</v>
      </c>
      <c r="J49" s="58">
        <f t="shared" si="0"/>
        <v>0</v>
      </c>
      <c r="K49" s="37"/>
    </row>
    <row r="50" spans="1:11" x14ac:dyDescent="0.25">
      <c r="A50" s="50">
        <f>'A) Base RI'!A52</f>
        <v>5481</v>
      </c>
      <c r="B50" s="301" t="str">
        <f>'A) Base RI'!B52</f>
        <v>Dizy</v>
      </c>
      <c r="C50" s="100">
        <f>'B) D RI'!U52</f>
        <v>11087.272784810126</v>
      </c>
      <c r="D50" s="116">
        <f>'E) Fact soc'!G56/C50</f>
        <v>16.148405281874229</v>
      </c>
      <c r="E50" s="141">
        <f>'H) Péréquation directe'!I61/C50</f>
        <v>16.972073805454162</v>
      </c>
      <c r="F50" s="116">
        <f>+'I) Dépenses thématiques'!O50/'K) Plafonnement aide'!C50</f>
        <v>0</v>
      </c>
      <c r="G50" s="141">
        <f t="shared" si="1"/>
        <v>33.120479087328391</v>
      </c>
      <c r="H50" s="116">
        <f t="shared" si="2"/>
        <v>33.120479087328391</v>
      </c>
      <c r="I50" s="141">
        <f t="shared" si="3"/>
        <v>0</v>
      </c>
      <c r="J50" s="58">
        <f t="shared" si="0"/>
        <v>0</v>
      </c>
      <c r="K50" s="37"/>
    </row>
    <row r="51" spans="1:11" x14ac:dyDescent="0.25">
      <c r="A51" s="50">
        <f>'A) Base RI'!A53</f>
        <v>5482</v>
      </c>
      <c r="B51" s="301" t="str">
        <f>'A) Base RI'!B53</f>
        <v>Eclépens</v>
      </c>
      <c r="C51" s="100">
        <f>'B) D RI'!U53</f>
        <v>49011.702173913051</v>
      </c>
      <c r="D51" s="116">
        <f>'E) Fact soc'!G57/C51</f>
        <v>17.343157200047028</v>
      </c>
      <c r="E51" s="141">
        <f>'H) Péréquation directe'!I62/C51</f>
        <v>14.484824516185563</v>
      </c>
      <c r="F51" s="116">
        <f>+'I) Dépenses thématiques'!O51/'K) Plafonnement aide'!C51</f>
        <v>-2.0196261893309995</v>
      </c>
      <c r="G51" s="141">
        <f t="shared" si="1"/>
        <v>29.808355526901593</v>
      </c>
      <c r="H51" s="116">
        <f t="shared" si="2"/>
        <v>31.827981716232593</v>
      </c>
      <c r="I51" s="141">
        <f t="shared" si="3"/>
        <v>0</v>
      </c>
      <c r="J51" s="58">
        <f t="shared" si="0"/>
        <v>0</v>
      </c>
      <c r="K51" s="37"/>
    </row>
    <row r="52" spans="1:11" x14ac:dyDescent="0.25">
      <c r="A52" s="50">
        <f>'A) Base RI'!A54</f>
        <v>5483</v>
      </c>
      <c r="B52" s="301" t="str">
        <f>'A) Base RI'!B54</f>
        <v>Ferreyres</v>
      </c>
      <c r="C52" s="100">
        <f>'B) D RI'!U54</f>
        <v>8858.2019736842121</v>
      </c>
      <c r="D52" s="116">
        <f>'E) Fact soc'!G58/C52</f>
        <v>17.184165191950065</v>
      </c>
      <c r="E52" s="141">
        <f>'H) Péréquation directe'!I63/C52</f>
        <v>2.2531982876794419</v>
      </c>
      <c r="F52" s="116">
        <f>+'I) Dépenses thématiques'!O52/'K) Plafonnement aide'!C52</f>
        <v>-3.1964754553567878</v>
      </c>
      <c r="G52" s="141">
        <f t="shared" si="1"/>
        <v>16.240888024272721</v>
      </c>
      <c r="H52" s="116">
        <f t="shared" si="2"/>
        <v>19.437363479629507</v>
      </c>
      <c r="I52" s="141">
        <f t="shared" si="3"/>
        <v>0</v>
      </c>
      <c r="J52" s="58">
        <f t="shared" si="0"/>
        <v>0</v>
      </c>
      <c r="K52" s="37"/>
    </row>
    <row r="53" spans="1:11" x14ac:dyDescent="0.25">
      <c r="A53" s="50">
        <f>'A) Base RI'!A55</f>
        <v>5484</v>
      </c>
      <c r="B53" s="301" t="str">
        <f>'A) Base RI'!B55</f>
        <v>Gollion</v>
      </c>
      <c r="C53" s="100">
        <f>'B) D RI'!U55</f>
        <v>32194.381081081083</v>
      </c>
      <c r="D53" s="116">
        <f>'E) Fact soc'!G59/C53</f>
        <v>19.107058841557627</v>
      </c>
      <c r="E53" s="141">
        <f>'H) Péréquation directe'!I64/C53</f>
        <v>9.2336909201252091</v>
      </c>
      <c r="F53" s="116">
        <f>+'I) Dépenses thématiques'!O53/'K) Plafonnement aide'!C53</f>
        <v>-2.1639670106476232</v>
      </c>
      <c r="G53" s="141">
        <f t="shared" si="1"/>
        <v>26.176782751035212</v>
      </c>
      <c r="H53" s="116">
        <f t="shared" si="2"/>
        <v>28.340749761682837</v>
      </c>
      <c r="I53" s="141">
        <f t="shared" si="3"/>
        <v>0</v>
      </c>
      <c r="J53" s="58">
        <f t="shared" si="0"/>
        <v>0</v>
      </c>
      <c r="K53" s="37"/>
    </row>
    <row r="54" spans="1:11" x14ac:dyDescent="0.25">
      <c r="A54" s="50">
        <f>'A) Base RI'!A56</f>
        <v>5485</v>
      </c>
      <c r="B54" s="301" t="str">
        <f>'A) Base RI'!B56</f>
        <v>Grancy</v>
      </c>
      <c r="C54" s="100">
        <f>'B) D RI'!U56</f>
        <v>18697.252714285714</v>
      </c>
      <c r="D54" s="116">
        <f>'E) Fact soc'!G60/C54</f>
        <v>15.498320606345773</v>
      </c>
      <c r="E54" s="141">
        <f>'H) Péréquation directe'!I65/C54</f>
        <v>16.85485205389779</v>
      </c>
      <c r="F54" s="116">
        <f>+'I) Dépenses thématiques'!O54/'K) Plafonnement aide'!C54</f>
        <v>-23.260008819770007</v>
      </c>
      <c r="G54" s="141">
        <f t="shared" si="1"/>
        <v>9.093163840473558</v>
      </c>
      <c r="H54" s="116">
        <f t="shared" si="2"/>
        <v>32.353172660243565</v>
      </c>
      <c r="I54" s="141">
        <f t="shared" si="3"/>
        <v>0</v>
      </c>
      <c r="J54" s="58">
        <f t="shared" si="0"/>
        <v>0</v>
      </c>
      <c r="K54" s="37"/>
    </row>
    <row r="55" spans="1:11" x14ac:dyDescent="0.25">
      <c r="A55" s="50">
        <f>'A) Base RI'!A57</f>
        <v>5486</v>
      </c>
      <c r="B55" s="301" t="str">
        <f>'A) Base RI'!B57</f>
        <v>L'Isle</v>
      </c>
      <c r="C55" s="100">
        <f>'B) D RI'!U57</f>
        <v>31254.420526315782</v>
      </c>
      <c r="D55" s="116">
        <f>'E) Fact soc'!G61/C55</f>
        <v>17.555407481973621</v>
      </c>
      <c r="E55" s="141">
        <f>'H) Péréquation directe'!I66/C55</f>
        <v>5.4321437528478027</v>
      </c>
      <c r="F55" s="116">
        <f>+'I) Dépenses thématiques'!O55/'K) Plafonnement aide'!C55</f>
        <v>-9.722418594437416</v>
      </c>
      <c r="G55" s="141">
        <f t="shared" si="1"/>
        <v>13.265132640384008</v>
      </c>
      <c r="H55" s="116">
        <f t="shared" si="2"/>
        <v>22.987551234821424</v>
      </c>
      <c r="I55" s="141">
        <f t="shared" si="3"/>
        <v>0</v>
      </c>
      <c r="J55" s="58">
        <f t="shared" si="0"/>
        <v>0</v>
      </c>
      <c r="K55" s="37"/>
    </row>
    <row r="56" spans="1:11" x14ac:dyDescent="0.25">
      <c r="A56" s="50">
        <f>'A) Base RI'!A58</f>
        <v>5487</v>
      </c>
      <c r="B56" s="301" t="str">
        <f>'A) Base RI'!B58</f>
        <v>Lussery-Villars</v>
      </c>
      <c r="C56" s="100">
        <f>'B) D RI'!U58</f>
        <v>14791.264800000001</v>
      </c>
      <c r="D56" s="116">
        <f>'E) Fact soc'!G62/C56</f>
        <v>15.302516778153302</v>
      </c>
      <c r="E56" s="141">
        <f>'H) Péréquation directe'!I67/C56</f>
        <v>6.759927360266424</v>
      </c>
      <c r="F56" s="116">
        <f>+'I) Dépenses thématiques'!O56/'K) Plafonnement aide'!C56</f>
        <v>-1.0559251195285448</v>
      </c>
      <c r="G56" s="141">
        <f t="shared" si="1"/>
        <v>21.006519018891183</v>
      </c>
      <c r="H56" s="116">
        <f t="shared" si="2"/>
        <v>22.062444138419728</v>
      </c>
      <c r="I56" s="141">
        <f t="shared" si="3"/>
        <v>0</v>
      </c>
      <c r="J56" s="58">
        <f t="shared" si="0"/>
        <v>0</v>
      </c>
      <c r="K56" s="37"/>
    </row>
    <row r="57" spans="1:11" x14ac:dyDescent="0.25">
      <c r="A57" s="50">
        <f>'A) Base RI'!A59</f>
        <v>5488</v>
      </c>
      <c r="B57" s="301" t="str">
        <f>'A) Base RI'!B59</f>
        <v>Mauraz</v>
      </c>
      <c r="C57" s="100">
        <f>'B) D RI'!U59</f>
        <v>1908.9349999999995</v>
      </c>
      <c r="D57" s="116">
        <f>'E) Fact soc'!G63/C57</f>
        <v>17.934165598042764</v>
      </c>
      <c r="E57" s="141">
        <f>'H) Péréquation directe'!I68/C57</f>
        <v>6.4063087969713104</v>
      </c>
      <c r="F57" s="116">
        <f>+'I) Dépenses thématiques'!O57/'K) Plafonnement aide'!C57</f>
        <v>0</v>
      </c>
      <c r="G57" s="141">
        <f t="shared" si="1"/>
        <v>24.340474395014073</v>
      </c>
      <c r="H57" s="116">
        <f t="shared" si="2"/>
        <v>24.340474395014073</v>
      </c>
      <c r="I57" s="141">
        <f t="shared" si="3"/>
        <v>0</v>
      </c>
      <c r="J57" s="58">
        <f t="shared" si="0"/>
        <v>0</v>
      </c>
      <c r="K57" s="37"/>
    </row>
    <row r="58" spans="1:11" x14ac:dyDescent="0.25">
      <c r="A58" s="50">
        <f>'A) Base RI'!A60</f>
        <v>5489</v>
      </c>
      <c r="B58" s="301" t="str">
        <f>'A) Base RI'!B60</f>
        <v>Mex</v>
      </c>
      <c r="C58" s="100">
        <f>'B) D RI'!U60</f>
        <v>70574.798032786901</v>
      </c>
      <c r="D58" s="116">
        <f>'E) Fact soc'!G64/C58</f>
        <v>26.009849197188419</v>
      </c>
      <c r="E58" s="141">
        <f>'H) Péréquation directe'!I69/C58</f>
        <v>16.167496244070275</v>
      </c>
      <c r="F58" s="116">
        <f>+'I) Dépenses thématiques'!O58/'K) Plafonnement aide'!C58</f>
        <v>0</v>
      </c>
      <c r="G58" s="141">
        <f t="shared" si="1"/>
        <v>42.177345441258694</v>
      </c>
      <c r="H58" s="116">
        <f t="shared" si="2"/>
        <v>42.177345441258694</v>
      </c>
      <c r="I58" s="141">
        <f t="shared" si="3"/>
        <v>0</v>
      </c>
      <c r="J58" s="58">
        <f t="shared" si="0"/>
        <v>0</v>
      </c>
      <c r="K58" s="37"/>
    </row>
    <row r="59" spans="1:11" x14ac:dyDescent="0.25">
      <c r="A59" s="50">
        <f>'A) Base RI'!A61</f>
        <v>5490</v>
      </c>
      <c r="B59" s="301" t="str">
        <f>'A) Base RI'!B61</f>
        <v>Moiry</v>
      </c>
      <c r="C59" s="100">
        <f>'B) D RI'!U61</f>
        <v>9296.4079999999994</v>
      </c>
      <c r="D59" s="116">
        <f>'E) Fact soc'!G65/C59</f>
        <v>16.359745005589883</v>
      </c>
      <c r="E59" s="141">
        <f>'H) Péréquation directe'!I70/C59</f>
        <v>2.8772950660936596</v>
      </c>
      <c r="F59" s="116">
        <f>+'I) Dépenses thématiques'!O59/'K) Plafonnement aide'!C59</f>
        <v>-4.5045133320197657</v>
      </c>
      <c r="G59" s="141">
        <f t="shared" si="1"/>
        <v>14.732526739663776</v>
      </c>
      <c r="H59" s="116">
        <f t="shared" si="2"/>
        <v>19.237040071683541</v>
      </c>
      <c r="I59" s="141">
        <f t="shared" si="3"/>
        <v>0</v>
      </c>
      <c r="J59" s="58">
        <f t="shared" si="0"/>
        <v>0</v>
      </c>
      <c r="K59" s="37"/>
    </row>
    <row r="60" spans="1:11" x14ac:dyDescent="0.25">
      <c r="A60" s="50">
        <f>'A) Base RI'!A62</f>
        <v>5491</v>
      </c>
      <c r="B60" s="301" t="str">
        <f>'A) Base RI'!B62</f>
        <v>Mont-la-Ville</v>
      </c>
      <c r="C60" s="100">
        <f>'B) D RI'!U62</f>
        <v>12324.548552631581</v>
      </c>
      <c r="D60" s="116">
        <f>'E) Fact soc'!G66/C60</f>
        <v>18.354984430968482</v>
      </c>
      <c r="E60" s="141">
        <f>'H) Péréquation directe'!I71/C60</f>
        <v>-0.93684415789417164</v>
      </c>
      <c r="F60" s="116">
        <f>+'I) Dépenses thématiques'!O60/'K) Plafonnement aide'!C60</f>
        <v>-12.522354439175084</v>
      </c>
      <c r="G60" s="141">
        <f t="shared" si="1"/>
        <v>4.8957858338992271</v>
      </c>
      <c r="H60" s="116">
        <f t="shared" si="2"/>
        <v>17.418140273074311</v>
      </c>
      <c r="I60" s="141">
        <f t="shared" si="3"/>
        <v>0</v>
      </c>
      <c r="J60" s="58">
        <f t="shared" si="0"/>
        <v>0</v>
      </c>
      <c r="K60" s="37"/>
    </row>
    <row r="61" spans="1:11" x14ac:dyDescent="0.25">
      <c r="A61" s="50">
        <f>'A) Base RI'!A63</f>
        <v>5492</v>
      </c>
      <c r="B61" s="301" t="str">
        <f>'A) Base RI'!B63</f>
        <v>Montricher</v>
      </c>
      <c r="C61" s="100">
        <f>'B) D RI'!U63</f>
        <v>236409.63453124999</v>
      </c>
      <c r="D61" s="116">
        <f>'E) Fact soc'!G67/C61</f>
        <v>42.099564319073643</v>
      </c>
      <c r="E61" s="141">
        <f>'H) Péréquation directe'!I72/C61</f>
        <v>14.209247106112185</v>
      </c>
      <c r="F61" s="116">
        <f>+'I) Dépenses thématiques'!O61/'K) Plafonnement aide'!C61</f>
        <v>-0.34786900604376009</v>
      </c>
      <c r="G61" s="141">
        <f t="shared" si="1"/>
        <v>55.960942419142071</v>
      </c>
      <c r="H61" s="116">
        <f t="shared" si="2"/>
        <v>56.30881142518583</v>
      </c>
      <c r="I61" s="141">
        <f t="shared" si="3"/>
        <v>0</v>
      </c>
      <c r="J61" s="58">
        <f t="shared" si="0"/>
        <v>0</v>
      </c>
      <c r="K61" s="37"/>
    </row>
    <row r="62" spans="1:11" x14ac:dyDescent="0.25">
      <c r="A62" s="50">
        <f>'A) Base RI'!A64</f>
        <v>5493</v>
      </c>
      <c r="B62" s="301" t="str">
        <f>'A) Base RI'!B64</f>
        <v>Orny</v>
      </c>
      <c r="C62" s="100">
        <f>'B) D RI'!U64</f>
        <v>10717.748314014751</v>
      </c>
      <c r="D62" s="116">
        <f>'E) Fact soc'!G68/C62</f>
        <v>19.679146789979647</v>
      </c>
      <c r="E62" s="141">
        <f>'H) Péréquation directe'!I73/C62</f>
        <v>3.9726554274565062</v>
      </c>
      <c r="F62" s="116">
        <f>+'I) Dépenses thématiques'!O62/'K) Plafonnement aide'!C62</f>
        <v>-61.48427256575814</v>
      </c>
      <c r="G62" s="141">
        <f t="shared" si="1"/>
        <v>-37.832470348321991</v>
      </c>
      <c r="H62" s="116">
        <f t="shared" si="2"/>
        <v>23.651802217436149</v>
      </c>
      <c r="I62" s="141">
        <f t="shared" si="3"/>
        <v>0</v>
      </c>
      <c r="J62" s="58">
        <f t="shared" si="0"/>
        <v>0</v>
      </c>
      <c r="K62" s="37"/>
    </row>
    <row r="63" spans="1:11" x14ac:dyDescent="0.25">
      <c r="A63" s="50">
        <f>'A) Base RI'!A65</f>
        <v>5494</v>
      </c>
      <c r="B63" s="301" t="str">
        <f>'A) Base RI'!B65</f>
        <v>Pampigny</v>
      </c>
      <c r="C63" s="100">
        <f>'B) D RI'!U65</f>
        <v>37813.321536507938</v>
      </c>
      <c r="D63" s="116">
        <f>'E) Fact soc'!G69/C63</f>
        <v>18.673275924369236</v>
      </c>
      <c r="E63" s="141">
        <f>'H) Péréquation directe'!I74/C63</f>
        <v>8.0054887111194599</v>
      </c>
      <c r="F63" s="116">
        <f>+'I) Dépenses thématiques'!O63/'K) Plafonnement aide'!C63</f>
        <v>-5.0927121224223342</v>
      </c>
      <c r="G63" s="141">
        <f t="shared" si="1"/>
        <v>21.586052513066363</v>
      </c>
      <c r="H63" s="116">
        <f t="shared" si="2"/>
        <v>26.678764635488697</v>
      </c>
      <c r="I63" s="141">
        <f t="shared" si="3"/>
        <v>0</v>
      </c>
      <c r="J63" s="58">
        <f t="shared" si="0"/>
        <v>0</v>
      </c>
      <c r="K63" s="37"/>
    </row>
    <row r="64" spans="1:11" x14ac:dyDescent="0.25">
      <c r="A64" s="50">
        <f>'A) Base RI'!A66</f>
        <v>5495</v>
      </c>
      <c r="B64" s="301" t="str">
        <f>'A) Base RI'!B66</f>
        <v>Penthalaz</v>
      </c>
      <c r="C64" s="100">
        <f>'B) D RI'!U66</f>
        <v>92917.674594594588</v>
      </c>
      <c r="D64" s="116">
        <f>'E) Fact soc'!G70/C64</f>
        <v>17.304359140182054</v>
      </c>
      <c r="E64" s="141">
        <f>'H) Péréquation directe'!I75/C64</f>
        <v>-4.0156141140472412</v>
      </c>
      <c r="F64" s="116">
        <f>+'I) Dépenses thématiques'!O64/'K) Plafonnement aide'!C64</f>
        <v>-5.4111545452171868</v>
      </c>
      <c r="G64" s="141">
        <f t="shared" si="1"/>
        <v>7.8775904809176254</v>
      </c>
      <c r="H64" s="116">
        <f t="shared" si="2"/>
        <v>13.288745026134812</v>
      </c>
      <c r="I64" s="141">
        <f t="shared" si="3"/>
        <v>0</v>
      </c>
      <c r="J64" s="58">
        <f t="shared" si="0"/>
        <v>0</v>
      </c>
      <c r="K64" s="37"/>
    </row>
    <row r="65" spans="1:11" x14ac:dyDescent="0.25">
      <c r="A65" s="50">
        <f>'A) Base RI'!A67</f>
        <v>5496</v>
      </c>
      <c r="B65" s="301" t="str">
        <f>'A) Base RI'!B67</f>
        <v>Penthaz</v>
      </c>
      <c r="C65" s="100">
        <f>'B) D RI'!U67</f>
        <v>57442.135633802813</v>
      </c>
      <c r="D65" s="116">
        <f>'E) Fact soc'!G71/C65</f>
        <v>19.044207414748982</v>
      </c>
      <c r="E65" s="141">
        <f>'H) Péréquation directe'!I76/C65</f>
        <v>5.2798914988710113</v>
      </c>
      <c r="F65" s="116">
        <f>+'I) Dépenses thématiques'!O65/'K) Plafonnement aide'!C65</f>
        <v>-3.8955228109613613</v>
      </c>
      <c r="G65" s="141">
        <f t="shared" si="1"/>
        <v>20.428576102658631</v>
      </c>
      <c r="H65" s="116">
        <f t="shared" si="2"/>
        <v>24.324098913619991</v>
      </c>
      <c r="I65" s="141">
        <f t="shared" si="3"/>
        <v>0</v>
      </c>
      <c r="J65" s="58">
        <f t="shared" si="0"/>
        <v>0</v>
      </c>
      <c r="K65" s="37"/>
    </row>
    <row r="66" spans="1:11" x14ac:dyDescent="0.25">
      <c r="A66" s="50">
        <f>'A) Base RI'!A68</f>
        <v>5497</v>
      </c>
      <c r="B66" s="301" t="str">
        <f>'A) Base RI'!B68</f>
        <v>Pompaples</v>
      </c>
      <c r="C66" s="100">
        <f>'B) D RI'!U68</f>
        <v>22516.582121212119</v>
      </c>
      <c r="D66" s="116">
        <f>'E) Fact soc'!G72/C66</f>
        <v>20.674220005898214</v>
      </c>
      <c r="E66" s="141">
        <f>'H) Péréquation directe'!I77/C66</f>
        <v>3.201887389716692</v>
      </c>
      <c r="F66" s="116">
        <f>+'I) Dépenses thématiques'!O66/'K) Plafonnement aide'!C66</f>
        <v>-7.9095243154033525</v>
      </c>
      <c r="G66" s="141">
        <f t="shared" si="1"/>
        <v>15.966583080211553</v>
      </c>
      <c r="H66" s="116">
        <f t="shared" si="2"/>
        <v>23.876107395614905</v>
      </c>
      <c r="I66" s="141">
        <f t="shared" si="3"/>
        <v>0</v>
      </c>
      <c r="J66" s="58">
        <f t="shared" si="0"/>
        <v>0</v>
      </c>
      <c r="K66" s="37"/>
    </row>
    <row r="67" spans="1:11" x14ac:dyDescent="0.25">
      <c r="A67" s="50">
        <f>'A) Base RI'!A69</f>
        <v>5498</v>
      </c>
      <c r="B67" s="301" t="str">
        <f>'A) Base RI'!B69</f>
        <v>La Sarraz</v>
      </c>
      <c r="C67" s="100">
        <f>'B) D RI'!U69</f>
        <v>78201.916969696991</v>
      </c>
      <c r="D67" s="116">
        <f>'E) Fact soc'!G73/C67</f>
        <v>17.124058185664797</v>
      </c>
      <c r="E67" s="141">
        <f>'H) Péréquation directe'!I78/C67</f>
        <v>1.9915328787167741</v>
      </c>
      <c r="F67" s="116">
        <f>+'I) Dépenses thématiques'!O67/'K) Plafonnement aide'!C67</f>
        <v>-7.7287433037699245</v>
      </c>
      <c r="G67" s="141">
        <f t="shared" si="1"/>
        <v>11.386847760611648</v>
      </c>
      <c r="H67" s="116">
        <f t="shared" si="2"/>
        <v>19.115591064381572</v>
      </c>
      <c r="I67" s="141">
        <f t="shared" si="3"/>
        <v>0</v>
      </c>
      <c r="J67" s="58">
        <f t="shared" si="0"/>
        <v>0</v>
      </c>
      <c r="K67" s="37"/>
    </row>
    <row r="68" spans="1:11" x14ac:dyDescent="0.25">
      <c r="A68" s="50">
        <f>'A) Base RI'!A70</f>
        <v>5499</v>
      </c>
      <c r="B68" s="301" t="str">
        <f>'A) Base RI'!B70</f>
        <v>Senarclens</v>
      </c>
      <c r="C68" s="100">
        <f>'B) D RI'!U70</f>
        <v>23886.663649635037</v>
      </c>
      <c r="D68" s="116">
        <f>'E) Fact soc'!G74/C68</f>
        <v>16.567099501965373</v>
      </c>
      <c r="E68" s="141">
        <f>'H) Péréquation directe'!I79/C68</f>
        <v>16.940439836854875</v>
      </c>
      <c r="F68" s="116">
        <f>+'I) Dépenses thématiques'!O68/'K) Plafonnement aide'!C68</f>
        <v>0</v>
      </c>
      <c r="G68" s="141">
        <f t="shared" si="1"/>
        <v>33.507539338820251</v>
      </c>
      <c r="H68" s="116">
        <f t="shared" si="2"/>
        <v>33.507539338820251</v>
      </c>
      <c r="I68" s="141">
        <f t="shared" si="3"/>
        <v>0</v>
      </c>
      <c r="J68" s="58">
        <f t="shared" si="0"/>
        <v>0</v>
      </c>
      <c r="K68" s="37"/>
    </row>
    <row r="69" spans="1:11" x14ac:dyDescent="0.25">
      <c r="A69" s="50">
        <f>'A) Base RI'!A71</f>
        <v>5500</v>
      </c>
      <c r="B69" s="301" t="str">
        <f>'A) Base RI'!B71</f>
        <v>Sévery</v>
      </c>
      <c r="C69" s="100">
        <f>'B) D RI'!U71</f>
        <v>6331.5331555555558</v>
      </c>
      <c r="D69" s="116">
        <f>'E) Fact soc'!G75/C69</f>
        <v>19.701299877711836</v>
      </c>
      <c r="E69" s="141">
        <f>'H) Péréquation directe'!I80/C69</f>
        <v>2.0010777727190656</v>
      </c>
      <c r="F69" s="116">
        <f>+'I) Dépenses thématiques'!O69/'K) Plafonnement aide'!C69</f>
        <v>-5.1964145179905401</v>
      </c>
      <c r="G69" s="141">
        <f t="shared" si="1"/>
        <v>16.50596313244036</v>
      </c>
      <c r="H69" s="116">
        <f t="shared" si="2"/>
        <v>21.702377650430901</v>
      </c>
      <c r="I69" s="141">
        <f t="shared" si="3"/>
        <v>0</v>
      </c>
      <c r="J69" s="58">
        <f t="shared" ref="J69:J132" si="4">-I69*C69</f>
        <v>0</v>
      </c>
      <c r="K69" s="37"/>
    </row>
    <row r="70" spans="1:11" x14ac:dyDescent="0.25">
      <c r="A70" s="50">
        <f>'A) Base RI'!A72</f>
        <v>5501</v>
      </c>
      <c r="B70" s="301" t="str">
        <f>'A) Base RI'!B72</f>
        <v>Sullens</v>
      </c>
      <c r="C70" s="100">
        <f>'B) D RI'!U72</f>
        <v>37812.339142857141</v>
      </c>
      <c r="D70" s="116">
        <f>'E) Fact soc'!G76/C70</f>
        <v>17.003011920150705</v>
      </c>
      <c r="E70" s="141">
        <f>'H) Péréquation directe'!I81/C70</f>
        <v>11.441399600339716</v>
      </c>
      <c r="F70" s="116">
        <f>+'I) Dépenses thématiques'!O70/'K) Plafonnement aide'!C70</f>
        <v>-0.17062298881586199</v>
      </c>
      <c r="G70" s="141">
        <f t="shared" ref="G70:G133" si="5">SUM(D70:F70)</f>
        <v>28.273788531674558</v>
      </c>
      <c r="H70" s="116">
        <f t="shared" ref="H70:H133" si="6">G70-F70</f>
        <v>28.444411520490419</v>
      </c>
      <c r="I70" s="141">
        <f t="shared" ref="I70:I133" si="7">IF(H70&lt;I$4,H70-I$4,0)</f>
        <v>0</v>
      </c>
      <c r="J70" s="58">
        <f t="shared" si="4"/>
        <v>0</v>
      </c>
      <c r="K70" s="37"/>
    </row>
    <row r="71" spans="1:11" x14ac:dyDescent="0.25">
      <c r="A71" s="50">
        <f>'A) Base RI'!A73</f>
        <v>5503</v>
      </c>
      <c r="B71" s="301" t="str">
        <f>'A) Base RI'!B73</f>
        <v>Vufflens-la-Ville</v>
      </c>
      <c r="C71" s="100">
        <f>'B) D RI'!U73</f>
        <v>77893.035572139299</v>
      </c>
      <c r="D71" s="116">
        <f>'E) Fact soc'!G77/C71</f>
        <v>21.388479754466982</v>
      </c>
      <c r="E71" s="141">
        <f>'H) Péréquation directe'!I82/C71</f>
        <v>16.105277347216933</v>
      </c>
      <c r="F71" s="116">
        <f>+'I) Dépenses thématiques'!O71/'K) Plafonnement aide'!C71</f>
        <v>0</v>
      </c>
      <c r="G71" s="141">
        <f t="shared" si="5"/>
        <v>37.493757101683912</v>
      </c>
      <c r="H71" s="116">
        <f t="shared" si="6"/>
        <v>37.493757101683912</v>
      </c>
      <c r="I71" s="141">
        <f t="shared" si="7"/>
        <v>0</v>
      </c>
      <c r="J71" s="58">
        <f t="shared" si="4"/>
        <v>0</v>
      </c>
      <c r="K71" s="37"/>
    </row>
    <row r="72" spans="1:11" x14ac:dyDescent="0.25">
      <c r="A72" s="50">
        <f>'A) Base RI'!A74</f>
        <v>5511</v>
      </c>
      <c r="B72" s="301" t="str">
        <f>'A) Base RI'!B74</f>
        <v>Assens</v>
      </c>
      <c r="C72" s="100">
        <f>'B) D RI'!U74</f>
        <v>45641.470857142856</v>
      </c>
      <c r="D72" s="116">
        <f>'E) Fact soc'!G78/C72</f>
        <v>16.071670944646719</v>
      </c>
      <c r="E72" s="141">
        <f>'H) Péréquation directe'!I83/C72</f>
        <v>14.970182680360205</v>
      </c>
      <c r="F72" s="116">
        <f>+'I) Dépenses thématiques'!O72/'K) Plafonnement aide'!C72</f>
        <v>-6.6859517348810504</v>
      </c>
      <c r="G72" s="141">
        <f t="shared" si="5"/>
        <v>24.355901890125871</v>
      </c>
      <c r="H72" s="116">
        <f t="shared" si="6"/>
        <v>31.041853625006922</v>
      </c>
      <c r="I72" s="141">
        <f t="shared" si="7"/>
        <v>0</v>
      </c>
      <c r="J72" s="58">
        <f t="shared" si="4"/>
        <v>0</v>
      </c>
      <c r="K72" s="37"/>
    </row>
    <row r="73" spans="1:11" x14ac:dyDescent="0.25">
      <c r="A73" s="50">
        <f>'A) Base RI'!A75</f>
        <v>5512</v>
      </c>
      <c r="B73" s="301" t="str">
        <f>'A) Base RI'!B75</f>
        <v>Bercher</v>
      </c>
      <c r="C73" s="100">
        <f>'B) D RI'!U75</f>
        <v>37783.595443037979</v>
      </c>
      <c r="D73" s="116">
        <f>'E) Fact soc'!G79/C73</f>
        <v>17.610738962608938</v>
      </c>
      <c r="E73" s="141">
        <f>'H) Péréquation directe'!I84/C73</f>
        <v>2.2890043212294642</v>
      </c>
      <c r="F73" s="116">
        <f>+'I) Dépenses thématiques'!O73/'K) Plafonnement aide'!C73</f>
        <v>-3.6384406059429466</v>
      </c>
      <c r="G73" s="141">
        <f t="shared" si="5"/>
        <v>16.261302677895454</v>
      </c>
      <c r="H73" s="116">
        <f t="shared" si="6"/>
        <v>19.899743283838401</v>
      </c>
      <c r="I73" s="141">
        <f t="shared" si="7"/>
        <v>0</v>
      </c>
      <c r="J73" s="58">
        <f t="shared" si="4"/>
        <v>0</v>
      </c>
      <c r="K73" s="37"/>
    </row>
    <row r="74" spans="1:11" x14ac:dyDescent="0.25">
      <c r="A74" s="50">
        <f>'A) Base RI'!A76</f>
        <v>5513</v>
      </c>
      <c r="B74" s="301" t="str">
        <f>'A) Base RI'!B76</f>
        <v>Bioley-Orjulaz</v>
      </c>
      <c r="C74" s="100">
        <f>'B) D RI'!U76</f>
        <v>23108.127499999999</v>
      </c>
      <c r="D74" s="116">
        <f>'E) Fact soc'!G80/C74</f>
        <v>18.16982199364088</v>
      </c>
      <c r="E74" s="141">
        <f>'H) Péréquation directe'!I85/C74</f>
        <v>16.635813660092666</v>
      </c>
      <c r="F74" s="116">
        <f>+'I) Dépenses thématiques'!O74/'K) Plafonnement aide'!C74</f>
        <v>0</v>
      </c>
      <c r="G74" s="141">
        <f t="shared" si="5"/>
        <v>34.805635653733546</v>
      </c>
      <c r="H74" s="116">
        <f t="shared" si="6"/>
        <v>34.805635653733546</v>
      </c>
      <c r="I74" s="141">
        <f t="shared" si="7"/>
        <v>0</v>
      </c>
      <c r="J74" s="58">
        <f t="shared" si="4"/>
        <v>0</v>
      </c>
      <c r="K74" s="37"/>
    </row>
    <row r="75" spans="1:11" x14ac:dyDescent="0.25">
      <c r="A75" s="50">
        <f>'A) Base RI'!A77</f>
        <v>5514</v>
      </c>
      <c r="B75" s="301" t="str">
        <f>'A) Base RI'!B77</f>
        <v>Bottens</v>
      </c>
      <c r="C75" s="100">
        <f>'B) D RI'!U77</f>
        <v>44799.851014492742</v>
      </c>
      <c r="D75" s="116">
        <f>'E) Fact soc'!G81/C75</f>
        <v>15.851363595721139</v>
      </c>
      <c r="E75" s="141">
        <f>'H) Péréquation directe'!I86/C75</f>
        <v>8.6486498834110801</v>
      </c>
      <c r="F75" s="116">
        <f>+'I) Dépenses thématiques'!O75/'K) Plafonnement aide'!C75</f>
        <v>0</v>
      </c>
      <c r="G75" s="141">
        <f t="shared" si="5"/>
        <v>24.500013479132221</v>
      </c>
      <c r="H75" s="116">
        <f t="shared" si="6"/>
        <v>24.500013479132221</v>
      </c>
      <c r="I75" s="141">
        <f t="shared" si="7"/>
        <v>0</v>
      </c>
      <c r="J75" s="58">
        <f t="shared" si="4"/>
        <v>0</v>
      </c>
      <c r="K75" s="37"/>
    </row>
    <row r="76" spans="1:11" x14ac:dyDescent="0.25">
      <c r="A76" s="50">
        <f>'A) Base RI'!A78</f>
        <v>5515</v>
      </c>
      <c r="B76" s="301" t="str">
        <f>'A) Base RI'!B78</f>
        <v>Bretigny-sur-Morrens</v>
      </c>
      <c r="C76" s="100">
        <f>'B) D RI'!U78</f>
        <v>28902.998888888895</v>
      </c>
      <c r="D76" s="116">
        <f>'E) Fact soc'!G82/C76</f>
        <v>18.230105471835785</v>
      </c>
      <c r="E76" s="141">
        <f>'H) Péréquation directe'!I87/C76</f>
        <v>7.8797023153878074</v>
      </c>
      <c r="F76" s="116">
        <f>+'I) Dépenses thématiques'!O76/'K) Plafonnement aide'!C76</f>
        <v>-1.5150462986808519</v>
      </c>
      <c r="G76" s="141">
        <f t="shared" si="5"/>
        <v>24.594761488542741</v>
      </c>
      <c r="H76" s="116">
        <f t="shared" si="6"/>
        <v>26.109807787223591</v>
      </c>
      <c r="I76" s="141">
        <f t="shared" si="7"/>
        <v>0</v>
      </c>
      <c r="J76" s="58">
        <f t="shared" si="4"/>
        <v>0</v>
      </c>
      <c r="K76" s="37"/>
    </row>
    <row r="77" spans="1:11" x14ac:dyDescent="0.25">
      <c r="A77" s="50">
        <f>'A) Base RI'!A79</f>
        <v>5516</v>
      </c>
      <c r="B77" s="301" t="str">
        <f>'A) Base RI'!B79</f>
        <v>Cugy</v>
      </c>
      <c r="C77" s="100">
        <f>'B) D RI'!U79</f>
        <v>111854.58641025641</v>
      </c>
      <c r="D77" s="116">
        <f>'E) Fact soc'!G83/C77</f>
        <v>16.859310323449076</v>
      </c>
      <c r="E77" s="141">
        <f>'H) Péréquation directe'!I88/C77</f>
        <v>10.114426219595718</v>
      </c>
      <c r="F77" s="116">
        <f>+'I) Dépenses thématiques'!O77/'K) Plafonnement aide'!C77</f>
        <v>-1.0906193431515263</v>
      </c>
      <c r="G77" s="141">
        <f t="shared" si="5"/>
        <v>25.883117199893267</v>
      </c>
      <c r="H77" s="116">
        <f t="shared" si="6"/>
        <v>26.973736543044794</v>
      </c>
      <c r="I77" s="141">
        <f t="shared" si="7"/>
        <v>0</v>
      </c>
      <c r="J77" s="58">
        <f t="shared" si="4"/>
        <v>0</v>
      </c>
      <c r="K77" s="37"/>
    </row>
    <row r="78" spans="1:11" x14ac:dyDescent="0.25">
      <c r="A78" s="50">
        <f>'A) Base RI'!A80</f>
        <v>5518</v>
      </c>
      <c r="B78" s="301" t="str">
        <f>'A) Base RI'!B80</f>
        <v>Echallens</v>
      </c>
      <c r="C78" s="100">
        <f>'B) D RI'!U80</f>
        <v>188362.16891891891</v>
      </c>
      <c r="D78" s="116">
        <f>'E) Fact soc'!G84/C78</f>
        <v>16.331093268908603</v>
      </c>
      <c r="E78" s="141">
        <f>'H) Péréquation directe'!I89/C78</f>
        <v>-1.0506904613999577</v>
      </c>
      <c r="F78" s="116">
        <f>+'I) Dépenses thématiques'!O78/'K) Plafonnement aide'!C78</f>
        <v>-4.7009909403825452</v>
      </c>
      <c r="G78" s="141">
        <f t="shared" si="5"/>
        <v>10.579411867126101</v>
      </c>
      <c r="H78" s="116">
        <f t="shared" si="6"/>
        <v>15.280402807508647</v>
      </c>
      <c r="I78" s="141">
        <f t="shared" si="7"/>
        <v>0</v>
      </c>
      <c r="J78" s="58">
        <f t="shared" si="4"/>
        <v>0</v>
      </c>
      <c r="K78" s="37"/>
    </row>
    <row r="79" spans="1:11" x14ac:dyDescent="0.25">
      <c r="A79" s="50">
        <f>'A) Base RI'!A81</f>
        <v>5520</v>
      </c>
      <c r="B79" s="301" t="str">
        <f>'A) Base RI'!B81</f>
        <v>Essertines-sur-Yverdon</v>
      </c>
      <c r="C79" s="100">
        <f>'B) D RI'!U81</f>
        <v>31866.674520547935</v>
      </c>
      <c r="D79" s="116">
        <f>'E) Fact soc'!G85/C79</f>
        <v>18.142712789007941</v>
      </c>
      <c r="E79" s="141">
        <f>'H) Péréquation directe'!I90/C79</f>
        <v>6.1035937187525207</v>
      </c>
      <c r="F79" s="116">
        <f>+'I) Dépenses thématiques'!O79/'K) Plafonnement aide'!C79</f>
        <v>-3.6082510859174453</v>
      </c>
      <c r="G79" s="141">
        <f t="shared" si="5"/>
        <v>20.638055421843017</v>
      </c>
      <c r="H79" s="116">
        <f t="shared" si="6"/>
        <v>24.246306507760462</v>
      </c>
      <c r="I79" s="141">
        <f t="shared" si="7"/>
        <v>0</v>
      </c>
      <c r="J79" s="58">
        <f t="shared" si="4"/>
        <v>0</v>
      </c>
      <c r="K79" s="37"/>
    </row>
    <row r="80" spans="1:11" x14ac:dyDescent="0.25">
      <c r="A80" s="50">
        <f>'A) Base RI'!A82</f>
        <v>5521</v>
      </c>
      <c r="B80" s="301" t="str">
        <f>'A) Base RI'!B82</f>
        <v>Etagnières</v>
      </c>
      <c r="C80" s="100">
        <f>'B) D RI'!U82</f>
        <v>42985.528493150683</v>
      </c>
      <c r="D80" s="116">
        <f>'E) Fact soc'!G86/C80</f>
        <v>16.859302781231339</v>
      </c>
      <c r="E80" s="141">
        <f>'H) Péréquation directe'!I91/C80</f>
        <v>12.057691511699362</v>
      </c>
      <c r="F80" s="116">
        <f>+'I) Dépenses thématiques'!O80/'K) Plafonnement aide'!C80</f>
        <v>-0.35802975887624316</v>
      </c>
      <c r="G80" s="141">
        <f t="shared" si="5"/>
        <v>28.558964534054461</v>
      </c>
      <c r="H80" s="116">
        <f t="shared" si="6"/>
        <v>28.916994292930703</v>
      </c>
      <c r="I80" s="141">
        <f t="shared" si="7"/>
        <v>0</v>
      </c>
      <c r="J80" s="58">
        <f t="shared" si="4"/>
        <v>0</v>
      </c>
      <c r="K80" s="37"/>
    </row>
    <row r="81" spans="1:11" x14ac:dyDescent="0.25">
      <c r="A81" s="50">
        <f>'A) Base RI'!A83</f>
        <v>5522</v>
      </c>
      <c r="B81" s="301" t="str">
        <f>'A) Base RI'!B83</f>
        <v>Fey</v>
      </c>
      <c r="C81" s="100">
        <f>'B) D RI'!U83</f>
        <v>21913.487866666663</v>
      </c>
      <c r="D81" s="116">
        <f>'E) Fact soc'!G87/C81</f>
        <v>17.415259107526186</v>
      </c>
      <c r="E81" s="141">
        <f>'H) Péréquation directe'!I92/C81</f>
        <v>4.259015337197007</v>
      </c>
      <c r="F81" s="116">
        <f>+'I) Dépenses thématiques'!O81/'K) Plafonnement aide'!C81</f>
        <v>-1.4354823899377445</v>
      </c>
      <c r="G81" s="141">
        <f t="shared" si="5"/>
        <v>20.238792054785449</v>
      </c>
      <c r="H81" s="116">
        <f t="shared" si="6"/>
        <v>21.674274444723192</v>
      </c>
      <c r="I81" s="141">
        <f t="shared" si="7"/>
        <v>0</v>
      </c>
      <c r="J81" s="58">
        <f t="shared" si="4"/>
        <v>0</v>
      </c>
      <c r="K81" s="37"/>
    </row>
    <row r="82" spans="1:11" x14ac:dyDescent="0.25">
      <c r="A82" s="50">
        <f>'A) Base RI'!A84</f>
        <v>5523</v>
      </c>
      <c r="B82" s="301" t="str">
        <f>'A) Base RI'!B84</f>
        <v>Froideville</v>
      </c>
      <c r="C82" s="100">
        <f>'B) D RI'!U84</f>
        <v>83191.459210526315</v>
      </c>
      <c r="D82" s="116">
        <f>'E) Fact soc'!G88/C82</f>
        <v>16.561163229655374</v>
      </c>
      <c r="E82" s="141">
        <f>'H) Péréquation directe'!I93/C82</f>
        <v>2.0902230196234002</v>
      </c>
      <c r="F82" s="116">
        <f>+'I) Dépenses thématiques'!O82/'K) Plafonnement aide'!C82</f>
        <v>-0.85163870099078542</v>
      </c>
      <c r="G82" s="141">
        <f t="shared" si="5"/>
        <v>17.799747548287989</v>
      </c>
      <c r="H82" s="116">
        <f t="shared" si="6"/>
        <v>18.651386249278776</v>
      </c>
      <c r="I82" s="141">
        <f t="shared" si="7"/>
        <v>0</v>
      </c>
      <c r="J82" s="58">
        <f t="shared" si="4"/>
        <v>0</v>
      </c>
      <c r="K82" s="37"/>
    </row>
    <row r="83" spans="1:11" x14ac:dyDescent="0.25">
      <c r="A83" s="50">
        <f>'A) Base RI'!A85</f>
        <v>5527</v>
      </c>
      <c r="B83" s="301" t="str">
        <f>'A) Base RI'!B85</f>
        <v>Morrens</v>
      </c>
      <c r="C83" s="100">
        <f>'B) D RI'!U85</f>
        <v>37832.854189189195</v>
      </c>
      <c r="D83" s="116">
        <f>'E) Fact soc'!G89/C83</f>
        <v>18.196963340182052</v>
      </c>
      <c r="E83" s="141">
        <f>'H) Péréquation directe'!I94/C83</f>
        <v>9.4803047126895859</v>
      </c>
      <c r="F83" s="116">
        <f>+'I) Dépenses thématiques'!O83/'K) Plafonnement aide'!C83</f>
        <v>-0.70603843919651443</v>
      </c>
      <c r="G83" s="141">
        <f t="shared" si="5"/>
        <v>26.971229613675124</v>
      </c>
      <c r="H83" s="116">
        <f t="shared" si="6"/>
        <v>27.677268052871639</v>
      </c>
      <c r="I83" s="141">
        <f t="shared" si="7"/>
        <v>0</v>
      </c>
      <c r="J83" s="58">
        <f t="shared" si="4"/>
        <v>0</v>
      </c>
      <c r="K83" s="37"/>
    </row>
    <row r="84" spans="1:11" x14ac:dyDescent="0.25">
      <c r="A84" s="50">
        <f>'A) Base RI'!A86</f>
        <v>5529</v>
      </c>
      <c r="B84" s="301" t="str">
        <f>'A) Base RI'!B86</f>
        <v>Oulens-sous-Echallens</v>
      </c>
      <c r="C84" s="100">
        <f>'B) D RI'!U86</f>
        <v>21358.649436619718</v>
      </c>
      <c r="D84" s="116">
        <f>'E) Fact soc'!G90/C84</f>
        <v>16.056438972727957</v>
      </c>
      <c r="E84" s="141">
        <f>'H) Péréquation directe'!I95/C84</f>
        <v>10.337458499716748</v>
      </c>
      <c r="F84" s="116">
        <f>+'I) Dépenses thématiques'!O84/'K) Plafonnement aide'!C84</f>
        <v>-5.5334833537425974</v>
      </c>
      <c r="G84" s="141">
        <f t="shared" si="5"/>
        <v>20.86041411870211</v>
      </c>
      <c r="H84" s="116">
        <f t="shared" si="6"/>
        <v>26.393897472444706</v>
      </c>
      <c r="I84" s="141">
        <f t="shared" si="7"/>
        <v>0</v>
      </c>
      <c r="J84" s="58">
        <f t="shared" si="4"/>
        <v>0</v>
      </c>
      <c r="K84" s="37"/>
    </row>
    <row r="85" spans="1:11" x14ac:dyDescent="0.25">
      <c r="A85" s="50">
        <f>'A) Base RI'!A87</f>
        <v>5530</v>
      </c>
      <c r="B85" s="301" t="str">
        <f>'A) Base RI'!B87</f>
        <v>Pailly</v>
      </c>
      <c r="C85" s="100">
        <f>'B) D RI'!U87</f>
        <v>17215.63182795699</v>
      </c>
      <c r="D85" s="116">
        <f>'E) Fact soc'!G91/C85</f>
        <v>20.092938894800337</v>
      </c>
      <c r="E85" s="141">
        <f>'H) Péréquation directe'!I96/C85</f>
        <v>4.5551850568626309</v>
      </c>
      <c r="F85" s="116">
        <f>+'I) Dépenses thématiques'!O85/'K) Plafonnement aide'!C85</f>
        <v>-12.22174444766825</v>
      </c>
      <c r="G85" s="141">
        <f t="shared" si="5"/>
        <v>12.426379503994717</v>
      </c>
      <c r="H85" s="116">
        <f t="shared" si="6"/>
        <v>24.648123951662967</v>
      </c>
      <c r="I85" s="141">
        <f t="shared" si="7"/>
        <v>0</v>
      </c>
      <c r="J85" s="58">
        <f t="shared" si="4"/>
        <v>0</v>
      </c>
      <c r="K85" s="37"/>
    </row>
    <row r="86" spans="1:11" x14ac:dyDescent="0.25">
      <c r="A86" s="50">
        <f>'A) Base RI'!A88</f>
        <v>5531</v>
      </c>
      <c r="B86" s="301" t="str">
        <f>'A) Base RI'!B88</f>
        <v>Penthéréaz</v>
      </c>
      <c r="C86" s="100">
        <f>'B) D RI'!U88</f>
        <v>14983.10512820513</v>
      </c>
      <c r="D86" s="116">
        <f>'E) Fact soc'!G92/C86</f>
        <v>16.810889290932806</v>
      </c>
      <c r="E86" s="141">
        <f>'H) Péréquation directe'!I97/C86</f>
        <v>9.7444166581971139</v>
      </c>
      <c r="F86" s="116">
        <f>+'I) Dépenses thématiques'!O86/'K) Plafonnement aide'!C86</f>
        <v>-2.9346502571137889</v>
      </c>
      <c r="G86" s="141">
        <f t="shared" si="5"/>
        <v>23.620655692016133</v>
      </c>
      <c r="H86" s="116">
        <f t="shared" si="6"/>
        <v>26.55530594912992</v>
      </c>
      <c r="I86" s="141">
        <f t="shared" si="7"/>
        <v>0</v>
      </c>
      <c r="J86" s="58">
        <f t="shared" si="4"/>
        <v>0</v>
      </c>
      <c r="K86" s="37"/>
    </row>
    <row r="87" spans="1:11" x14ac:dyDescent="0.25">
      <c r="A87" s="50">
        <f>'A) Base RI'!A89</f>
        <v>5533</v>
      </c>
      <c r="B87" s="301" t="str">
        <f>'A) Base RI'!B89</f>
        <v>Poliez-Pittet</v>
      </c>
      <c r="C87" s="100">
        <f>'B) D RI'!U89</f>
        <v>25749.220563380281</v>
      </c>
      <c r="D87" s="116">
        <f>'E) Fact soc'!G93/C87</f>
        <v>15.981125592975436</v>
      </c>
      <c r="E87" s="141">
        <f>'H) Péréquation directe'!I98/C87</f>
        <v>6.0812398380328068</v>
      </c>
      <c r="F87" s="116">
        <f>+'I) Dépenses thématiques'!O87/'K) Plafonnement aide'!C87</f>
        <v>-1.0775038291949952</v>
      </c>
      <c r="G87" s="141">
        <f t="shared" si="5"/>
        <v>20.984861601813247</v>
      </c>
      <c r="H87" s="116">
        <f t="shared" si="6"/>
        <v>22.062365431008242</v>
      </c>
      <c r="I87" s="141">
        <f t="shared" si="7"/>
        <v>0</v>
      </c>
      <c r="J87" s="58">
        <f t="shared" si="4"/>
        <v>0</v>
      </c>
      <c r="K87" s="37"/>
    </row>
    <row r="88" spans="1:11" x14ac:dyDescent="0.25">
      <c r="A88" s="50">
        <f>'A) Base RI'!A90</f>
        <v>5534</v>
      </c>
      <c r="B88" s="301" t="str">
        <f>'A) Base RI'!B90</f>
        <v>Rueyres</v>
      </c>
      <c r="C88" s="100">
        <f>'B) D RI'!U90</f>
        <v>9061.5212328767138</v>
      </c>
      <c r="D88" s="116">
        <f>'E) Fact soc'!G94/C88</f>
        <v>16.007277407010303</v>
      </c>
      <c r="E88" s="141">
        <f>'H) Péréquation directe'!I99/C88</f>
        <v>10.497417642374877</v>
      </c>
      <c r="F88" s="116">
        <f>+'I) Dépenses thématiques'!O88/'K) Plafonnement aide'!C88</f>
        <v>-1.8290656564509336</v>
      </c>
      <c r="G88" s="141">
        <f t="shared" si="5"/>
        <v>24.675629392934248</v>
      </c>
      <c r="H88" s="116">
        <f t="shared" si="6"/>
        <v>26.50469504938518</v>
      </c>
      <c r="I88" s="141">
        <f t="shared" si="7"/>
        <v>0</v>
      </c>
      <c r="J88" s="58">
        <f t="shared" si="4"/>
        <v>0</v>
      </c>
      <c r="K88" s="37"/>
    </row>
    <row r="89" spans="1:11" x14ac:dyDescent="0.25">
      <c r="A89" s="50">
        <f>'A) Base RI'!A91</f>
        <v>5535</v>
      </c>
      <c r="B89" s="301" t="str">
        <f>'A) Base RI'!B91</f>
        <v>Saint-Barthélemy</v>
      </c>
      <c r="C89" s="100">
        <f>'B) D RI'!U91</f>
        <v>21992.865064935064</v>
      </c>
      <c r="D89" s="116">
        <f>'E) Fact soc'!G95/C89</f>
        <v>18.587379049869515</v>
      </c>
      <c r="E89" s="141">
        <f>'H) Péréquation directe'!I100/C89</f>
        <v>1.4624694226013168</v>
      </c>
      <c r="F89" s="116">
        <f>+'I) Dépenses thématiques'!O89/'K) Plafonnement aide'!C89</f>
        <v>-7.6513923521150378E-4</v>
      </c>
      <c r="G89" s="141">
        <f t="shared" si="5"/>
        <v>20.049083333235618</v>
      </c>
      <c r="H89" s="116">
        <f t="shared" si="6"/>
        <v>20.049848472470831</v>
      </c>
      <c r="I89" s="141">
        <f t="shared" si="7"/>
        <v>0</v>
      </c>
      <c r="J89" s="58">
        <f t="shared" si="4"/>
        <v>0</v>
      </c>
      <c r="K89" s="37"/>
    </row>
    <row r="90" spans="1:11" x14ac:dyDescent="0.25">
      <c r="A90" s="50">
        <f>'A) Base RI'!A92</f>
        <v>5537</v>
      </c>
      <c r="B90" s="301" t="str">
        <f>'A) Base RI'!B92</f>
        <v>Villars-le-Terroir</v>
      </c>
      <c r="C90" s="100">
        <f>'B) D RI'!U92</f>
        <v>37425.853630136982</v>
      </c>
      <c r="D90" s="116">
        <f>'E) Fact soc'!G96/C90</f>
        <v>16.237836376976606</v>
      </c>
      <c r="E90" s="141">
        <f>'H) Péréquation directe'!I101/C90</f>
        <v>4.5786832665995405</v>
      </c>
      <c r="F90" s="116">
        <f>+'I) Dépenses thématiques'!O90/'K) Plafonnement aide'!C90</f>
        <v>-0.52434941134478164</v>
      </c>
      <c r="G90" s="141">
        <f t="shared" si="5"/>
        <v>20.292170232231364</v>
      </c>
      <c r="H90" s="116">
        <f t="shared" si="6"/>
        <v>20.816519643576147</v>
      </c>
      <c r="I90" s="141">
        <f t="shared" si="7"/>
        <v>0</v>
      </c>
      <c r="J90" s="58">
        <f t="shared" si="4"/>
        <v>0</v>
      </c>
      <c r="K90" s="37"/>
    </row>
    <row r="91" spans="1:11" x14ac:dyDescent="0.25">
      <c r="A91" s="50">
        <f>'A) Base RI'!A93</f>
        <v>5539</v>
      </c>
      <c r="B91" s="301" t="str">
        <f>'A) Base RI'!B93</f>
        <v>Vuarrens</v>
      </c>
      <c r="C91" s="100">
        <f>'B) D RI'!U93</f>
        <v>28895.172466666667</v>
      </c>
      <c r="D91" s="116">
        <f>'E) Fact soc'!G97/C91</f>
        <v>17.592418583698421</v>
      </c>
      <c r="E91" s="141">
        <f>'H) Péréquation directe'!I102/C91</f>
        <v>2.9813730526028324</v>
      </c>
      <c r="F91" s="116">
        <f>+'I) Dépenses thématiques'!O91/'K) Plafonnement aide'!C91</f>
        <v>-2.5084015809256988</v>
      </c>
      <c r="G91" s="141">
        <f t="shared" si="5"/>
        <v>18.065390055375556</v>
      </c>
      <c r="H91" s="116">
        <f t="shared" si="6"/>
        <v>20.573791636301255</v>
      </c>
      <c r="I91" s="141">
        <f t="shared" si="7"/>
        <v>0</v>
      </c>
      <c r="J91" s="58">
        <f t="shared" si="4"/>
        <v>0</v>
      </c>
      <c r="K91" s="37"/>
    </row>
    <row r="92" spans="1:11" x14ac:dyDescent="0.25">
      <c r="A92" s="50">
        <f>'A) Base RI'!A94</f>
        <v>5540</v>
      </c>
      <c r="B92" s="301" t="str">
        <f>'A) Base RI'!B94</f>
        <v>Montilliez</v>
      </c>
      <c r="C92" s="100">
        <f>'B) D RI'!U94</f>
        <v>59583.392972972964</v>
      </c>
      <c r="D92" s="116">
        <f>'E) Fact soc'!G98/C92</f>
        <v>16.311301910277496</v>
      </c>
      <c r="E92" s="141">
        <f>'H) Péréquation directe'!I103/C92</f>
        <v>5.178116296997584</v>
      </c>
      <c r="F92" s="116">
        <f>+'I) Dépenses thématiques'!O92/'K) Plafonnement aide'!C92</f>
        <v>-9.9288355859739905</v>
      </c>
      <c r="G92" s="141">
        <f t="shared" si="5"/>
        <v>11.560582621301089</v>
      </c>
      <c r="H92" s="116">
        <f t="shared" si="6"/>
        <v>21.489418207275079</v>
      </c>
      <c r="I92" s="141">
        <f t="shared" si="7"/>
        <v>0</v>
      </c>
      <c r="J92" s="58">
        <f t="shared" si="4"/>
        <v>0</v>
      </c>
      <c r="K92" s="37"/>
    </row>
    <row r="93" spans="1:11" x14ac:dyDescent="0.25">
      <c r="A93" s="50">
        <f>'A) Base RI'!A95</f>
        <v>5541</v>
      </c>
      <c r="B93" s="301" t="str">
        <f>'A) Base RI'!B95</f>
        <v>Goumoëns</v>
      </c>
      <c r="C93" s="100">
        <f>'B) D RI'!U95</f>
        <v>36064.061558441557</v>
      </c>
      <c r="D93" s="116">
        <f>'E) Fact soc'!G99/C93</f>
        <v>23.771546475515208</v>
      </c>
      <c r="E93" s="141">
        <f>'H) Péréquation directe'!I104/C93</f>
        <v>5.6836817845991723</v>
      </c>
      <c r="F93" s="116">
        <f>+'I) Dépenses thématiques'!O93/'K) Plafonnement aide'!C93</f>
        <v>-1.8819450594648286</v>
      </c>
      <c r="G93" s="141">
        <f t="shared" si="5"/>
        <v>27.573283200649552</v>
      </c>
      <c r="H93" s="116">
        <f t="shared" si="6"/>
        <v>29.455228260114382</v>
      </c>
      <c r="I93" s="141">
        <f t="shared" si="7"/>
        <v>0</v>
      </c>
      <c r="J93" s="58">
        <f t="shared" si="4"/>
        <v>0</v>
      </c>
      <c r="K93" s="37"/>
    </row>
    <row r="94" spans="1:11" x14ac:dyDescent="0.25">
      <c r="A94" s="50">
        <f>'A) Base RI'!A96</f>
        <v>5551</v>
      </c>
      <c r="B94" s="301" t="str">
        <f>'A) Base RI'!B96</f>
        <v>Bonvillars</v>
      </c>
      <c r="C94" s="100">
        <f>'B) D RI'!U96</f>
        <v>23195.066545454545</v>
      </c>
      <c r="D94" s="116">
        <f>'E) Fact soc'!G100/C94</f>
        <v>16.483867629006301</v>
      </c>
      <c r="E94" s="141">
        <f>'H) Péréquation directe'!I105/C94</f>
        <v>16.806368739119542</v>
      </c>
      <c r="F94" s="116">
        <f>+'I) Dépenses thématiques'!O94/'K) Plafonnement aide'!C94</f>
        <v>-1.9552534760739899</v>
      </c>
      <c r="G94" s="141">
        <f t="shared" si="5"/>
        <v>31.334982892051855</v>
      </c>
      <c r="H94" s="116">
        <f t="shared" si="6"/>
        <v>33.290236368125846</v>
      </c>
      <c r="I94" s="141">
        <f t="shared" si="7"/>
        <v>0</v>
      </c>
      <c r="J94" s="58">
        <f t="shared" si="4"/>
        <v>0</v>
      </c>
      <c r="K94" s="37"/>
    </row>
    <row r="95" spans="1:11" x14ac:dyDescent="0.25">
      <c r="A95" s="50">
        <f>'A) Base RI'!A97</f>
        <v>5552</v>
      </c>
      <c r="B95" s="301" t="str">
        <f>'A) Base RI'!B97</f>
        <v>Bullet</v>
      </c>
      <c r="C95" s="100">
        <f>'B) D RI'!U97</f>
        <v>17788.954109589042</v>
      </c>
      <c r="D95" s="116">
        <f>'E) Fact soc'!G101/C95</f>
        <v>17.448173643666983</v>
      </c>
      <c r="E95" s="141">
        <f>'H) Péréquation directe'!I106/C95</f>
        <v>1.3551753911911006</v>
      </c>
      <c r="F95" s="116">
        <f>+'I) Dépenses thématiques'!O95/'K) Plafonnement aide'!C95</f>
        <v>-10.897472656464888</v>
      </c>
      <c r="G95" s="141">
        <f t="shared" si="5"/>
        <v>7.9058763783931951</v>
      </c>
      <c r="H95" s="116">
        <f t="shared" si="6"/>
        <v>18.803349034858083</v>
      </c>
      <c r="I95" s="141">
        <f t="shared" si="7"/>
        <v>0</v>
      </c>
      <c r="J95" s="58">
        <f t="shared" si="4"/>
        <v>0</v>
      </c>
      <c r="K95" s="37"/>
    </row>
    <row r="96" spans="1:11" x14ac:dyDescent="0.25">
      <c r="A96" s="50">
        <f>'A) Base RI'!A98</f>
        <v>5553</v>
      </c>
      <c r="B96" s="301" t="str">
        <f>'A) Base RI'!B98</f>
        <v>Champagne</v>
      </c>
      <c r="C96" s="100">
        <f>'B) D RI'!U98</f>
        <v>38605.988461538451</v>
      </c>
      <c r="D96" s="116">
        <f>'E) Fact soc'!G102/C96</f>
        <v>18.02969003705844</v>
      </c>
      <c r="E96" s="141">
        <f>'H) Péréquation directe'!I107/C96</f>
        <v>12.614445287027612</v>
      </c>
      <c r="F96" s="116">
        <f>+'I) Dépenses thématiques'!O96/'K) Plafonnement aide'!C96</f>
        <v>-7.0110479367037879</v>
      </c>
      <c r="G96" s="141">
        <f t="shared" si="5"/>
        <v>23.633087387382261</v>
      </c>
      <c r="H96" s="116">
        <f t="shared" si="6"/>
        <v>30.644135324086051</v>
      </c>
      <c r="I96" s="141">
        <f t="shared" si="7"/>
        <v>0</v>
      </c>
      <c r="J96" s="58">
        <f t="shared" si="4"/>
        <v>0</v>
      </c>
      <c r="K96" s="37"/>
    </row>
    <row r="97" spans="1:11" x14ac:dyDescent="0.25">
      <c r="A97" s="50">
        <f>'A) Base RI'!A99</f>
        <v>5554</v>
      </c>
      <c r="B97" s="301" t="str">
        <f>'A) Base RI'!B99</f>
        <v>Concise</v>
      </c>
      <c r="C97" s="100">
        <f>'B) D RI'!U99</f>
        <v>29879.816133333334</v>
      </c>
      <c r="D97" s="116">
        <f>'E) Fact soc'!G103/C97</f>
        <v>19.350202324526769</v>
      </c>
      <c r="E97" s="141">
        <f>'H) Péréquation directe'!I108/C97</f>
        <v>4.4750464098699307</v>
      </c>
      <c r="F97" s="116">
        <f>+'I) Dépenses thématiques'!O97/'K) Plafonnement aide'!C97</f>
        <v>-4.1027721771631818</v>
      </c>
      <c r="G97" s="141">
        <f t="shared" si="5"/>
        <v>19.72247655723352</v>
      </c>
      <c r="H97" s="116">
        <f t="shared" si="6"/>
        <v>23.825248734396702</v>
      </c>
      <c r="I97" s="141">
        <f t="shared" si="7"/>
        <v>0</v>
      </c>
      <c r="J97" s="58">
        <f t="shared" si="4"/>
        <v>0</v>
      </c>
      <c r="K97" s="37"/>
    </row>
    <row r="98" spans="1:11" x14ac:dyDescent="0.25">
      <c r="A98" s="50">
        <f>'A) Base RI'!A100</f>
        <v>5555</v>
      </c>
      <c r="B98" s="301" t="str">
        <f>'A) Base RI'!B100</f>
        <v>Corcelles-près-Concise</v>
      </c>
      <c r="C98" s="100">
        <f>'B) D RI'!U100</f>
        <v>13019.29676056338</v>
      </c>
      <c r="D98" s="116">
        <f>'E) Fact soc'!G104/C98</f>
        <v>18.196660858488723</v>
      </c>
      <c r="E98" s="141">
        <f>'H) Péréquation directe'!I109/C98</f>
        <v>8.1398119351704388</v>
      </c>
      <c r="F98" s="116">
        <f>+'I) Dépenses thématiques'!O98/'K) Plafonnement aide'!C98</f>
        <v>-11.070349623967951</v>
      </c>
      <c r="G98" s="141">
        <f t="shared" si="5"/>
        <v>15.266123169691211</v>
      </c>
      <c r="H98" s="116">
        <f t="shared" si="6"/>
        <v>26.336472793659162</v>
      </c>
      <c r="I98" s="141">
        <f t="shared" si="7"/>
        <v>0</v>
      </c>
      <c r="J98" s="58">
        <f t="shared" si="4"/>
        <v>0</v>
      </c>
      <c r="K98" s="37"/>
    </row>
    <row r="99" spans="1:11" x14ac:dyDescent="0.25">
      <c r="A99" s="50">
        <f>'A) Base RI'!A101</f>
        <v>5556</v>
      </c>
      <c r="B99" s="301" t="str">
        <f>'A) Base RI'!B101</f>
        <v>Fiez</v>
      </c>
      <c r="C99" s="100">
        <f>'B) D RI'!U101</f>
        <v>12683.231642512079</v>
      </c>
      <c r="D99" s="116">
        <f>'E) Fact soc'!G105/C99</f>
        <v>18.427129157814882</v>
      </c>
      <c r="E99" s="141">
        <f>'H) Péréquation directe'!I110/C99</f>
        <v>4.3428329180820668</v>
      </c>
      <c r="F99" s="116">
        <f>+'I) Dépenses thématiques'!O99/'K) Plafonnement aide'!C99</f>
        <v>-2.4921164944603582</v>
      </c>
      <c r="G99" s="141">
        <f t="shared" si="5"/>
        <v>20.277845581436591</v>
      </c>
      <c r="H99" s="116">
        <f t="shared" si="6"/>
        <v>22.769962075896949</v>
      </c>
      <c r="I99" s="141">
        <f t="shared" si="7"/>
        <v>0</v>
      </c>
      <c r="J99" s="58">
        <f t="shared" si="4"/>
        <v>0</v>
      </c>
      <c r="K99" s="37"/>
    </row>
    <row r="100" spans="1:11" x14ac:dyDescent="0.25">
      <c r="A100" s="50">
        <f>'A) Base RI'!A102</f>
        <v>5557</v>
      </c>
      <c r="B100" s="301" t="str">
        <f>'A) Base RI'!B102</f>
        <v>Fontaines-sur-Grandson</v>
      </c>
      <c r="C100" s="100">
        <f>'B) D RI'!U102</f>
        <v>5551.0404347826088</v>
      </c>
      <c r="D100" s="116">
        <f>'E) Fact soc'!G106/C100</f>
        <v>18.491572461402473</v>
      </c>
      <c r="E100" s="141">
        <f>'H) Péréquation directe'!I111/C100</f>
        <v>0.50896291938674532</v>
      </c>
      <c r="F100" s="116">
        <f>+'I) Dépenses thématiques'!O100/'K) Plafonnement aide'!C100</f>
        <v>-9.5853858738778754</v>
      </c>
      <c r="G100" s="141">
        <f t="shared" si="5"/>
        <v>9.4151495069113444</v>
      </c>
      <c r="H100" s="116">
        <f t="shared" si="6"/>
        <v>19.00053538078922</v>
      </c>
      <c r="I100" s="141">
        <f t="shared" si="7"/>
        <v>0</v>
      </c>
      <c r="J100" s="58">
        <f t="shared" si="4"/>
        <v>0</v>
      </c>
      <c r="K100" s="37"/>
    </row>
    <row r="101" spans="1:11" x14ac:dyDescent="0.25">
      <c r="A101" s="50">
        <f>'A) Base RI'!A103</f>
        <v>5559</v>
      </c>
      <c r="B101" s="301" t="str">
        <f>'A) Base RI'!B103</f>
        <v>Giez</v>
      </c>
      <c r="C101" s="100">
        <f>'B) D RI'!U103</f>
        <v>20477.299090909091</v>
      </c>
      <c r="D101" s="116">
        <f>'E) Fact soc'!G107/C101</f>
        <v>20.30288028165721</v>
      </c>
      <c r="E101" s="141">
        <f>'H) Péréquation directe'!I112/C101</f>
        <v>16.971405562157813</v>
      </c>
      <c r="F101" s="116">
        <f>+'I) Dépenses thématiques'!O101/'K) Plafonnement aide'!C101</f>
        <v>-0.3447810871834745</v>
      </c>
      <c r="G101" s="141">
        <f t="shared" si="5"/>
        <v>36.929504756631545</v>
      </c>
      <c r="H101" s="116">
        <f t="shared" si="6"/>
        <v>37.274285843815022</v>
      </c>
      <c r="I101" s="141">
        <f t="shared" si="7"/>
        <v>0</v>
      </c>
      <c r="J101" s="58">
        <f t="shared" si="4"/>
        <v>0</v>
      </c>
      <c r="K101" s="37"/>
    </row>
    <row r="102" spans="1:11" x14ac:dyDescent="0.25">
      <c r="A102" s="50">
        <f>'A) Base RI'!A104</f>
        <v>5560</v>
      </c>
      <c r="B102" s="301" t="str">
        <f>'A) Base RI'!B104</f>
        <v>Grandevent</v>
      </c>
      <c r="C102" s="100">
        <f>'B) D RI'!U104</f>
        <v>7465.4854411764709</v>
      </c>
      <c r="D102" s="116">
        <f>'E) Fact soc'!G108/C102</f>
        <v>17.534652139081313</v>
      </c>
      <c r="E102" s="141">
        <f>'H) Péréquation directe'!I113/C102</f>
        <v>7.7811342657949982</v>
      </c>
      <c r="F102" s="116">
        <f>+'I) Dépenses thématiques'!O102/'K) Plafonnement aide'!C102</f>
        <v>-3.4785809182241638</v>
      </c>
      <c r="G102" s="141">
        <f t="shared" si="5"/>
        <v>21.837205486652149</v>
      </c>
      <c r="H102" s="116">
        <f t="shared" si="6"/>
        <v>25.315786404876313</v>
      </c>
      <c r="I102" s="141">
        <f t="shared" si="7"/>
        <v>0</v>
      </c>
      <c r="J102" s="58">
        <f t="shared" si="4"/>
        <v>0</v>
      </c>
      <c r="K102" s="37"/>
    </row>
    <row r="103" spans="1:11" x14ac:dyDescent="0.25">
      <c r="A103" s="50">
        <f>'A) Base RI'!A105</f>
        <v>5561</v>
      </c>
      <c r="B103" s="301" t="str">
        <f>'A) Base RI'!B105</f>
        <v>Grandson</v>
      </c>
      <c r="C103" s="100">
        <f>'B) D RI'!U105</f>
        <v>124296.34985507248</v>
      </c>
      <c r="D103" s="116">
        <f>'E) Fact soc'!G109/C103</f>
        <v>18.527031324106368</v>
      </c>
      <c r="E103" s="141">
        <f>'H) Péréquation directe'!I114/C103</f>
        <v>6.9813184041870651</v>
      </c>
      <c r="F103" s="116">
        <f>+'I) Dépenses thématiques'!O103/'K) Plafonnement aide'!C103</f>
        <v>-5.8067937954745128</v>
      </c>
      <c r="G103" s="141">
        <f t="shared" si="5"/>
        <v>19.70155593281892</v>
      </c>
      <c r="H103" s="116">
        <f t="shared" si="6"/>
        <v>25.508349728293432</v>
      </c>
      <c r="I103" s="141">
        <f t="shared" si="7"/>
        <v>0</v>
      </c>
      <c r="J103" s="58">
        <f t="shared" si="4"/>
        <v>0</v>
      </c>
      <c r="K103" s="37"/>
    </row>
    <row r="104" spans="1:11" x14ac:dyDescent="0.25">
      <c r="A104" s="50">
        <f>'A) Base RI'!A106</f>
        <v>5562</v>
      </c>
      <c r="B104" s="301" t="str">
        <f>'A) Base RI'!B106</f>
        <v>Mauborget</v>
      </c>
      <c r="C104" s="100">
        <f>'B) D RI'!U106</f>
        <v>5288.8125476190471</v>
      </c>
      <c r="D104" s="116">
        <f>'E) Fact soc'!G110/C104</f>
        <v>17.863465543310976</v>
      </c>
      <c r="E104" s="141">
        <f>'H) Péréquation directe'!I115/C104</f>
        <v>15.908508857436896</v>
      </c>
      <c r="F104" s="116">
        <f>+'I) Dépenses thématiques'!O104/'K) Plafonnement aide'!C104</f>
        <v>-2.7228294062381013</v>
      </c>
      <c r="G104" s="141">
        <f t="shared" si="5"/>
        <v>31.049144994509771</v>
      </c>
      <c r="H104" s="116">
        <f t="shared" si="6"/>
        <v>33.771974400747872</v>
      </c>
      <c r="I104" s="141">
        <f t="shared" si="7"/>
        <v>0</v>
      </c>
      <c r="J104" s="58">
        <f t="shared" si="4"/>
        <v>0</v>
      </c>
      <c r="K104" s="37"/>
    </row>
    <row r="105" spans="1:11" x14ac:dyDescent="0.25">
      <c r="A105" s="50">
        <f>'A) Base RI'!A107</f>
        <v>5563</v>
      </c>
      <c r="B105" s="301" t="str">
        <f>'A) Base RI'!B107</f>
        <v>Mutrux</v>
      </c>
      <c r="C105" s="100">
        <f>'B) D RI'!U107</f>
        <v>3325.060127388535</v>
      </c>
      <c r="D105" s="116">
        <f>'E) Fact soc'!G111/C105</f>
        <v>16.267800711031967</v>
      </c>
      <c r="E105" s="141">
        <f>'H) Péréquation directe'!I116/C105</f>
        <v>-13.687917744708553</v>
      </c>
      <c r="F105" s="116">
        <f>+'I) Dépenses thématiques'!O105/'K) Plafonnement aide'!C105</f>
        <v>-8.3058545852711045</v>
      </c>
      <c r="G105" s="141">
        <f t="shared" si="5"/>
        <v>-5.7259716189476908</v>
      </c>
      <c r="H105" s="116">
        <f t="shared" si="6"/>
        <v>2.5798829663234137</v>
      </c>
      <c r="I105" s="141">
        <f t="shared" si="7"/>
        <v>0</v>
      </c>
      <c r="J105" s="58">
        <f t="shared" si="4"/>
        <v>0</v>
      </c>
      <c r="K105" s="37"/>
    </row>
    <row r="106" spans="1:11" x14ac:dyDescent="0.25">
      <c r="A106" s="50">
        <f>'A) Base RI'!A108</f>
        <v>5564</v>
      </c>
      <c r="B106" s="301" t="str">
        <f>'A) Base RI'!B108</f>
        <v>Novalles</v>
      </c>
      <c r="C106" s="100">
        <f>'B) D RI'!U108</f>
        <v>2879.4712828947363</v>
      </c>
      <c r="D106" s="116">
        <f>'E) Fact soc'!G112/C106</f>
        <v>19.386619274477169</v>
      </c>
      <c r="E106" s="141">
        <f>'H) Péréquation directe'!I117/C106</f>
        <v>2.1624590760932665</v>
      </c>
      <c r="F106" s="116">
        <f>+'I) Dépenses thématiques'!O106/'K) Plafonnement aide'!C106</f>
        <v>-3.8174387418452795</v>
      </c>
      <c r="G106" s="141">
        <f t="shared" si="5"/>
        <v>17.731639608725157</v>
      </c>
      <c r="H106" s="116">
        <f t="shared" si="6"/>
        <v>21.549078350570436</v>
      </c>
      <c r="I106" s="141">
        <f t="shared" si="7"/>
        <v>0</v>
      </c>
      <c r="J106" s="58">
        <f t="shared" si="4"/>
        <v>0</v>
      </c>
      <c r="K106" s="37"/>
    </row>
    <row r="107" spans="1:11" x14ac:dyDescent="0.25">
      <c r="A107" s="50">
        <f>'A) Base RI'!A109</f>
        <v>5565</v>
      </c>
      <c r="B107" s="301" t="str">
        <f>'A) Base RI'!B109</f>
        <v>Onnens</v>
      </c>
      <c r="C107" s="100">
        <f>'B) D RI'!U109</f>
        <v>21859.350153846153</v>
      </c>
      <c r="D107" s="116">
        <f>'E) Fact soc'!G113/C107</f>
        <v>16.545073969075567</v>
      </c>
      <c r="E107" s="141">
        <f>'H) Péréquation directe'!I118/C107</f>
        <v>16.41532763053532</v>
      </c>
      <c r="F107" s="116">
        <f>+'I) Dépenses thématiques'!O107/'K) Plafonnement aide'!C107</f>
        <v>-3.69954650457887</v>
      </c>
      <c r="G107" s="141">
        <f t="shared" si="5"/>
        <v>29.260855095032021</v>
      </c>
      <c r="H107" s="116">
        <f t="shared" si="6"/>
        <v>32.96040159961089</v>
      </c>
      <c r="I107" s="141">
        <f t="shared" si="7"/>
        <v>0</v>
      </c>
      <c r="J107" s="58">
        <f t="shared" si="4"/>
        <v>0</v>
      </c>
      <c r="K107" s="37"/>
    </row>
    <row r="108" spans="1:11" x14ac:dyDescent="0.25">
      <c r="A108" s="50">
        <f>'A) Base RI'!A110</f>
        <v>5566</v>
      </c>
      <c r="B108" s="301" t="str">
        <f>'A) Base RI'!B110</f>
        <v>Provence</v>
      </c>
      <c r="C108" s="100">
        <f>'B) D RI'!U110</f>
        <v>8283.9104526748961</v>
      </c>
      <c r="D108" s="116">
        <f>'E) Fact soc'!G114/C108</f>
        <v>20.142948677678433</v>
      </c>
      <c r="E108" s="141">
        <f>'H) Péréquation directe'!I119/C108</f>
        <v>-12.322043238878594</v>
      </c>
      <c r="F108" s="116">
        <f>+'I) Dépenses thématiques'!O108/'K) Plafonnement aide'!C108</f>
        <v>-13.71677076959835</v>
      </c>
      <c r="G108" s="141">
        <f t="shared" si="5"/>
        <v>-5.8958653307985109</v>
      </c>
      <c r="H108" s="116">
        <f t="shared" si="6"/>
        <v>7.8209054387998389</v>
      </c>
      <c r="I108" s="141">
        <f t="shared" si="7"/>
        <v>0</v>
      </c>
      <c r="J108" s="58">
        <f t="shared" si="4"/>
        <v>0</v>
      </c>
      <c r="K108" s="37"/>
    </row>
    <row r="109" spans="1:11" x14ac:dyDescent="0.25">
      <c r="A109" s="50">
        <f>'A) Base RI'!A111</f>
        <v>5568</v>
      </c>
      <c r="B109" s="301" t="str">
        <f>'A) Base RI'!B111</f>
        <v>Sainte-Croix</v>
      </c>
      <c r="C109" s="100">
        <f>'B) D RI'!U111</f>
        <v>103146.8182857143</v>
      </c>
      <c r="D109" s="116">
        <f>'E) Fact soc'!G115/C109</f>
        <v>22.443151156316464</v>
      </c>
      <c r="E109" s="141">
        <f>'H) Péréquation directe'!I120/C109</f>
        <v>-19.425418195443253</v>
      </c>
      <c r="F109" s="116">
        <f>+'I) Dépenses thématiques'!O109/'K) Plafonnement aide'!C109</f>
        <v>-9.5109318237537863</v>
      </c>
      <c r="G109" s="141">
        <f t="shared" si="5"/>
        <v>-6.4931988628805755</v>
      </c>
      <c r="H109" s="116">
        <f t="shared" si="6"/>
        <v>3.0177329608732109</v>
      </c>
      <c r="I109" s="141">
        <f t="shared" si="7"/>
        <v>0</v>
      </c>
      <c r="J109" s="58">
        <f t="shared" si="4"/>
        <v>0</v>
      </c>
      <c r="K109" s="37"/>
    </row>
    <row r="110" spans="1:11" x14ac:dyDescent="0.25">
      <c r="A110" s="50">
        <f>'A) Base RI'!A112</f>
        <v>5571</v>
      </c>
      <c r="B110" s="301" t="str">
        <f>'A) Base RI'!B112</f>
        <v>Tévenon</v>
      </c>
      <c r="C110" s="100">
        <f>'B) D RI'!U112</f>
        <v>22505.207716894973</v>
      </c>
      <c r="D110" s="116">
        <f>'E) Fact soc'!G116/C110</f>
        <v>18.393426214474385</v>
      </c>
      <c r="E110" s="141">
        <f>'H) Péréquation directe'!I121/C110</f>
        <v>-0.90747416809519954</v>
      </c>
      <c r="F110" s="116">
        <f>+'I) Dépenses thématiques'!O110/'K) Plafonnement aide'!C110</f>
        <v>-4.804763467614598</v>
      </c>
      <c r="G110" s="141">
        <f t="shared" si="5"/>
        <v>12.681188578764587</v>
      </c>
      <c r="H110" s="116">
        <f t="shared" si="6"/>
        <v>17.485952046379186</v>
      </c>
      <c r="I110" s="141">
        <f t="shared" si="7"/>
        <v>0</v>
      </c>
      <c r="J110" s="58">
        <f t="shared" si="4"/>
        <v>0</v>
      </c>
      <c r="K110" s="37"/>
    </row>
    <row r="111" spans="1:11" x14ac:dyDescent="0.25">
      <c r="A111" s="50">
        <f>'A) Base RI'!A113</f>
        <v>5581</v>
      </c>
      <c r="B111" s="301" t="str">
        <f>'A) Base RI'!B113</f>
        <v>Belmont-sur-Lausanne</v>
      </c>
      <c r="C111" s="100">
        <f>'B) D RI'!U113</f>
        <v>187970.76781774583</v>
      </c>
      <c r="D111" s="116">
        <f>'E) Fact soc'!G117/C111</f>
        <v>18.100700562938986</v>
      </c>
      <c r="E111" s="141">
        <f>'H) Péréquation directe'!I122/C111</f>
        <v>12.784513879373868</v>
      </c>
      <c r="F111" s="116">
        <f>+'I) Dépenses thématiques'!O111/'K) Plafonnement aide'!C111</f>
        <v>-3.7422862669272958</v>
      </c>
      <c r="G111" s="141">
        <f t="shared" si="5"/>
        <v>27.14292817538556</v>
      </c>
      <c r="H111" s="116">
        <f t="shared" si="6"/>
        <v>30.885214442312854</v>
      </c>
      <c r="I111" s="141">
        <f t="shared" si="7"/>
        <v>0</v>
      </c>
      <c r="J111" s="58">
        <f t="shared" si="4"/>
        <v>0</v>
      </c>
      <c r="K111" s="37"/>
    </row>
    <row r="112" spans="1:11" x14ac:dyDescent="0.25">
      <c r="A112" s="50">
        <f>'A) Base RI'!A114</f>
        <v>5582</v>
      </c>
      <c r="B112" s="301" t="str">
        <f>'A) Base RI'!B114</f>
        <v>Cheseaux-sur-Lausanne</v>
      </c>
      <c r="C112" s="100">
        <f>'B) D RI'!U114</f>
        <v>177854.9614765101</v>
      </c>
      <c r="D112" s="116">
        <f>'E) Fact soc'!G118/C112</f>
        <v>16.923823545893544</v>
      </c>
      <c r="E112" s="141">
        <f>'H) Péréquation directe'!I123/C112</f>
        <v>8.5459261990728148</v>
      </c>
      <c r="F112" s="116">
        <f>+'I) Dépenses thématiques'!O112/'K) Plafonnement aide'!C112</f>
        <v>-1.2387595729128371</v>
      </c>
      <c r="G112" s="141">
        <f t="shared" si="5"/>
        <v>24.23099017205352</v>
      </c>
      <c r="H112" s="116">
        <f t="shared" si="6"/>
        <v>25.469749744966357</v>
      </c>
      <c r="I112" s="141">
        <f t="shared" si="7"/>
        <v>0</v>
      </c>
      <c r="J112" s="58">
        <f t="shared" si="4"/>
        <v>0</v>
      </c>
      <c r="K112" s="37"/>
    </row>
    <row r="113" spans="1:11" x14ac:dyDescent="0.25">
      <c r="A113" s="50">
        <f>'A) Base RI'!A115</f>
        <v>5583</v>
      </c>
      <c r="B113" s="301" t="str">
        <f>'A) Base RI'!B115</f>
        <v>Crissier</v>
      </c>
      <c r="C113" s="100">
        <f>'B) D RI'!U115</f>
        <v>343062.59507692308</v>
      </c>
      <c r="D113" s="116">
        <f>'E) Fact soc'!G119/C113</f>
        <v>20.814854128082107</v>
      </c>
      <c r="E113" s="141">
        <f>'H) Péréquation directe'!I124/C113</f>
        <v>8.0206127656280639</v>
      </c>
      <c r="F113" s="116">
        <f>+'I) Dépenses thématiques'!O113/'K) Plafonnement aide'!C113</f>
        <v>-5.7011934096767938</v>
      </c>
      <c r="G113" s="141">
        <f t="shared" si="5"/>
        <v>23.134273484033375</v>
      </c>
      <c r="H113" s="116">
        <f t="shared" si="6"/>
        <v>28.835466893710169</v>
      </c>
      <c r="I113" s="141">
        <f t="shared" si="7"/>
        <v>0</v>
      </c>
      <c r="J113" s="58">
        <f t="shared" si="4"/>
        <v>0</v>
      </c>
      <c r="K113" s="37"/>
    </row>
    <row r="114" spans="1:11" x14ac:dyDescent="0.25">
      <c r="A114" s="50">
        <f>'A) Base RI'!A116</f>
        <v>5584</v>
      </c>
      <c r="B114" s="301" t="str">
        <f>'A) Base RI'!B116</f>
        <v>Epalinges</v>
      </c>
      <c r="C114" s="100">
        <f>'B) D RI'!U116</f>
        <v>468635.24666666664</v>
      </c>
      <c r="D114" s="116">
        <f>'E) Fact soc'!G120/C114</f>
        <v>22.803926329802547</v>
      </c>
      <c r="E114" s="141">
        <f>'H) Péréquation directe'!I125/C114</f>
        <v>8.8975293642211248</v>
      </c>
      <c r="F114" s="116">
        <f>+'I) Dépenses thématiques'!O114/'K) Plafonnement aide'!C114</f>
        <v>-6.5976584309224942</v>
      </c>
      <c r="G114" s="141">
        <f t="shared" si="5"/>
        <v>25.103797263101178</v>
      </c>
      <c r="H114" s="116">
        <f t="shared" si="6"/>
        <v>31.701455694023672</v>
      </c>
      <c r="I114" s="141">
        <f t="shared" si="7"/>
        <v>0</v>
      </c>
      <c r="J114" s="58">
        <f t="shared" si="4"/>
        <v>0</v>
      </c>
      <c r="K114" s="37"/>
    </row>
    <row r="115" spans="1:11" x14ac:dyDescent="0.25">
      <c r="A115" s="50">
        <f>'A) Base RI'!A117</f>
        <v>5585</v>
      </c>
      <c r="B115" s="301" t="str">
        <f>'A) Base RI'!B117</f>
        <v>Jouxtens-Mézery</v>
      </c>
      <c r="C115" s="100">
        <f>'B) D RI'!U117</f>
        <v>222395.52905660376</v>
      </c>
      <c r="D115" s="116">
        <f>'E) Fact soc'!G121/C115</f>
        <v>30.750492397214437</v>
      </c>
      <c r="E115" s="141">
        <f>'H) Péréquation directe'!I126/C115</f>
        <v>14.670088475403922</v>
      </c>
      <c r="F115" s="116">
        <f>+'I) Dépenses thématiques'!O115/'K) Plafonnement aide'!C115</f>
        <v>0</v>
      </c>
      <c r="G115" s="141">
        <f t="shared" si="5"/>
        <v>45.420580872618359</v>
      </c>
      <c r="H115" s="116">
        <f t="shared" si="6"/>
        <v>45.420580872618359</v>
      </c>
      <c r="I115" s="141">
        <f t="shared" si="7"/>
        <v>0</v>
      </c>
      <c r="J115" s="58">
        <f t="shared" si="4"/>
        <v>0</v>
      </c>
      <c r="K115" s="37"/>
    </row>
    <row r="116" spans="1:11" x14ac:dyDescent="0.25">
      <c r="A116" s="50">
        <f>'A) Base RI'!A118</f>
        <v>5586</v>
      </c>
      <c r="B116" s="301" t="str">
        <f>'A) Base RI'!B118</f>
        <v>Lausanne</v>
      </c>
      <c r="C116" s="100">
        <f>'B) D RI'!U118</f>
        <v>5998569.406244725</v>
      </c>
      <c r="D116" s="116">
        <f>'E) Fact soc'!G122/C116</f>
        <v>18.417677966056168</v>
      </c>
      <c r="E116" s="141">
        <f>'H) Péréquation directe'!I127/C116</f>
        <v>-5.6811944851993621</v>
      </c>
      <c r="F116" s="116">
        <f>+'I) Dépenses thématiques'!O116/'K) Plafonnement aide'!C116</f>
        <v>-7.852332946305979</v>
      </c>
      <c r="G116" s="141">
        <f t="shared" si="5"/>
        <v>4.8841505345508258</v>
      </c>
      <c r="H116" s="116">
        <f t="shared" si="6"/>
        <v>12.736483480856805</v>
      </c>
      <c r="I116" s="141">
        <f t="shared" si="7"/>
        <v>0</v>
      </c>
      <c r="J116" s="58">
        <f t="shared" si="4"/>
        <v>0</v>
      </c>
      <c r="K116" s="37"/>
    </row>
    <row r="117" spans="1:11" x14ac:dyDescent="0.25">
      <c r="A117" s="50">
        <f>'A) Base RI'!A119</f>
        <v>5587</v>
      </c>
      <c r="B117" s="301" t="str">
        <f>'A) Base RI'!B119</f>
        <v>Le Mont-sur-Lausanne</v>
      </c>
      <c r="C117" s="100">
        <f>'B) D RI'!U119</f>
        <v>426789.42020000005</v>
      </c>
      <c r="D117" s="116">
        <f>'E) Fact soc'!G123/C117</f>
        <v>16.953272011618019</v>
      </c>
      <c r="E117" s="141">
        <f>'H) Péréquation directe'!I128/C117</f>
        <v>9.8300918143602267</v>
      </c>
      <c r="F117" s="116">
        <f>+'I) Dépenses thématiques'!O117/'K) Plafonnement aide'!C117</f>
        <v>-5.0663527519652467</v>
      </c>
      <c r="G117" s="141">
        <f t="shared" si="5"/>
        <v>21.717011074012998</v>
      </c>
      <c r="H117" s="116">
        <f t="shared" si="6"/>
        <v>26.783363825978245</v>
      </c>
      <c r="I117" s="141">
        <f t="shared" si="7"/>
        <v>0</v>
      </c>
      <c r="J117" s="58">
        <f t="shared" si="4"/>
        <v>0</v>
      </c>
      <c r="K117" s="37"/>
    </row>
    <row r="118" spans="1:11" x14ac:dyDescent="0.25">
      <c r="A118" s="50">
        <f>'A) Base RI'!A120</f>
        <v>5588</v>
      </c>
      <c r="B118" s="301" t="str">
        <f>'A) Base RI'!B120</f>
        <v>Paudex</v>
      </c>
      <c r="C118" s="100">
        <f>'B) D RI'!U120</f>
        <v>123307.63563298491</v>
      </c>
      <c r="D118" s="116">
        <f>'E) Fact soc'!G124/C118</f>
        <v>23.667186695534088</v>
      </c>
      <c r="E118" s="141">
        <f>'H) Péréquation directe'!I129/C118</f>
        <v>15.490881448803322</v>
      </c>
      <c r="F118" s="116">
        <f>+'I) Dépenses thématiques'!O118/'K) Plafonnement aide'!C118</f>
        <v>0</v>
      </c>
      <c r="G118" s="141">
        <f t="shared" si="5"/>
        <v>39.158068144337406</v>
      </c>
      <c r="H118" s="116">
        <f t="shared" si="6"/>
        <v>39.158068144337406</v>
      </c>
      <c r="I118" s="141">
        <f t="shared" si="7"/>
        <v>0</v>
      </c>
      <c r="J118" s="58">
        <f t="shared" si="4"/>
        <v>0</v>
      </c>
      <c r="K118" s="37"/>
    </row>
    <row r="119" spans="1:11" x14ac:dyDescent="0.25">
      <c r="A119" s="50">
        <f>'A) Base RI'!A121</f>
        <v>5589</v>
      </c>
      <c r="B119" s="301" t="str">
        <f>'A) Base RI'!B121</f>
        <v>Prilly</v>
      </c>
      <c r="C119" s="100">
        <f>'B) D RI'!U121</f>
        <v>426033.15632653062</v>
      </c>
      <c r="D119" s="116">
        <f>'E) Fact soc'!G125/C119</f>
        <v>17.539651301661291</v>
      </c>
      <c r="E119" s="141">
        <f>'H) Péréquation directe'!I130/C119</f>
        <v>-4.4306603489869749</v>
      </c>
      <c r="F119" s="116">
        <f>+'I) Dépenses thématiques'!O119/'K) Plafonnement aide'!C119</f>
        <v>-5.18965377394826</v>
      </c>
      <c r="G119" s="141">
        <f t="shared" si="5"/>
        <v>7.9193371787260549</v>
      </c>
      <c r="H119" s="116">
        <f t="shared" si="6"/>
        <v>13.108990952674315</v>
      </c>
      <c r="I119" s="141">
        <f t="shared" si="7"/>
        <v>0</v>
      </c>
      <c r="J119" s="58">
        <f t="shared" si="4"/>
        <v>0</v>
      </c>
      <c r="K119" s="37"/>
    </row>
    <row r="120" spans="1:11" x14ac:dyDescent="0.25">
      <c r="A120" s="50">
        <f>'A) Base RI'!A122</f>
        <v>5590</v>
      </c>
      <c r="B120" s="301" t="str">
        <f>'A) Base RI'!B122</f>
        <v>Pully</v>
      </c>
      <c r="C120" s="100">
        <f>'B) D RI'!U122</f>
        <v>1404840.8814754093</v>
      </c>
      <c r="D120" s="116">
        <f>'E) Fact soc'!G126/C120</f>
        <v>25.406016914253748</v>
      </c>
      <c r="E120" s="141">
        <f>'H) Péréquation directe'!I131/C120</f>
        <v>8.5267405073439235</v>
      </c>
      <c r="F120" s="116">
        <f>+'I) Dépenses thématiques'!O120/'K) Plafonnement aide'!C120</f>
        <v>-1.731917547136522</v>
      </c>
      <c r="G120" s="141">
        <f t="shared" si="5"/>
        <v>32.200839874461153</v>
      </c>
      <c r="H120" s="116">
        <f t="shared" si="6"/>
        <v>33.932757421597671</v>
      </c>
      <c r="I120" s="141">
        <f t="shared" si="7"/>
        <v>0</v>
      </c>
      <c r="J120" s="58">
        <f t="shared" si="4"/>
        <v>0</v>
      </c>
      <c r="K120" s="37"/>
    </row>
    <row r="121" spans="1:11" x14ac:dyDescent="0.25">
      <c r="A121" s="50">
        <f>'A) Base RI'!A123</f>
        <v>5591</v>
      </c>
      <c r="B121" s="301" t="str">
        <f>'A) Base RI'!B123</f>
        <v>Renens</v>
      </c>
      <c r="C121" s="100">
        <f>'B) D RI'!U123</f>
        <v>580334.81221110106</v>
      </c>
      <c r="D121" s="116">
        <f>'E) Fact soc'!G127/C121</f>
        <v>19.779844604556438</v>
      </c>
      <c r="E121" s="141">
        <f>'H) Péréquation directe'!I132/C121</f>
        <v>-23.957743173685405</v>
      </c>
      <c r="F121" s="116">
        <f>+'I) Dépenses thématiques'!O121/'K) Plafonnement aide'!C121</f>
        <v>-9.0210841204103822</v>
      </c>
      <c r="G121" s="141">
        <f t="shared" si="5"/>
        <v>-13.198982689539349</v>
      </c>
      <c r="H121" s="116">
        <f t="shared" si="6"/>
        <v>-4.177898569128967</v>
      </c>
      <c r="I121" s="141">
        <f t="shared" si="7"/>
        <v>0</v>
      </c>
      <c r="J121" s="58">
        <f t="shared" si="4"/>
        <v>0</v>
      </c>
      <c r="K121" s="37"/>
    </row>
    <row r="122" spans="1:11" x14ac:dyDescent="0.25">
      <c r="A122" s="50">
        <f>'A) Base RI'!A124</f>
        <v>5592</v>
      </c>
      <c r="B122" s="301" t="str">
        <f>'A) Base RI'!B124</f>
        <v>Romanel-sur-Lausanne</v>
      </c>
      <c r="C122" s="100">
        <f>'B) D RI'!U124</f>
        <v>113924.20114285716</v>
      </c>
      <c r="D122" s="116">
        <f>'E) Fact soc'!G128/C122</f>
        <v>16.870442151033426</v>
      </c>
      <c r="E122" s="141">
        <f>'H) Péréquation directe'!I133/C122</f>
        <v>4.5781769049902765</v>
      </c>
      <c r="F122" s="116">
        <f>+'I) Dépenses thématiques'!O122/'K) Plafonnement aide'!C122</f>
        <v>-1.896332795018296</v>
      </c>
      <c r="G122" s="141">
        <f t="shared" si="5"/>
        <v>19.552286261005406</v>
      </c>
      <c r="H122" s="116">
        <f t="shared" si="6"/>
        <v>21.448619056023702</v>
      </c>
      <c r="I122" s="141">
        <f t="shared" si="7"/>
        <v>0</v>
      </c>
      <c r="J122" s="58">
        <f t="shared" si="4"/>
        <v>0</v>
      </c>
      <c r="K122" s="37"/>
    </row>
    <row r="123" spans="1:11" x14ac:dyDescent="0.25">
      <c r="A123" s="50">
        <f>'A) Base RI'!A125</f>
        <v>5601</v>
      </c>
      <c r="B123" s="301" t="str">
        <f>'A) Base RI'!B125</f>
        <v>Chexbres</v>
      </c>
      <c r="C123" s="100">
        <f>'B) D RI'!U125</f>
        <v>102834.27275362321</v>
      </c>
      <c r="D123" s="116">
        <f>'E) Fact soc'!G129/C123</f>
        <v>18.202744435910578</v>
      </c>
      <c r="E123" s="141">
        <f>'H) Péréquation directe'!I134/C123</f>
        <v>13.800568630348669</v>
      </c>
      <c r="F123" s="116">
        <f>+'I) Dépenses thématiques'!O123/'K) Plafonnement aide'!C123</f>
        <v>-2.0225148403424376</v>
      </c>
      <c r="G123" s="141">
        <f t="shared" si="5"/>
        <v>29.980798225916807</v>
      </c>
      <c r="H123" s="116">
        <f t="shared" si="6"/>
        <v>32.003313066259246</v>
      </c>
      <c r="I123" s="141">
        <f t="shared" si="7"/>
        <v>0</v>
      </c>
      <c r="J123" s="58">
        <f t="shared" si="4"/>
        <v>0</v>
      </c>
      <c r="K123" s="37"/>
    </row>
    <row r="124" spans="1:11" x14ac:dyDescent="0.25">
      <c r="A124" s="50">
        <f>'A) Base RI'!A126</f>
        <v>5604</v>
      </c>
      <c r="B124" s="301" t="str">
        <f>'A) Base RI'!B126</f>
        <v>Forel (Lavaux)</v>
      </c>
      <c r="C124" s="100">
        <f>'B) D RI'!U126</f>
        <v>76415.868285714285</v>
      </c>
      <c r="D124" s="116">
        <f>'E) Fact soc'!G130/C124</f>
        <v>17.246019521255064</v>
      </c>
      <c r="E124" s="141">
        <f>'H) Péréquation directe'!I135/C124</f>
        <v>8.2921279522987614</v>
      </c>
      <c r="F124" s="116">
        <f>+'I) Dépenses thématiques'!O124/'K) Plafonnement aide'!C124</f>
        <v>-3.6490356774666299</v>
      </c>
      <c r="G124" s="141">
        <f t="shared" si="5"/>
        <v>21.889111796087199</v>
      </c>
      <c r="H124" s="116">
        <f t="shared" si="6"/>
        <v>25.538147473553828</v>
      </c>
      <c r="I124" s="141">
        <f t="shared" si="7"/>
        <v>0</v>
      </c>
      <c r="J124" s="58">
        <f t="shared" si="4"/>
        <v>0</v>
      </c>
      <c r="K124" s="37"/>
    </row>
    <row r="125" spans="1:11" x14ac:dyDescent="0.25">
      <c r="A125" s="50">
        <f>'A) Base RI'!A127</f>
        <v>5606</v>
      </c>
      <c r="B125" s="301" t="str">
        <f>'A) Base RI'!B127</f>
        <v>Lutry</v>
      </c>
      <c r="C125" s="100">
        <f>'B) D RI'!U127</f>
        <v>833790.99884169886</v>
      </c>
      <c r="D125" s="116">
        <f>'E) Fact soc'!G131/C125</f>
        <v>25.329434019287032</v>
      </c>
      <c r="E125" s="141">
        <f>'H) Péréquation directe'!I136/C125</f>
        <v>11.426922488207303</v>
      </c>
      <c r="F125" s="116">
        <f>+'I) Dépenses thématiques'!O125/'K) Plafonnement aide'!C125</f>
        <v>-2.5317921953365303</v>
      </c>
      <c r="G125" s="141">
        <f t="shared" si="5"/>
        <v>34.224564312157803</v>
      </c>
      <c r="H125" s="116">
        <f t="shared" si="6"/>
        <v>36.756356507494331</v>
      </c>
      <c r="I125" s="141">
        <f t="shared" si="7"/>
        <v>0</v>
      </c>
      <c r="J125" s="58">
        <f t="shared" si="4"/>
        <v>0</v>
      </c>
      <c r="K125" s="37"/>
    </row>
    <row r="126" spans="1:11" x14ac:dyDescent="0.25">
      <c r="A126" s="50">
        <f>'A) Base RI'!A128</f>
        <v>5607</v>
      </c>
      <c r="B126" s="301" t="str">
        <f>'A) Base RI'!B128</f>
        <v>Puidoux</v>
      </c>
      <c r="C126" s="100">
        <f>'B) D RI'!U128</f>
        <v>111751.15780124225</v>
      </c>
      <c r="D126" s="116">
        <f>'E) Fact soc'!G132/C126</f>
        <v>18.433586329457235</v>
      </c>
      <c r="E126" s="141">
        <f>'H) Péréquation directe'!I137/C126</f>
        <v>9.0663983553089942</v>
      </c>
      <c r="F126" s="116">
        <f>+'I) Dépenses thématiques'!O126/'K) Plafonnement aide'!C126</f>
        <v>-6.1569360831808755</v>
      </c>
      <c r="G126" s="141">
        <f t="shared" si="5"/>
        <v>21.343048601585352</v>
      </c>
      <c r="H126" s="116">
        <f t="shared" si="6"/>
        <v>27.499984684766225</v>
      </c>
      <c r="I126" s="141">
        <f t="shared" si="7"/>
        <v>0</v>
      </c>
      <c r="J126" s="58">
        <f t="shared" si="4"/>
        <v>0</v>
      </c>
      <c r="K126" s="37"/>
    </row>
    <row r="127" spans="1:11" x14ac:dyDescent="0.25">
      <c r="A127" s="50">
        <f>'A) Base RI'!A129</f>
        <v>5609</v>
      </c>
      <c r="B127" s="301" t="str">
        <f>'A) Base RI'!B129</f>
        <v>Rivaz</v>
      </c>
      <c r="C127" s="100">
        <f>'B) D RI'!U129</f>
        <v>13518.908661417323</v>
      </c>
      <c r="D127" s="116">
        <f>'E) Fact soc'!G133/C127</f>
        <v>15.355264347532694</v>
      </c>
      <c r="E127" s="141">
        <f>'H) Péréquation directe'!I138/C127</f>
        <v>13.240780912681856</v>
      </c>
      <c r="F127" s="116">
        <f>+'I) Dépenses thématiques'!O127/'K) Plafonnement aide'!C127</f>
        <v>-1.9909907216040634</v>
      </c>
      <c r="G127" s="141">
        <f t="shared" si="5"/>
        <v>26.605054538610489</v>
      </c>
      <c r="H127" s="116">
        <f t="shared" si="6"/>
        <v>28.596045260214552</v>
      </c>
      <c r="I127" s="141">
        <f t="shared" si="7"/>
        <v>0</v>
      </c>
      <c r="J127" s="58">
        <f t="shared" si="4"/>
        <v>0</v>
      </c>
      <c r="K127" s="37"/>
    </row>
    <row r="128" spans="1:11" x14ac:dyDescent="0.25">
      <c r="A128" s="50">
        <f>'A) Base RI'!A130</f>
        <v>5610</v>
      </c>
      <c r="B128" s="301" t="str">
        <f>'A) Base RI'!B130</f>
        <v>St-Saphorin (Lavaux)</v>
      </c>
      <c r="C128" s="100">
        <f>'B) D RI'!U130</f>
        <v>21494.070428571435</v>
      </c>
      <c r="D128" s="116">
        <f>'E) Fact soc'!G134/C128</f>
        <v>15.513258855161739</v>
      </c>
      <c r="E128" s="141">
        <f>'H) Péréquation directe'!I139/C128</f>
        <v>17.164089261468117</v>
      </c>
      <c r="F128" s="116">
        <f>+'I) Dépenses thématiques'!O128/'K) Plafonnement aide'!C128</f>
        <v>-1.054985866571817</v>
      </c>
      <c r="G128" s="141">
        <f t="shared" si="5"/>
        <v>31.622362250058043</v>
      </c>
      <c r="H128" s="116">
        <f t="shared" si="6"/>
        <v>32.677348116629858</v>
      </c>
      <c r="I128" s="141">
        <f t="shared" si="7"/>
        <v>0</v>
      </c>
      <c r="J128" s="58">
        <f t="shared" si="4"/>
        <v>0</v>
      </c>
      <c r="K128" s="37"/>
    </row>
    <row r="129" spans="1:11" x14ac:dyDescent="0.25">
      <c r="A129" s="50">
        <f>'A) Base RI'!A131</f>
        <v>5611</v>
      </c>
      <c r="B129" s="301" t="str">
        <f>'A) Base RI'!B131</f>
        <v>Savigny</v>
      </c>
      <c r="C129" s="100">
        <f>'B) D RI'!U131</f>
        <v>137747.50487922705</v>
      </c>
      <c r="D129" s="116">
        <f>'E) Fact soc'!G135/C129</f>
        <v>20.738739486631264</v>
      </c>
      <c r="E129" s="141">
        <f>'H) Péréquation directe'!I140/C129</f>
        <v>10.067582257384849</v>
      </c>
      <c r="F129" s="116">
        <f>+'I) Dépenses thématiques'!O129/'K) Plafonnement aide'!C129</f>
        <v>-2.8007911563697627</v>
      </c>
      <c r="G129" s="141">
        <f t="shared" si="5"/>
        <v>28.005530587646351</v>
      </c>
      <c r="H129" s="116">
        <f t="shared" si="6"/>
        <v>30.806321744016113</v>
      </c>
      <c r="I129" s="141">
        <f t="shared" si="7"/>
        <v>0</v>
      </c>
      <c r="J129" s="58">
        <f t="shared" si="4"/>
        <v>0</v>
      </c>
      <c r="K129" s="37"/>
    </row>
    <row r="130" spans="1:11" x14ac:dyDescent="0.25">
      <c r="A130" s="50">
        <f>'A) Base RI'!A132</f>
        <v>5613</v>
      </c>
      <c r="B130" s="301" t="str">
        <f>'A) Base RI'!B132</f>
        <v>Bourg-en-Lavaux</v>
      </c>
      <c r="C130" s="100">
        <f>'B) D RI'!U132</f>
        <v>293991.54098360648</v>
      </c>
      <c r="D130" s="116">
        <f>'E) Fact soc'!G136/C130</f>
        <v>18.342367390440995</v>
      </c>
      <c r="E130" s="141">
        <f>'H) Péréquation directe'!I141/C130</f>
        <v>12.116652346334153</v>
      </c>
      <c r="F130" s="116">
        <f>+'I) Dépenses thématiques'!O130/'K) Plafonnement aide'!C130</f>
        <v>-0.22927907091889749</v>
      </c>
      <c r="G130" s="141">
        <f t="shared" si="5"/>
        <v>30.229740665856248</v>
      </c>
      <c r="H130" s="116">
        <f t="shared" si="6"/>
        <v>30.459019736775147</v>
      </c>
      <c r="I130" s="141">
        <f t="shared" si="7"/>
        <v>0</v>
      </c>
      <c r="J130" s="58">
        <f t="shared" si="4"/>
        <v>0</v>
      </c>
      <c r="K130" s="37"/>
    </row>
    <row r="131" spans="1:11" x14ac:dyDescent="0.25">
      <c r="A131" s="50">
        <f>'A) Base RI'!A133</f>
        <v>5621</v>
      </c>
      <c r="B131" s="301" t="str">
        <f>'A) Base RI'!B133</f>
        <v>Aclens</v>
      </c>
      <c r="C131" s="100">
        <f>'B) D RI'!U133</f>
        <v>39594.745087976538</v>
      </c>
      <c r="D131" s="116">
        <f>'E) Fact soc'!G137/C131</f>
        <v>26.219220185190512</v>
      </c>
      <c r="E131" s="141">
        <f>'H) Péréquation directe'!I142/C131</f>
        <v>16.718602708612849</v>
      </c>
      <c r="F131" s="116">
        <f>+'I) Dépenses thématiques'!O131/'K) Plafonnement aide'!C131</f>
        <v>-0.8023610662127677</v>
      </c>
      <c r="G131" s="141">
        <f t="shared" si="5"/>
        <v>42.135461827590589</v>
      </c>
      <c r="H131" s="116">
        <f t="shared" si="6"/>
        <v>42.937822893803357</v>
      </c>
      <c r="I131" s="141">
        <f t="shared" si="7"/>
        <v>0</v>
      </c>
      <c r="J131" s="58">
        <f t="shared" si="4"/>
        <v>0</v>
      </c>
      <c r="K131" s="37"/>
    </row>
    <row r="132" spans="1:11" x14ac:dyDescent="0.25">
      <c r="A132" s="50">
        <f>'A) Base RI'!A134</f>
        <v>5622</v>
      </c>
      <c r="B132" s="301" t="str">
        <f>'A) Base RI'!B134</f>
        <v>Bremblens</v>
      </c>
      <c r="C132" s="100">
        <f>'B) D RI'!U134</f>
        <v>25350.281363636361</v>
      </c>
      <c r="D132" s="116">
        <f>'E) Fact soc'!G138/C132</f>
        <v>19.861413717800193</v>
      </c>
      <c r="E132" s="141">
        <f>'H) Péréquation directe'!I143/C132</f>
        <v>16.821828577662334</v>
      </c>
      <c r="F132" s="116">
        <f>+'I) Dépenses thématiques'!O132/'K) Plafonnement aide'!C132</f>
        <v>-0.20398027612176123</v>
      </c>
      <c r="G132" s="141">
        <f t="shared" si="5"/>
        <v>36.479262019340766</v>
      </c>
      <c r="H132" s="116">
        <f t="shared" si="6"/>
        <v>36.683242295462527</v>
      </c>
      <c r="I132" s="141">
        <f t="shared" si="7"/>
        <v>0</v>
      </c>
      <c r="J132" s="58">
        <f t="shared" si="4"/>
        <v>0</v>
      </c>
      <c r="K132" s="37"/>
    </row>
    <row r="133" spans="1:11" x14ac:dyDescent="0.25">
      <c r="A133" s="50">
        <f>'A) Base RI'!A135</f>
        <v>5623</v>
      </c>
      <c r="B133" s="301" t="str">
        <f>'A) Base RI'!B135</f>
        <v>Buchillon</v>
      </c>
      <c r="C133" s="100">
        <f>'B) D RI'!U135</f>
        <v>118338.72603773585</v>
      </c>
      <c r="D133" s="116">
        <f>'E) Fact soc'!G139/C133</f>
        <v>33.370505059418477</v>
      </c>
      <c r="E133" s="141">
        <f>'H) Péréquation directe'!I144/C133</f>
        <v>14.778214330446691</v>
      </c>
      <c r="F133" s="116">
        <f>+'I) Dépenses thématiques'!O133/'K) Plafonnement aide'!C133</f>
        <v>0</v>
      </c>
      <c r="G133" s="141">
        <f t="shared" si="5"/>
        <v>48.148719389865164</v>
      </c>
      <c r="H133" s="116">
        <f t="shared" si="6"/>
        <v>48.148719389865164</v>
      </c>
      <c r="I133" s="141">
        <f t="shared" si="7"/>
        <v>0</v>
      </c>
      <c r="J133" s="58">
        <f t="shared" ref="J133:J196" si="8">-I133*C133</f>
        <v>0</v>
      </c>
      <c r="K133" s="37"/>
    </row>
    <row r="134" spans="1:11" x14ac:dyDescent="0.25">
      <c r="A134" s="50">
        <f>'A) Base RI'!A136</f>
        <v>5624</v>
      </c>
      <c r="B134" s="301" t="str">
        <f>'A) Base RI'!B136</f>
        <v>Bussigny</v>
      </c>
      <c r="C134" s="100">
        <f>'B) D RI'!U136</f>
        <v>383784.23111111118</v>
      </c>
      <c r="D134" s="116">
        <f>'E) Fact soc'!G140/C134</f>
        <v>18.897611009818913</v>
      </c>
      <c r="E134" s="141">
        <f>'H) Péréquation directe'!I145/C134</f>
        <v>7.9765569621699113</v>
      </c>
      <c r="F134" s="116">
        <f>+'I) Dépenses thématiques'!O134/'K) Plafonnement aide'!C134</f>
        <v>-2.7874548479029357</v>
      </c>
      <c r="G134" s="141">
        <f t="shared" ref="G134:G197" si="9">SUM(D134:F134)</f>
        <v>24.08671312408589</v>
      </c>
      <c r="H134" s="116">
        <f t="shared" ref="H134:H197" si="10">G134-F134</f>
        <v>26.874167971988825</v>
      </c>
      <c r="I134" s="141">
        <f t="shared" ref="I134:I197" si="11">IF(H134&lt;I$4,H134-I$4,0)</f>
        <v>0</v>
      </c>
      <c r="J134" s="58">
        <f t="shared" si="8"/>
        <v>0</v>
      </c>
      <c r="K134" s="37"/>
    </row>
    <row r="135" spans="1:11" x14ac:dyDescent="0.25">
      <c r="A135" s="50">
        <f>'A) Base RI'!A137</f>
        <v>5625</v>
      </c>
      <c r="B135" s="301" t="str">
        <f>'A) Base RI'!B137</f>
        <v>Bussy-Chardonney</v>
      </c>
      <c r="C135" s="100">
        <f>'B) D RI'!U137</f>
        <v>13516.350747863249</v>
      </c>
      <c r="D135" s="116">
        <f>'E) Fact soc'!G141/C135</f>
        <v>19.500412576641054</v>
      </c>
      <c r="E135" s="141">
        <f>'H) Péréquation directe'!I146/C135</f>
        <v>10.077345570503049</v>
      </c>
      <c r="F135" s="116">
        <f>+'I) Dépenses thématiques'!O135/'K) Plafonnement aide'!C135</f>
        <v>-4.5875063739487247</v>
      </c>
      <c r="G135" s="141">
        <f t="shared" si="9"/>
        <v>24.990251773195379</v>
      </c>
      <c r="H135" s="116">
        <f t="shared" si="10"/>
        <v>29.577758147144102</v>
      </c>
      <c r="I135" s="141">
        <f t="shared" si="11"/>
        <v>0</v>
      </c>
      <c r="J135" s="58">
        <f t="shared" si="8"/>
        <v>0</v>
      </c>
      <c r="K135" s="37"/>
    </row>
    <row r="136" spans="1:11" x14ac:dyDescent="0.25">
      <c r="A136" s="50">
        <f>'A) Base RI'!A138</f>
        <v>5627</v>
      </c>
      <c r="B136" s="301" t="str">
        <f>'A) Base RI'!B138</f>
        <v>Chavannes-près-Renens</v>
      </c>
      <c r="C136" s="100">
        <f>'B) D RI'!U138</f>
        <v>182156.43953586498</v>
      </c>
      <c r="D136" s="116">
        <f>'E) Fact soc'!G142/C136</f>
        <v>18.173256327112142</v>
      </c>
      <c r="E136" s="141">
        <f>'H) Péréquation directe'!I147/C136</f>
        <v>-22.582011142013396</v>
      </c>
      <c r="F136" s="116">
        <f>+'I) Dépenses thématiques'!O136/'K) Plafonnement aide'!C136</f>
        <v>-6.8765321089428406</v>
      </c>
      <c r="G136" s="141">
        <f t="shared" si="9"/>
        <v>-11.285286923844094</v>
      </c>
      <c r="H136" s="116">
        <f t="shared" si="10"/>
        <v>-4.4087548149012532</v>
      </c>
      <c r="I136" s="141">
        <f t="shared" si="11"/>
        <v>0</v>
      </c>
      <c r="J136" s="58">
        <f t="shared" si="8"/>
        <v>0</v>
      </c>
      <c r="K136" s="37"/>
    </row>
    <row r="137" spans="1:11" x14ac:dyDescent="0.25">
      <c r="A137" s="50">
        <f>'A) Base RI'!A139</f>
        <v>5628</v>
      </c>
      <c r="B137" s="301" t="str">
        <f>'A) Base RI'!B139</f>
        <v>Chigny</v>
      </c>
      <c r="C137" s="100">
        <f>'B) D RI'!U139</f>
        <v>27139.331451612899</v>
      </c>
      <c r="D137" s="116">
        <f>'E) Fact soc'!G143/C137</f>
        <v>23.438095978088615</v>
      </c>
      <c r="E137" s="141">
        <f>'H) Péréquation directe'!I148/C137</f>
        <v>16.668688834989371</v>
      </c>
      <c r="F137" s="116">
        <f>+'I) Dépenses thématiques'!O137/'K) Plafonnement aide'!C137</f>
        <v>0</v>
      </c>
      <c r="G137" s="141">
        <f t="shared" si="9"/>
        <v>40.106784813077986</v>
      </c>
      <c r="H137" s="116">
        <f t="shared" si="10"/>
        <v>40.106784813077986</v>
      </c>
      <c r="I137" s="141">
        <f t="shared" si="11"/>
        <v>0</v>
      </c>
      <c r="J137" s="58">
        <f t="shared" si="8"/>
        <v>0</v>
      </c>
      <c r="K137" s="37"/>
    </row>
    <row r="138" spans="1:11" x14ac:dyDescent="0.25">
      <c r="A138" s="50">
        <f>'A) Base RI'!A140</f>
        <v>5629</v>
      </c>
      <c r="B138" s="301" t="str">
        <f>'A) Base RI'!B140</f>
        <v>Clarmont</v>
      </c>
      <c r="C138" s="100">
        <f>'B) D RI'!U140</f>
        <v>6960.0919999999987</v>
      </c>
      <c r="D138" s="116">
        <f>'E) Fact soc'!G144/C138</f>
        <v>18.938787962191906</v>
      </c>
      <c r="E138" s="141">
        <f>'H) Péréquation directe'!I149/C138</f>
        <v>11.11432620297329</v>
      </c>
      <c r="F138" s="116">
        <f>+'I) Dépenses thématiques'!O138/'K) Plafonnement aide'!C138</f>
        <v>-5.4915075578453756</v>
      </c>
      <c r="G138" s="141">
        <f t="shared" si="9"/>
        <v>24.561606607319824</v>
      </c>
      <c r="H138" s="116">
        <f t="shared" si="10"/>
        <v>30.053114165165198</v>
      </c>
      <c r="I138" s="141">
        <f t="shared" si="11"/>
        <v>0</v>
      </c>
      <c r="J138" s="58">
        <f t="shared" si="8"/>
        <v>0</v>
      </c>
      <c r="K138" s="37"/>
    </row>
    <row r="139" spans="1:11" x14ac:dyDescent="0.25">
      <c r="A139" s="50">
        <f>'A) Base RI'!A141</f>
        <v>5631</v>
      </c>
      <c r="B139" s="301" t="str">
        <f>'A) Base RI'!B141</f>
        <v>Denens</v>
      </c>
      <c r="C139" s="100">
        <f>'B) D RI'!U141</f>
        <v>43908.937857142853</v>
      </c>
      <c r="D139" s="116">
        <f>'E) Fact soc'!G145/C139</f>
        <v>18.393807947591615</v>
      </c>
      <c r="E139" s="141">
        <f>'H) Péréquation directe'!I150/C139</f>
        <v>17.092051629081485</v>
      </c>
      <c r="F139" s="116">
        <f>+'I) Dépenses thématiques'!O139/'K) Plafonnement aide'!C139</f>
        <v>0</v>
      </c>
      <c r="G139" s="141">
        <f t="shared" si="9"/>
        <v>35.4858595766731</v>
      </c>
      <c r="H139" s="116">
        <f t="shared" si="10"/>
        <v>35.4858595766731</v>
      </c>
      <c r="I139" s="141">
        <f t="shared" si="11"/>
        <v>0</v>
      </c>
      <c r="J139" s="58">
        <f t="shared" si="8"/>
        <v>0</v>
      </c>
      <c r="K139" s="37"/>
    </row>
    <row r="140" spans="1:11" x14ac:dyDescent="0.25">
      <c r="A140" s="50">
        <f>'A) Base RI'!A142</f>
        <v>5632</v>
      </c>
      <c r="B140" s="301" t="str">
        <f>'A) Base RI'!B142</f>
        <v>Denges</v>
      </c>
      <c r="C140" s="100">
        <f>'B) D RI'!U142</f>
        <v>69010.195161290321</v>
      </c>
      <c r="D140" s="116">
        <f>'E) Fact soc'!G146/C140</f>
        <v>18.348790386203557</v>
      </c>
      <c r="E140" s="141">
        <f>'H) Péréquation directe'!I151/C140</f>
        <v>13.659902633851681</v>
      </c>
      <c r="F140" s="116">
        <f>+'I) Dépenses thématiques'!O140/'K) Plafonnement aide'!C140</f>
        <v>-1.1681898575043661</v>
      </c>
      <c r="G140" s="141">
        <f t="shared" si="9"/>
        <v>30.840503162550874</v>
      </c>
      <c r="H140" s="116">
        <f t="shared" si="10"/>
        <v>32.00869302005524</v>
      </c>
      <c r="I140" s="141">
        <f t="shared" si="11"/>
        <v>0</v>
      </c>
      <c r="J140" s="58">
        <f t="shared" si="8"/>
        <v>0</v>
      </c>
      <c r="K140" s="37"/>
    </row>
    <row r="141" spans="1:11" x14ac:dyDescent="0.25">
      <c r="A141" s="50">
        <f>'A) Base RI'!A143</f>
        <v>5633</v>
      </c>
      <c r="B141" s="301" t="str">
        <f>'A) Base RI'!B143</f>
        <v>Echandens</v>
      </c>
      <c r="C141" s="100">
        <f>'B) D RI'!U143</f>
        <v>138978.74822580643</v>
      </c>
      <c r="D141" s="116">
        <f>'E) Fact soc'!G147/C141</f>
        <v>16.072238659668905</v>
      </c>
      <c r="E141" s="141">
        <f>'H) Péréquation directe'!I152/C141</f>
        <v>13.761722405867941</v>
      </c>
      <c r="F141" s="116">
        <f>+'I) Dépenses thématiques'!O141/'K) Plafonnement aide'!C141</f>
        <v>-3.5075547270824465</v>
      </c>
      <c r="G141" s="141">
        <f t="shared" si="9"/>
        <v>26.326406338454401</v>
      </c>
      <c r="H141" s="116">
        <f t="shared" si="10"/>
        <v>29.833961065536847</v>
      </c>
      <c r="I141" s="141">
        <f t="shared" si="11"/>
        <v>0</v>
      </c>
      <c r="J141" s="58">
        <f t="shared" si="8"/>
        <v>0</v>
      </c>
      <c r="K141" s="37"/>
    </row>
    <row r="142" spans="1:11" x14ac:dyDescent="0.25">
      <c r="A142" s="50">
        <f>'A) Base RI'!A144</f>
        <v>5634</v>
      </c>
      <c r="B142" s="301" t="str">
        <f>'A) Base RI'!B144</f>
        <v>Echichens</v>
      </c>
      <c r="C142" s="100">
        <f>'B) D RI'!U144</f>
        <v>173327.76338235298</v>
      </c>
      <c r="D142" s="116">
        <f>'E) Fact soc'!G148/C142</f>
        <v>18.022884093185748</v>
      </c>
      <c r="E142" s="141">
        <f>'H) Péréquation directe'!I153/C142</f>
        <v>14.147424611811189</v>
      </c>
      <c r="F142" s="116">
        <f>+'I) Dépenses thématiques'!O142/'K) Plafonnement aide'!C142</f>
        <v>0</v>
      </c>
      <c r="G142" s="141">
        <f t="shared" si="9"/>
        <v>32.170308704996941</v>
      </c>
      <c r="H142" s="116">
        <f t="shared" si="10"/>
        <v>32.170308704996941</v>
      </c>
      <c r="I142" s="141">
        <f t="shared" si="11"/>
        <v>0</v>
      </c>
      <c r="J142" s="58">
        <f t="shared" si="8"/>
        <v>0</v>
      </c>
      <c r="K142" s="37"/>
    </row>
    <row r="143" spans="1:11" x14ac:dyDescent="0.25">
      <c r="A143" s="50">
        <f>'A) Base RI'!A145</f>
        <v>5635</v>
      </c>
      <c r="B143" s="301" t="str">
        <f>'A) Base RI'!B145</f>
        <v>Ecublens</v>
      </c>
      <c r="C143" s="100">
        <f>'B) D RI'!U145</f>
        <v>437106.29065104178</v>
      </c>
      <c r="D143" s="116">
        <f>'E) Fact soc'!G149/C143</f>
        <v>17.774300963748189</v>
      </c>
      <c r="E143" s="141">
        <f>'H) Péréquation directe'!I154/C143</f>
        <v>-4.0220686575474049</v>
      </c>
      <c r="F143" s="116">
        <f>+'I) Dépenses thématiques'!O143/'K) Plafonnement aide'!C143</f>
        <v>-6.2964569385075482</v>
      </c>
      <c r="G143" s="141">
        <f t="shared" si="9"/>
        <v>7.4557753676932368</v>
      </c>
      <c r="H143" s="116">
        <f t="shared" si="10"/>
        <v>13.752232306200785</v>
      </c>
      <c r="I143" s="141">
        <f t="shared" si="11"/>
        <v>0</v>
      </c>
      <c r="J143" s="58">
        <f t="shared" si="8"/>
        <v>0</v>
      </c>
      <c r="K143" s="37"/>
    </row>
    <row r="144" spans="1:11" x14ac:dyDescent="0.25">
      <c r="A144" s="50">
        <f>'A) Base RI'!A146</f>
        <v>5636</v>
      </c>
      <c r="B144" s="301" t="str">
        <f>'A) Base RI'!B146</f>
        <v>Etoy</v>
      </c>
      <c r="C144" s="100">
        <f>'B) D RI'!U146</f>
        <v>187871.92573770491</v>
      </c>
      <c r="D144" s="116">
        <f>'E) Fact soc'!G150/C144</f>
        <v>22.966914242743169</v>
      </c>
      <c r="E144" s="141">
        <f>'H) Péréquation directe'!I155/C144</f>
        <v>14.420491868313084</v>
      </c>
      <c r="F144" s="116">
        <f>+'I) Dépenses thématiques'!O144/'K) Plafonnement aide'!C144</f>
        <v>0</v>
      </c>
      <c r="G144" s="141">
        <f t="shared" si="9"/>
        <v>37.387406111056251</v>
      </c>
      <c r="H144" s="116">
        <f t="shared" si="10"/>
        <v>37.387406111056251</v>
      </c>
      <c r="I144" s="141">
        <f t="shared" si="11"/>
        <v>0</v>
      </c>
      <c r="J144" s="58">
        <f t="shared" si="8"/>
        <v>0</v>
      </c>
      <c r="K144" s="37"/>
    </row>
    <row r="145" spans="1:11" x14ac:dyDescent="0.25">
      <c r="A145" s="50">
        <f>'A) Base RI'!A147</f>
        <v>5637</v>
      </c>
      <c r="B145" s="301" t="str">
        <f>'A) Base RI'!B147</f>
        <v>Lavigny</v>
      </c>
      <c r="C145" s="100">
        <f>'B) D RI'!U147</f>
        <v>35857.018299776282</v>
      </c>
      <c r="D145" s="116">
        <f>'E) Fact soc'!G151/C145</f>
        <v>18.426580833894352</v>
      </c>
      <c r="E145" s="141">
        <f>'H) Péréquation directe'!I156/C145</f>
        <v>10.568250594676368</v>
      </c>
      <c r="F145" s="116">
        <f>+'I) Dépenses thématiques'!O145/'K) Plafonnement aide'!C145</f>
        <v>-5.4568371115549104</v>
      </c>
      <c r="G145" s="141">
        <f t="shared" si="9"/>
        <v>23.537994317015809</v>
      </c>
      <c r="H145" s="116">
        <f t="shared" si="10"/>
        <v>28.99483142857072</v>
      </c>
      <c r="I145" s="141">
        <f t="shared" si="11"/>
        <v>0</v>
      </c>
      <c r="J145" s="58">
        <f t="shared" si="8"/>
        <v>0</v>
      </c>
      <c r="K145" s="37"/>
    </row>
    <row r="146" spans="1:11" x14ac:dyDescent="0.25">
      <c r="A146" s="50">
        <f>'A) Base RI'!A148</f>
        <v>5638</v>
      </c>
      <c r="B146" s="301" t="str">
        <f>'A) Base RI'!B148</f>
        <v>Lonay</v>
      </c>
      <c r="C146" s="100">
        <f>'B) D RI'!U148</f>
        <v>168179.65436363633</v>
      </c>
      <c r="D146" s="116">
        <f>'E) Fact soc'!G152/C146</f>
        <v>24.509916302852332</v>
      </c>
      <c r="E146" s="141">
        <f>'H) Péréquation directe'!I157/C146</f>
        <v>14.58328573850301</v>
      </c>
      <c r="F146" s="116">
        <f>+'I) Dépenses thématiques'!O146/'K) Plafonnement aide'!C146</f>
        <v>-1.8905698488566425</v>
      </c>
      <c r="G146" s="141">
        <f t="shared" si="9"/>
        <v>37.202632192498697</v>
      </c>
      <c r="H146" s="116">
        <f t="shared" si="10"/>
        <v>39.09320204135534</v>
      </c>
      <c r="I146" s="141">
        <f t="shared" si="11"/>
        <v>0</v>
      </c>
      <c r="J146" s="58">
        <f t="shared" si="8"/>
        <v>0</v>
      </c>
      <c r="K146" s="37"/>
    </row>
    <row r="147" spans="1:11" x14ac:dyDescent="0.25">
      <c r="A147" s="50">
        <f>'A) Base RI'!A149</f>
        <v>5639</v>
      </c>
      <c r="B147" s="301" t="str">
        <f>'A) Base RI'!B149</f>
        <v>Lully</v>
      </c>
      <c r="C147" s="100">
        <f>'B) D RI'!U149</f>
        <v>46761.274262295083</v>
      </c>
      <c r="D147" s="116">
        <f>'E) Fact soc'!G153/C147</f>
        <v>18.038977701604125</v>
      </c>
      <c r="E147" s="141">
        <f>'H) Péréquation directe'!I158/C147</f>
        <v>17.081443546019678</v>
      </c>
      <c r="F147" s="116">
        <f>+'I) Dépenses thématiques'!O147/'K) Plafonnement aide'!C147</f>
        <v>0</v>
      </c>
      <c r="G147" s="141">
        <f t="shared" si="9"/>
        <v>35.120421247623803</v>
      </c>
      <c r="H147" s="116">
        <f t="shared" si="10"/>
        <v>35.120421247623803</v>
      </c>
      <c r="I147" s="141">
        <f t="shared" si="11"/>
        <v>0</v>
      </c>
      <c r="J147" s="58">
        <f t="shared" si="8"/>
        <v>0</v>
      </c>
      <c r="K147" s="37"/>
    </row>
    <row r="148" spans="1:11" x14ac:dyDescent="0.25">
      <c r="A148" s="50">
        <f>'A) Base RI'!A150</f>
        <v>5640</v>
      </c>
      <c r="B148" s="301" t="str">
        <f>'A) Base RI'!B150</f>
        <v>Lussy-sur-Morges</v>
      </c>
      <c r="C148" s="100">
        <f>'B) D RI'!U150</f>
        <v>53028.3909090909</v>
      </c>
      <c r="D148" s="116">
        <f>'E) Fact soc'!G154/C148</f>
        <v>24.327256977269567</v>
      </c>
      <c r="E148" s="141">
        <f>'H) Péréquation directe'!I159/C148</f>
        <v>16.631979835909274</v>
      </c>
      <c r="F148" s="116">
        <f>+'I) Dépenses thématiques'!O148/'K) Plafonnement aide'!C148</f>
        <v>0</v>
      </c>
      <c r="G148" s="141">
        <f t="shared" si="9"/>
        <v>40.95923681317884</v>
      </c>
      <c r="H148" s="116">
        <f t="shared" si="10"/>
        <v>40.95923681317884</v>
      </c>
      <c r="I148" s="141">
        <f t="shared" si="11"/>
        <v>0</v>
      </c>
      <c r="J148" s="58">
        <f t="shared" si="8"/>
        <v>0</v>
      </c>
      <c r="K148" s="37"/>
    </row>
    <row r="149" spans="1:11" x14ac:dyDescent="0.25">
      <c r="A149" s="50">
        <f>'A) Base RI'!A151</f>
        <v>5642</v>
      </c>
      <c r="B149" s="301" t="str">
        <f>'A) Base RI'!B151</f>
        <v>Morges</v>
      </c>
      <c r="C149" s="100">
        <f>'B) D RI'!U151</f>
        <v>759222.5945985401</v>
      </c>
      <c r="D149" s="116">
        <f>'E) Fact soc'!G155/C149</f>
        <v>19.512680429453468</v>
      </c>
      <c r="E149" s="141">
        <f>'H) Péréquation directe'!I160/C149</f>
        <v>5.1505399186977732</v>
      </c>
      <c r="F149" s="116">
        <f>+'I) Dépenses thématiques'!O149/'K) Plafonnement aide'!C149</f>
        <v>-1.656310642289043</v>
      </c>
      <c r="G149" s="141">
        <f t="shared" si="9"/>
        <v>23.006909705862199</v>
      </c>
      <c r="H149" s="116">
        <f t="shared" si="10"/>
        <v>24.663220348151242</v>
      </c>
      <c r="I149" s="141">
        <f t="shared" si="11"/>
        <v>0</v>
      </c>
      <c r="J149" s="58">
        <f t="shared" si="8"/>
        <v>0</v>
      </c>
      <c r="K149" s="37"/>
    </row>
    <row r="150" spans="1:11" x14ac:dyDescent="0.25">
      <c r="A150" s="50">
        <f>'A) Base RI'!A152</f>
        <v>5643</v>
      </c>
      <c r="B150" s="301" t="str">
        <f>'A) Base RI'!B152</f>
        <v>Préverenges</v>
      </c>
      <c r="C150" s="100">
        <f>'B) D RI'!U152</f>
        <v>260053.614375</v>
      </c>
      <c r="D150" s="116">
        <f>'E) Fact soc'!G156/C150</f>
        <v>15.664386526347261</v>
      </c>
      <c r="E150" s="141">
        <f>'H) Péréquation directe'!I161/C150</f>
        <v>11.379820511150161</v>
      </c>
      <c r="F150" s="116">
        <f>+'I) Dépenses thématiques'!O150/'K) Plafonnement aide'!C150</f>
        <v>0</v>
      </c>
      <c r="G150" s="141">
        <f t="shared" si="9"/>
        <v>27.044207037497422</v>
      </c>
      <c r="H150" s="116">
        <f t="shared" si="10"/>
        <v>27.044207037497422</v>
      </c>
      <c r="I150" s="141">
        <f t="shared" si="11"/>
        <v>0</v>
      </c>
      <c r="J150" s="58">
        <f t="shared" si="8"/>
        <v>0</v>
      </c>
      <c r="K150" s="37"/>
    </row>
    <row r="151" spans="1:11" x14ac:dyDescent="0.25">
      <c r="A151" s="50">
        <f>'A) Base RI'!A153</f>
        <v>5644</v>
      </c>
      <c r="B151" s="301" t="str">
        <f>'A) Base RI'!B153</f>
        <v>Reverolle</v>
      </c>
      <c r="C151" s="100">
        <f>'B) D RI'!U153</f>
        <v>13341.614868421055</v>
      </c>
      <c r="D151" s="116">
        <f>'E) Fact soc'!G157/C151</f>
        <v>17.86692888985468</v>
      </c>
      <c r="E151" s="141">
        <f>'H) Péréquation directe'!I162/C151</f>
        <v>8.0208526809587841</v>
      </c>
      <c r="F151" s="116">
        <f>+'I) Dépenses thématiques'!O151/'K) Plafonnement aide'!C151</f>
        <v>-3.9474131948856828</v>
      </c>
      <c r="G151" s="141">
        <f t="shared" si="9"/>
        <v>21.940368375927783</v>
      </c>
      <c r="H151" s="116">
        <f t="shared" si="10"/>
        <v>25.887781570813466</v>
      </c>
      <c r="I151" s="141">
        <f t="shared" si="11"/>
        <v>0</v>
      </c>
      <c r="J151" s="58">
        <f t="shared" si="8"/>
        <v>0</v>
      </c>
      <c r="K151" s="37"/>
    </row>
    <row r="152" spans="1:11" x14ac:dyDescent="0.25">
      <c r="A152" s="50">
        <f>'A) Base RI'!A154</f>
        <v>5645</v>
      </c>
      <c r="B152" s="301" t="str">
        <f>'A) Base RI'!B154</f>
        <v>Romanel-sur-Morges</v>
      </c>
      <c r="C152" s="100">
        <f>'B) D RI'!U154</f>
        <v>26613.952053571436</v>
      </c>
      <c r="D152" s="116">
        <f>'E) Fact soc'!G158/C152</f>
        <v>18.192000221896947</v>
      </c>
      <c r="E152" s="141">
        <f>'H) Péréquation directe'!I163/C152</f>
        <v>17.109696166705291</v>
      </c>
      <c r="F152" s="116">
        <f>+'I) Dépenses thématiques'!O152/'K) Plafonnement aide'!C152</f>
        <v>-8.3337269207297338E-2</v>
      </c>
      <c r="G152" s="141">
        <f t="shared" si="9"/>
        <v>35.21835911939494</v>
      </c>
      <c r="H152" s="116">
        <f t="shared" si="10"/>
        <v>35.301696388602238</v>
      </c>
      <c r="I152" s="141">
        <f t="shared" si="11"/>
        <v>0</v>
      </c>
      <c r="J152" s="58">
        <f t="shared" si="8"/>
        <v>0</v>
      </c>
      <c r="K152" s="37"/>
    </row>
    <row r="153" spans="1:11" x14ac:dyDescent="0.25">
      <c r="A153" s="50">
        <f>'A) Base RI'!A155</f>
        <v>5646</v>
      </c>
      <c r="B153" s="301" t="str">
        <f>'A) Base RI'!B155</f>
        <v>Saint-Prex</v>
      </c>
      <c r="C153" s="100">
        <f>'B) D RI'!U155</f>
        <v>504902.63036363642</v>
      </c>
      <c r="D153" s="116">
        <f>'E) Fact soc'!G159/C153</f>
        <v>23.809169662703667</v>
      </c>
      <c r="E153" s="141">
        <f>'H) Péréquation directe'!I164/C153</f>
        <v>13.118913109577949</v>
      </c>
      <c r="F153" s="116">
        <f>+'I) Dépenses thématiques'!O153/'K) Plafonnement aide'!C153</f>
        <v>0</v>
      </c>
      <c r="G153" s="141">
        <f t="shared" si="9"/>
        <v>36.928082772281613</v>
      </c>
      <c r="H153" s="116">
        <f t="shared" si="10"/>
        <v>36.928082772281613</v>
      </c>
      <c r="I153" s="141">
        <f t="shared" si="11"/>
        <v>0</v>
      </c>
      <c r="J153" s="58">
        <f t="shared" si="8"/>
        <v>0</v>
      </c>
      <c r="K153" s="37"/>
    </row>
    <row r="154" spans="1:11" x14ac:dyDescent="0.25">
      <c r="A154" s="50">
        <f>'A) Base RI'!A156</f>
        <v>5648</v>
      </c>
      <c r="B154" s="301" t="str">
        <f>'A) Base RI'!B156</f>
        <v>Saint-Sulpice</v>
      </c>
      <c r="C154" s="100">
        <f>'B) D RI'!U156</f>
        <v>275285.22849999997</v>
      </c>
      <c r="D154" s="116">
        <f>'E) Fact soc'!G160/C154</f>
        <v>20.546228945118241</v>
      </c>
      <c r="E154" s="141">
        <f>'H) Péréquation directe'!I165/C154</f>
        <v>12.850240995070822</v>
      </c>
      <c r="F154" s="116">
        <f>+'I) Dépenses thématiques'!O154/'K) Plafonnement aide'!C154</f>
        <v>-1.7264099732137821</v>
      </c>
      <c r="G154" s="141">
        <f t="shared" si="9"/>
        <v>31.67005996697528</v>
      </c>
      <c r="H154" s="116">
        <f t="shared" si="10"/>
        <v>33.396469940189064</v>
      </c>
      <c r="I154" s="141">
        <f t="shared" si="11"/>
        <v>0</v>
      </c>
      <c r="J154" s="58">
        <f t="shared" si="8"/>
        <v>0</v>
      </c>
      <c r="K154" s="37"/>
    </row>
    <row r="155" spans="1:11" x14ac:dyDescent="0.25">
      <c r="A155" s="50">
        <f>'A) Base RI'!A157</f>
        <v>5649</v>
      </c>
      <c r="B155" s="301" t="str">
        <f>'A) Base RI'!B157</f>
        <v>Tolochenaz</v>
      </c>
      <c r="C155" s="100">
        <f>'B) D RI'!U157</f>
        <v>134431.35138461535</v>
      </c>
      <c r="D155" s="116">
        <f>'E) Fact soc'!G161/C155</f>
        <v>20.003539171795882</v>
      </c>
      <c r="E155" s="141">
        <f>'H) Péréquation directe'!I166/C155</f>
        <v>15.120229176791339</v>
      </c>
      <c r="F155" s="116">
        <f>+'I) Dépenses thématiques'!O155/'K) Plafonnement aide'!C155</f>
        <v>0</v>
      </c>
      <c r="G155" s="141">
        <f t="shared" si="9"/>
        <v>35.12376834858722</v>
      </c>
      <c r="H155" s="116">
        <f t="shared" si="10"/>
        <v>35.12376834858722</v>
      </c>
      <c r="I155" s="141">
        <f t="shared" si="11"/>
        <v>0</v>
      </c>
      <c r="J155" s="58">
        <f t="shared" si="8"/>
        <v>0</v>
      </c>
      <c r="K155" s="37"/>
    </row>
    <row r="156" spans="1:11" x14ac:dyDescent="0.25">
      <c r="A156" s="50">
        <f>'A) Base RI'!A158</f>
        <v>5650</v>
      </c>
      <c r="B156" s="301" t="str">
        <f>'A) Base RI'!B158</f>
        <v>Vaux-sur-Morges</v>
      </c>
      <c r="C156" s="100">
        <f>'B) D RI'!U158</f>
        <v>185075.58696428573</v>
      </c>
      <c r="D156" s="116">
        <f>'E) Fact soc'!G162/C156</f>
        <v>44.340026592244755</v>
      </c>
      <c r="E156" s="141">
        <f>'H) Péréquation directe'!I167/C156</f>
        <v>13.090504629084466</v>
      </c>
      <c r="F156" s="116">
        <f>+'I) Dépenses thématiques'!O156/'K) Plafonnement aide'!C156</f>
        <v>0</v>
      </c>
      <c r="G156" s="141">
        <f t="shared" si="9"/>
        <v>57.430531221329218</v>
      </c>
      <c r="H156" s="116">
        <f t="shared" si="10"/>
        <v>57.430531221329218</v>
      </c>
      <c r="I156" s="141">
        <f t="shared" si="11"/>
        <v>0</v>
      </c>
      <c r="J156" s="58">
        <f t="shared" si="8"/>
        <v>0</v>
      </c>
      <c r="K156" s="37"/>
    </row>
    <row r="157" spans="1:11" x14ac:dyDescent="0.25">
      <c r="A157" s="50">
        <f>'A) Base RI'!A159</f>
        <v>5651</v>
      </c>
      <c r="B157" s="301" t="str">
        <f>'A) Base RI'!B159</f>
        <v>Villars-Sainte-Croix</v>
      </c>
      <c r="C157" s="100">
        <f>'B) D RI'!U159</f>
        <v>58092.123220338974</v>
      </c>
      <c r="D157" s="116">
        <f>'E) Fact soc'!G163/C157</f>
        <v>18.347993427974004</v>
      </c>
      <c r="E157" s="141">
        <f>'H) Péréquation directe'!I168/C157</f>
        <v>17.052965954681291</v>
      </c>
      <c r="F157" s="116">
        <f>+'I) Dépenses thématiques'!O157/'K) Plafonnement aide'!C157</f>
        <v>0</v>
      </c>
      <c r="G157" s="141">
        <f t="shared" si="9"/>
        <v>35.400959382655294</v>
      </c>
      <c r="H157" s="116">
        <f t="shared" si="10"/>
        <v>35.400959382655294</v>
      </c>
      <c r="I157" s="141">
        <f t="shared" si="11"/>
        <v>0</v>
      </c>
      <c r="J157" s="58">
        <f t="shared" si="8"/>
        <v>0</v>
      </c>
      <c r="K157" s="37"/>
    </row>
    <row r="158" spans="1:11" x14ac:dyDescent="0.25">
      <c r="A158" s="50">
        <f>'A) Base RI'!A160</f>
        <v>5652</v>
      </c>
      <c r="B158" s="301" t="str">
        <f>'A) Base RI'!B160</f>
        <v>Villars-sous-Yens</v>
      </c>
      <c r="C158" s="100">
        <f>'B) D RI'!U160</f>
        <v>29800.949188596489</v>
      </c>
      <c r="D158" s="116">
        <f>'E) Fact soc'!G164/C158</f>
        <v>15.696190916590416</v>
      </c>
      <c r="E158" s="141">
        <f>'H) Péréquation directe'!I169/C158</f>
        <v>16.943214571112595</v>
      </c>
      <c r="F158" s="116">
        <f>+'I) Dépenses thématiques'!O158/'K) Plafonnement aide'!C158</f>
        <v>0</v>
      </c>
      <c r="G158" s="141">
        <f t="shared" si="9"/>
        <v>32.639405487703009</v>
      </c>
      <c r="H158" s="116">
        <f t="shared" si="10"/>
        <v>32.639405487703009</v>
      </c>
      <c r="I158" s="141">
        <f t="shared" si="11"/>
        <v>0</v>
      </c>
      <c r="J158" s="58">
        <f t="shared" si="8"/>
        <v>0</v>
      </c>
      <c r="K158" s="37"/>
    </row>
    <row r="159" spans="1:11" x14ac:dyDescent="0.25">
      <c r="A159" s="50">
        <f>'A) Base RI'!A161</f>
        <v>5653</v>
      </c>
      <c r="B159" s="301" t="str">
        <f>'A) Base RI'!B161</f>
        <v>Vufflens-le-Château</v>
      </c>
      <c r="C159" s="100">
        <f>'B) D RI'!U161</f>
        <v>61961.229272727272</v>
      </c>
      <c r="D159" s="116">
        <f>'E) Fact soc'!G165/C159</f>
        <v>20.365597745559086</v>
      </c>
      <c r="E159" s="141">
        <f>'H) Péréquation directe'!I170/C159</f>
        <v>16.841146705325521</v>
      </c>
      <c r="F159" s="116">
        <f>+'I) Dépenses thématiques'!O159/'K) Plafonnement aide'!C159</f>
        <v>0</v>
      </c>
      <c r="G159" s="141">
        <f t="shared" si="9"/>
        <v>37.206744450884607</v>
      </c>
      <c r="H159" s="116">
        <f t="shared" si="10"/>
        <v>37.206744450884607</v>
      </c>
      <c r="I159" s="141">
        <f t="shared" si="11"/>
        <v>0</v>
      </c>
      <c r="J159" s="58">
        <f t="shared" si="8"/>
        <v>0</v>
      </c>
      <c r="K159" s="37"/>
    </row>
    <row r="160" spans="1:11" x14ac:dyDescent="0.25">
      <c r="A160" s="50">
        <f>'A) Base RI'!A162</f>
        <v>5654</v>
      </c>
      <c r="B160" s="301" t="str">
        <f>'A) Base RI'!B162</f>
        <v>Vullierens</v>
      </c>
      <c r="C160" s="100">
        <f>'B) D RI'!U162</f>
        <v>19280.901315789473</v>
      </c>
      <c r="D160" s="116">
        <f>'E) Fact soc'!G166/C160</f>
        <v>17.58149495772194</v>
      </c>
      <c r="E160" s="141">
        <f>'H) Péréquation directe'!I171/C160</f>
        <v>12.113061051473675</v>
      </c>
      <c r="F160" s="116">
        <f>+'I) Dépenses thématiques'!O160/'K) Plafonnement aide'!C160</f>
        <v>0</v>
      </c>
      <c r="G160" s="141">
        <f t="shared" si="9"/>
        <v>29.694556009195615</v>
      </c>
      <c r="H160" s="116">
        <f t="shared" si="10"/>
        <v>29.694556009195615</v>
      </c>
      <c r="I160" s="141">
        <f t="shared" si="11"/>
        <v>0</v>
      </c>
      <c r="J160" s="58">
        <f t="shared" si="8"/>
        <v>0</v>
      </c>
      <c r="K160" s="37"/>
    </row>
    <row r="161" spans="1:11" x14ac:dyDescent="0.25">
      <c r="A161" s="50">
        <f>'A) Base RI'!A163</f>
        <v>5655</v>
      </c>
      <c r="B161" s="301" t="str">
        <f>'A) Base RI'!B163</f>
        <v>Yens</v>
      </c>
      <c r="C161" s="100">
        <f>'B) D RI'!U163</f>
        <v>87292.806849315064</v>
      </c>
      <c r="D161" s="116">
        <f>'E) Fact soc'!G167/C161</f>
        <v>18.470208910794252</v>
      </c>
      <c r="E161" s="141">
        <f>'H) Péréquation directe'!I172/C161</f>
        <v>15.807001163277082</v>
      </c>
      <c r="F161" s="116">
        <f>+'I) Dépenses thématiques'!O161/'K) Plafonnement aide'!C161</f>
        <v>0</v>
      </c>
      <c r="G161" s="141">
        <f t="shared" si="9"/>
        <v>34.277210074071334</v>
      </c>
      <c r="H161" s="116">
        <f t="shared" si="10"/>
        <v>34.277210074071334</v>
      </c>
      <c r="I161" s="141">
        <f t="shared" si="11"/>
        <v>0</v>
      </c>
      <c r="J161" s="58">
        <f t="shared" si="8"/>
        <v>0</v>
      </c>
      <c r="K161" s="37"/>
    </row>
    <row r="162" spans="1:11" x14ac:dyDescent="0.25">
      <c r="A162" s="50">
        <f>'A) Base RI'!A164</f>
        <v>5661</v>
      </c>
      <c r="B162" s="301" t="str">
        <f>'A) Base RI'!B164</f>
        <v>Boulens</v>
      </c>
      <c r="C162" s="100">
        <f>'B) D RI'!U164</f>
        <v>10339.57164556962</v>
      </c>
      <c r="D162" s="116">
        <f>'E) Fact soc'!G168/C162</f>
        <v>16.059059779129651</v>
      </c>
      <c r="E162" s="141">
        <f>'H) Péréquation directe'!I173/C162</f>
        <v>-1.4190038084132723</v>
      </c>
      <c r="F162" s="116">
        <f>+'I) Dépenses thématiques'!O162/'K) Plafonnement aide'!C162</f>
        <v>-1.3018978157772445</v>
      </c>
      <c r="G162" s="141">
        <f t="shared" si="9"/>
        <v>13.338158154939133</v>
      </c>
      <c r="H162" s="116">
        <f t="shared" si="10"/>
        <v>14.640055970716379</v>
      </c>
      <c r="I162" s="141">
        <f t="shared" si="11"/>
        <v>0</v>
      </c>
      <c r="J162" s="58">
        <f t="shared" si="8"/>
        <v>0</v>
      </c>
      <c r="K162" s="37"/>
    </row>
    <row r="163" spans="1:11" x14ac:dyDescent="0.25">
      <c r="A163" s="50">
        <f>'A) Base RI'!A165</f>
        <v>5663</v>
      </c>
      <c r="B163" s="301" t="str">
        <f>'A) Base RI'!B165</f>
        <v>Bussy-sur-Moudon</v>
      </c>
      <c r="C163" s="100">
        <f>'B) D RI'!U165</f>
        <v>5294.5642500000013</v>
      </c>
      <c r="D163" s="116">
        <f>'E) Fact soc'!G169/C163</f>
        <v>16.001177888161251</v>
      </c>
      <c r="E163" s="141">
        <f>'H) Péréquation directe'!I174/C163</f>
        <v>-5.9274445996684149</v>
      </c>
      <c r="F163" s="116">
        <f>+'I) Dépenses thématiques'!O163/'K) Plafonnement aide'!C163</f>
        <v>-12.051054871678812</v>
      </c>
      <c r="G163" s="141">
        <f t="shared" si="9"/>
        <v>-1.9773215831859758</v>
      </c>
      <c r="H163" s="116">
        <f t="shared" si="10"/>
        <v>10.073733288492836</v>
      </c>
      <c r="I163" s="141">
        <f t="shared" si="11"/>
        <v>0</v>
      </c>
      <c r="J163" s="58">
        <f t="shared" si="8"/>
        <v>0</v>
      </c>
      <c r="K163" s="37"/>
    </row>
    <row r="164" spans="1:11" x14ac:dyDescent="0.25">
      <c r="A164" s="50">
        <f>'A) Base RI'!A166</f>
        <v>5665</v>
      </c>
      <c r="B164" s="301" t="str">
        <f>'A) Base RI'!B166</f>
        <v>Chavannes-sur-Moudon</v>
      </c>
      <c r="C164" s="100">
        <f>'B) D RI'!U166</f>
        <v>4618.4299999999994</v>
      </c>
      <c r="D164" s="116">
        <f>'E) Fact soc'!G170/C164</f>
        <v>16.71232020342417</v>
      </c>
      <c r="E164" s="141">
        <f>'H) Péréquation directe'!I175/C164</f>
        <v>-9.1236039383023613</v>
      </c>
      <c r="F164" s="116">
        <f>+'I) Dépenses thématiques'!O164/'K) Plafonnement aide'!C164</f>
        <v>-2.0246017153431652</v>
      </c>
      <c r="G164" s="141">
        <f t="shared" si="9"/>
        <v>5.5641145497786439</v>
      </c>
      <c r="H164" s="116">
        <f t="shared" si="10"/>
        <v>7.5887162651218087</v>
      </c>
      <c r="I164" s="141">
        <f t="shared" si="11"/>
        <v>0</v>
      </c>
      <c r="J164" s="58">
        <f t="shared" si="8"/>
        <v>0</v>
      </c>
      <c r="K164" s="37"/>
    </row>
    <row r="165" spans="1:11" x14ac:dyDescent="0.25">
      <c r="A165" s="50">
        <f>'A) Base RI'!A167</f>
        <v>5669</v>
      </c>
      <c r="B165" s="301" t="str">
        <f>'A) Base RI'!B167</f>
        <v>Curtilles</v>
      </c>
      <c r="C165" s="100">
        <f>'B) D RI'!U167</f>
        <v>7795.8649333333315</v>
      </c>
      <c r="D165" s="116">
        <f>'E) Fact soc'!G171/C165</f>
        <v>16.056993619044746</v>
      </c>
      <c r="E165" s="141">
        <f>'H) Péréquation directe'!I176/C165</f>
        <v>-3.1021579156337684</v>
      </c>
      <c r="F165" s="116">
        <f>+'I) Dépenses thématiques'!O165/'K) Plafonnement aide'!C165</f>
        <v>-2.1999349635309722</v>
      </c>
      <c r="G165" s="141">
        <f t="shared" si="9"/>
        <v>10.754900739880007</v>
      </c>
      <c r="H165" s="116">
        <f t="shared" si="10"/>
        <v>12.954835703410978</v>
      </c>
      <c r="I165" s="141">
        <f t="shared" si="11"/>
        <v>0</v>
      </c>
      <c r="J165" s="58">
        <f t="shared" si="8"/>
        <v>0</v>
      </c>
      <c r="K165" s="37"/>
    </row>
    <row r="166" spans="1:11" x14ac:dyDescent="0.25">
      <c r="A166" s="50">
        <f>'A) Base RI'!A168</f>
        <v>5671</v>
      </c>
      <c r="B166" s="301" t="str">
        <f>'A) Base RI'!B168</f>
        <v>Dompierre</v>
      </c>
      <c r="C166" s="100">
        <f>'B) D RI'!U168</f>
        <v>6158.8938749999998</v>
      </c>
      <c r="D166" s="116">
        <f>'E) Fact soc'!G172/C166</f>
        <v>17.430926577465883</v>
      </c>
      <c r="E166" s="141">
        <f>'H) Péréquation directe'!I177/C166</f>
        <v>-3.9192290122550704</v>
      </c>
      <c r="F166" s="116">
        <f>+'I) Dépenses thématiques'!O166/'K) Plafonnement aide'!C166</f>
        <v>-10.325155850492882</v>
      </c>
      <c r="G166" s="141">
        <f t="shared" si="9"/>
        <v>3.1865417147179311</v>
      </c>
      <c r="H166" s="116">
        <f t="shared" si="10"/>
        <v>13.511697565210813</v>
      </c>
      <c r="I166" s="141">
        <f t="shared" si="11"/>
        <v>0</v>
      </c>
      <c r="J166" s="58">
        <f t="shared" si="8"/>
        <v>0</v>
      </c>
      <c r="K166" s="37"/>
    </row>
    <row r="167" spans="1:11" x14ac:dyDescent="0.25">
      <c r="A167" s="50">
        <f>'A) Base RI'!A169</f>
        <v>5673</v>
      </c>
      <c r="B167" s="301" t="str">
        <f>'A) Base RI'!B169</f>
        <v>Hermenches</v>
      </c>
      <c r="C167" s="100">
        <f>'B) D RI'!U169</f>
        <v>9293.9345333333331</v>
      </c>
      <c r="D167" s="116">
        <f>'E) Fact soc'!G173/C167</f>
        <v>16.018262157108836</v>
      </c>
      <c r="E167" s="141">
        <f>'H) Péréquation directe'!I178/C167</f>
        <v>-2.0134245401587396</v>
      </c>
      <c r="F167" s="116">
        <f>+'I) Dépenses thématiques'!O167/'K) Plafonnement aide'!C167</f>
        <v>-18.209826493039003</v>
      </c>
      <c r="G167" s="141">
        <f t="shared" si="9"/>
        <v>-4.2049888760889065</v>
      </c>
      <c r="H167" s="116">
        <f t="shared" si="10"/>
        <v>14.004837616950097</v>
      </c>
      <c r="I167" s="141">
        <f t="shared" si="11"/>
        <v>0</v>
      </c>
      <c r="J167" s="58">
        <f t="shared" si="8"/>
        <v>0</v>
      </c>
      <c r="K167" s="37"/>
    </row>
    <row r="168" spans="1:11" x14ac:dyDescent="0.25">
      <c r="A168" s="50">
        <f>'A) Base RI'!A170</f>
        <v>5674</v>
      </c>
      <c r="B168" s="301" t="str">
        <f>'A) Base RI'!B170</f>
        <v>Lovatens</v>
      </c>
      <c r="C168" s="100">
        <f>'B) D RI'!U170</f>
        <v>3277.031161904762</v>
      </c>
      <c r="D168" s="116">
        <f>'E) Fact soc'!G174/C168</f>
        <v>18.769702264816264</v>
      </c>
      <c r="E168" s="141">
        <f>'H) Péréquation directe'!I179/C168</f>
        <v>-7.9730335952849387</v>
      </c>
      <c r="F168" s="116">
        <f>+'I) Dépenses thématiques'!O168/'K) Plafonnement aide'!C168</f>
        <v>-5.1668477451027508</v>
      </c>
      <c r="G168" s="141">
        <f t="shared" si="9"/>
        <v>5.6298209244285742</v>
      </c>
      <c r="H168" s="116">
        <f t="shared" si="10"/>
        <v>10.796668669531325</v>
      </c>
      <c r="I168" s="141">
        <f t="shared" si="11"/>
        <v>0</v>
      </c>
      <c r="J168" s="58">
        <f t="shared" si="8"/>
        <v>0</v>
      </c>
      <c r="K168" s="37"/>
    </row>
    <row r="169" spans="1:11" x14ac:dyDescent="0.25">
      <c r="A169" s="50">
        <f>'A) Base RI'!A171</f>
        <v>5675</v>
      </c>
      <c r="B169" s="301" t="str">
        <f>'A) Base RI'!B171</f>
        <v>Lucens</v>
      </c>
      <c r="C169" s="100">
        <f>'B) D RI'!U171</f>
        <v>92142.722793148874</v>
      </c>
      <c r="D169" s="116">
        <f>'E) Fact soc'!G175/C169</f>
        <v>18.377101881588707</v>
      </c>
      <c r="E169" s="141">
        <f>'H) Péréquation directe'!I180/C169</f>
        <v>-16.106006769729042</v>
      </c>
      <c r="F169" s="116">
        <f>+'I) Dépenses thématiques'!O169/'K) Plafonnement aide'!C169</f>
        <v>-4.5667243522980261</v>
      </c>
      <c r="G169" s="141">
        <f t="shared" si="9"/>
        <v>-2.2956292404383607</v>
      </c>
      <c r="H169" s="116">
        <f t="shared" si="10"/>
        <v>2.2710951118596654</v>
      </c>
      <c r="I169" s="141">
        <f t="shared" si="11"/>
        <v>0</v>
      </c>
      <c r="J169" s="58">
        <f t="shared" si="8"/>
        <v>0</v>
      </c>
      <c r="K169" s="37"/>
    </row>
    <row r="170" spans="1:11" x14ac:dyDescent="0.25">
      <c r="A170" s="50">
        <f>'A) Base RI'!A172</f>
        <v>5678</v>
      </c>
      <c r="B170" s="301" t="str">
        <f>'A) Base RI'!B172</f>
        <v>Moudon</v>
      </c>
      <c r="C170" s="100">
        <f>'B) D RI'!U172</f>
        <v>119798.79359999999</v>
      </c>
      <c r="D170" s="116">
        <f>'E) Fact soc'!G176/C170</f>
        <v>18.099318834038378</v>
      </c>
      <c r="E170" s="141">
        <f>'H) Péréquation directe'!I181/C170</f>
        <v>-30.911816799002221</v>
      </c>
      <c r="F170" s="116">
        <f>+'I) Dépenses thématiques'!O170/'K) Plafonnement aide'!C170</f>
        <v>-9.8102260453964867</v>
      </c>
      <c r="G170" s="141">
        <f t="shared" si="9"/>
        <v>-22.622724010360329</v>
      </c>
      <c r="H170" s="116">
        <f t="shared" si="10"/>
        <v>-12.812497964963843</v>
      </c>
      <c r="I170" s="141">
        <f t="shared" si="11"/>
        <v>-6.3124979649638426</v>
      </c>
      <c r="J170" s="58">
        <f t="shared" si="8"/>
        <v>756229.64080512337</v>
      </c>
      <c r="K170" s="37"/>
    </row>
    <row r="171" spans="1:11" x14ac:dyDescent="0.25">
      <c r="A171" s="50">
        <f>'A) Base RI'!A173</f>
        <v>5680</v>
      </c>
      <c r="B171" s="301" t="str">
        <f>'A) Base RI'!B173</f>
        <v>Ogens</v>
      </c>
      <c r="C171" s="100">
        <f>'B) D RI'!U173</f>
        <v>6445.3270940170942</v>
      </c>
      <c r="D171" s="116">
        <f>'E) Fact soc'!G177/C171</f>
        <v>19.118600396119174</v>
      </c>
      <c r="E171" s="141">
        <f>'H) Péréquation directe'!I182/C171</f>
        <v>-11.993176614463753</v>
      </c>
      <c r="F171" s="116">
        <f>+'I) Dépenses thématiques'!O171/'K) Plafonnement aide'!C171</f>
        <v>-2.1841277002381094</v>
      </c>
      <c r="G171" s="141">
        <f t="shared" si="9"/>
        <v>4.9412960814173115</v>
      </c>
      <c r="H171" s="116">
        <f t="shared" si="10"/>
        <v>7.1254237816554209</v>
      </c>
      <c r="I171" s="141">
        <f t="shared" si="11"/>
        <v>0</v>
      </c>
      <c r="J171" s="58">
        <f t="shared" si="8"/>
        <v>0</v>
      </c>
      <c r="K171" s="37"/>
    </row>
    <row r="172" spans="1:11" x14ac:dyDescent="0.25">
      <c r="A172" s="50">
        <f>'A) Base RI'!A174</f>
        <v>5683</v>
      </c>
      <c r="B172" s="301" t="str">
        <f>'A) Base RI'!B174</f>
        <v>Prévonloup</v>
      </c>
      <c r="C172" s="100">
        <f>'B) D RI'!U174</f>
        <v>3724.6422972972978</v>
      </c>
      <c r="D172" s="116">
        <f>'E) Fact soc'!G178/C172</f>
        <v>18.445083875509006</v>
      </c>
      <c r="E172" s="141">
        <f>'H) Péréquation directe'!I183/C172</f>
        <v>-12.611039229582902</v>
      </c>
      <c r="F172" s="116">
        <f>+'I) Dépenses thématiques'!O172/'K) Plafonnement aide'!C172</f>
        <v>-3.9020874133050287</v>
      </c>
      <c r="G172" s="141">
        <f t="shared" si="9"/>
        <v>1.9319572326210754</v>
      </c>
      <c r="H172" s="116">
        <f t="shared" si="10"/>
        <v>5.8340446459261042</v>
      </c>
      <c r="I172" s="141">
        <f t="shared" si="11"/>
        <v>0</v>
      </c>
      <c r="J172" s="58">
        <f t="shared" si="8"/>
        <v>0</v>
      </c>
      <c r="K172" s="37"/>
    </row>
    <row r="173" spans="1:11" x14ac:dyDescent="0.25">
      <c r="A173" s="50">
        <f>'A) Base RI'!A175</f>
        <v>5684</v>
      </c>
      <c r="B173" s="301" t="str">
        <f>'A) Base RI'!B175</f>
        <v>Rossenges</v>
      </c>
      <c r="C173" s="100">
        <f>'B) D RI'!U175</f>
        <v>1951.4436666666666</v>
      </c>
      <c r="D173" s="116">
        <f>'E) Fact soc'!G179/C173</f>
        <v>17.685703805109387</v>
      </c>
      <c r="E173" s="141">
        <f>'H) Péréquation directe'!I184/C173</f>
        <v>4.4655298681984066</v>
      </c>
      <c r="F173" s="116">
        <f>+'I) Dépenses thématiques'!O173/'K) Plafonnement aide'!C173</f>
        <v>0</v>
      </c>
      <c r="G173" s="141">
        <f t="shared" si="9"/>
        <v>22.151233673307793</v>
      </c>
      <c r="H173" s="116">
        <f t="shared" si="10"/>
        <v>22.151233673307793</v>
      </c>
      <c r="I173" s="141">
        <f t="shared" si="11"/>
        <v>0</v>
      </c>
      <c r="J173" s="58">
        <f t="shared" si="8"/>
        <v>0</v>
      </c>
      <c r="K173" s="37"/>
    </row>
    <row r="174" spans="1:11" x14ac:dyDescent="0.25">
      <c r="A174" s="50">
        <f>'A) Base RI'!A176</f>
        <v>5688</v>
      </c>
      <c r="B174" s="301" t="str">
        <f>'A) Base RI'!B176</f>
        <v>Syens</v>
      </c>
      <c r="C174" s="100">
        <f>'B) D RI'!U176</f>
        <v>3966.9414021164025</v>
      </c>
      <c r="D174" s="116">
        <f>'E) Fact soc'!G180/C174</f>
        <v>19.092055503742898</v>
      </c>
      <c r="E174" s="141">
        <f>'H) Péréquation directe'!I185/C174</f>
        <v>-3.3158909979032867</v>
      </c>
      <c r="F174" s="116">
        <f>+'I) Dépenses thématiques'!O174/'K) Plafonnement aide'!C174</f>
        <v>-7.9907123216992755</v>
      </c>
      <c r="G174" s="141">
        <f t="shared" si="9"/>
        <v>7.7854521841403361</v>
      </c>
      <c r="H174" s="116">
        <f t="shared" si="10"/>
        <v>15.776164505839612</v>
      </c>
      <c r="I174" s="141">
        <f t="shared" si="11"/>
        <v>0</v>
      </c>
      <c r="J174" s="58">
        <f t="shared" si="8"/>
        <v>0</v>
      </c>
      <c r="K174" s="37"/>
    </row>
    <row r="175" spans="1:11" x14ac:dyDescent="0.25">
      <c r="A175" s="50">
        <f>'A) Base RI'!A177</f>
        <v>5690</v>
      </c>
      <c r="B175" s="301" t="str">
        <f>'A) Base RI'!B177</f>
        <v>Villars-le-Comte</v>
      </c>
      <c r="C175" s="100">
        <f>'B) D RI'!U177</f>
        <v>4059.4070238095242</v>
      </c>
      <c r="D175" s="116">
        <f>'E) Fact soc'!G181/C175</f>
        <v>15.890741727634937</v>
      </c>
      <c r="E175" s="141">
        <f>'H) Péréquation directe'!I186/C175</f>
        <v>6.6806233440220719</v>
      </c>
      <c r="F175" s="116">
        <f>+'I) Dépenses thématiques'!O175/'K) Plafonnement aide'!C175</f>
        <v>0</v>
      </c>
      <c r="G175" s="141">
        <f t="shared" si="9"/>
        <v>22.571365071657009</v>
      </c>
      <c r="H175" s="116">
        <f t="shared" si="10"/>
        <v>22.571365071657009</v>
      </c>
      <c r="I175" s="141">
        <f t="shared" si="11"/>
        <v>0</v>
      </c>
      <c r="J175" s="58">
        <f t="shared" si="8"/>
        <v>0</v>
      </c>
      <c r="K175" s="37"/>
    </row>
    <row r="176" spans="1:11" x14ac:dyDescent="0.25">
      <c r="A176" s="50">
        <f>'A) Base RI'!A178</f>
        <v>5692</v>
      </c>
      <c r="B176" s="301" t="str">
        <f>'A) Base RI'!B178</f>
        <v>Vucherens</v>
      </c>
      <c r="C176" s="100">
        <f>'B) D RI'!U178</f>
        <v>16205.612531645571</v>
      </c>
      <c r="D176" s="116">
        <f>'E) Fact soc'!G182/C176</f>
        <v>19.497808614793353</v>
      </c>
      <c r="E176" s="141">
        <f>'H) Péréquation directe'!I187/C176</f>
        <v>0.4469528452535535</v>
      </c>
      <c r="F176" s="116">
        <f>+'I) Dépenses thématiques'!O176/'K) Plafonnement aide'!C176</f>
        <v>-4.4072544515774439</v>
      </c>
      <c r="G176" s="141">
        <f t="shared" si="9"/>
        <v>15.537507008469461</v>
      </c>
      <c r="H176" s="116">
        <f t="shared" si="10"/>
        <v>19.944761460046905</v>
      </c>
      <c r="I176" s="141">
        <f t="shared" si="11"/>
        <v>0</v>
      </c>
      <c r="J176" s="58">
        <f t="shared" si="8"/>
        <v>0</v>
      </c>
      <c r="K176" s="37"/>
    </row>
    <row r="177" spans="1:11" x14ac:dyDescent="0.25">
      <c r="A177" s="50">
        <f>'A) Base RI'!A179</f>
        <v>5693</v>
      </c>
      <c r="B177" s="301" t="str">
        <f>'A) Base RI'!B179</f>
        <v>Montanaire</v>
      </c>
      <c r="C177" s="100">
        <f>'B) D RI'!U179</f>
        <v>69929.896527777775</v>
      </c>
      <c r="D177" s="116">
        <f>'E) Fact soc'!G183/C177</f>
        <v>17.059692512281984</v>
      </c>
      <c r="E177" s="141">
        <f>'H) Péréquation directe'!I188/C177</f>
        <v>-5.9012191216715619</v>
      </c>
      <c r="F177" s="116">
        <f>+'I) Dépenses thématiques'!O177/'K) Plafonnement aide'!C177</f>
        <v>-8.0615575361634786</v>
      </c>
      <c r="G177" s="141">
        <f t="shared" si="9"/>
        <v>3.0969158544469426</v>
      </c>
      <c r="H177" s="116">
        <f t="shared" si="10"/>
        <v>11.158473390610421</v>
      </c>
      <c r="I177" s="141">
        <f t="shared" si="11"/>
        <v>0</v>
      </c>
      <c r="J177" s="58">
        <f t="shared" si="8"/>
        <v>0</v>
      </c>
      <c r="K177" s="37"/>
    </row>
    <row r="178" spans="1:11" x14ac:dyDescent="0.25">
      <c r="A178" s="50">
        <f>'A) Base RI'!A180</f>
        <v>5701</v>
      </c>
      <c r="B178" s="301" t="str">
        <f>'A) Base RI'!B180</f>
        <v>Arnex-sur-Nyon</v>
      </c>
      <c r="C178" s="100">
        <f>'B) D RI'!U180</f>
        <v>13502.083857142858</v>
      </c>
      <c r="D178" s="116">
        <f>'E) Fact soc'!G184/C178</f>
        <v>20.935699509597644</v>
      </c>
      <c r="E178" s="141">
        <f>'H) Péréquation directe'!I189/C178</f>
        <v>17.127265737804976</v>
      </c>
      <c r="F178" s="116">
        <f>+'I) Dépenses thématiques'!O178/'K) Plafonnement aide'!C178</f>
        <v>0</v>
      </c>
      <c r="G178" s="141">
        <f t="shared" si="9"/>
        <v>38.062965247402616</v>
      </c>
      <c r="H178" s="116">
        <f t="shared" si="10"/>
        <v>38.062965247402616</v>
      </c>
      <c r="I178" s="141">
        <f t="shared" si="11"/>
        <v>0</v>
      </c>
      <c r="J178" s="58">
        <f t="shared" si="8"/>
        <v>0</v>
      </c>
      <c r="K178" s="37"/>
    </row>
    <row r="179" spans="1:11" x14ac:dyDescent="0.25">
      <c r="A179" s="50">
        <f>'A) Base RI'!A181</f>
        <v>5702</v>
      </c>
      <c r="B179" s="301" t="str">
        <f>'A) Base RI'!B181</f>
        <v>Arzier-Le Muids</v>
      </c>
      <c r="C179" s="100">
        <f>'B) D RI'!U181</f>
        <v>176072.16864583336</v>
      </c>
      <c r="D179" s="116">
        <f>'E) Fact soc'!G185/C179</f>
        <v>21.51743841217564</v>
      </c>
      <c r="E179" s="141">
        <f>'H) Péréquation directe'!I190/C179</f>
        <v>14.532789177523751</v>
      </c>
      <c r="F179" s="116">
        <f>+'I) Dépenses thématiques'!O179/'K) Plafonnement aide'!C179</f>
        <v>-1.4244127084633589</v>
      </c>
      <c r="G179" s="141">
        <f t="shared" si="9"/>
        <v>34.625814881236032</v>
      </c>
      <c r="H179" s="116">
        <f t="shared" si="10"/>
        <v>36.050227589699389</v>
      </c>
      <c r="I179" s="141">
        <f t="shared" si="11"/>
        <v>0</v>
      </c>
      <c r="J179" s="58">
        <f t="shared" si="8"/>
        <v>0</v>
      </c>
      <c r="K179" s="37"/>
    </row>
    <row r="180" spans="1:11" x14ac:dyDescent="0.25">
      <c r="A180" s="50">
        <f>'A) Base RI'!A182</f>
        <v>5703</v>
      </c>
      <c r="B180" s="301" t="str">
        <f>'A) Base RI'!B182</f>
        <v>Bassins</v>
      </c>
      <c r="C180" s="100">
        <f>'B) D RI'!U182</f>
        <v>55245.232548262546</v>
      </c>
      <c r="D180" s="116">
        <f>'E) Fact soc'!G186/C180</f>
        <v>18.195749200573808</v>
      </c>
      <c r="E180" s="141">
        <f>'H) Péréquation directe'!I191/C180</f>
        <v>12.830212035508014</v>
      </c>
      <c r="F180" s="116">
        <f>+'I) Dépenses thématiques'!O180/'K) Plafonnement aide'!C180</f>
        <v>-3.397728201958782</v>
      </c>
      <c r="G180" s="141">
        <f t="shared" si="9"/>
        <v>27.628233034123038</v>
      </c>
      <c r="H180" s="116">
        <f t="shared" si="10"/>
        <v>31.02596123608182</v>
      </c>
      <c r="I180" s="141">
        <f t="shared" si="11"/>
        <v>0</v>
      </c>
      <c r="J180" s="58">
        <f t="shared" si="8"/>
        <v>0</v>
      </c>
      <c r="K180" s="37"/>
    </row>
    <row r="181" spans="1:11" x14ac:dyDescent="0.25">
      <c r="A181" s="50">
        <f>'A) Base RI'!A183</f>
        <v>5704</v>
      </c>
      <c r="B181" s="301" t="str">
        <f>'A) Base RI'!B183</f>
        <v>Begnins</v>
      </c>
      <c r="C181" s="100">
        <f>'B) D RI'!U183</f>
        <v>123862.49598958335</v>
      </c>
      <c r="D181" s="116">
        <f>'E) Fact soc'!G187/C181</f>
        <v>22.180232659633873</v>
      </c>
      <c r="E181" s="141">
        <f>'H) Péréquation directe'!I192/C181</f>
        <v>15.060002049460193</v>
      </c>
      <c r="F181" s="116">
        <f>+'I) Dépenses thématiques'!O181/'K) Plafonnement aide'!C181</f>
        <v>0</v>
      </c>
      <c r="G181" s="141">
        <f t="shared" si="9"/>
        <v>37.240234709094068</v>
      </c>
      <c r="H181" s="116">
        <f t="shared" si="10"/>
        <v>37.240234709094068</v>
      </c>
      <c r="I181" s="141">
        <f t="shared" si="11"/>
        <v>0</v>
      </c>
      <c r="J181" s="58">
        <f t="shared" si="8"/>
        <v>0</v>
      </c>
      <c r="K181" s="37"/>
    </row>
    <row r="182" spans="1:11" x14ac:dyDescent="0.25">
      <c r="A182" s="50">
        <f>'A) Base RI'!A184</f>
        <v>5705</v>
      </c>
      <c r="B182" s="301" t="str">
        <f>'A) Base RI'!B184</f>
        <v>Bogis-Bossey</v>
      </c>
      <c r="C182" s="100">
        <f>'B) D RI'!U184</f>
        <v>49404.992428571422</v>
      </c>
      <c r="D182" s="116">
        <f>'E) Fact soc'!G188/C182</f>
        <v>18.771867137971039</v>
      </c>
      <c r="E182" s="141">
        <f>'H) Péréquation directe'!I193/C182</f>
        <v>17.140203786866806</v>
      </c>
      <c r="F182" s="116">
        <f>+'I) Dépenses thématiques'!O182/'K) Plafonnement aide'!C182</f>
        <v>0</v>
      </c>
      <c r="G182" s="141">
        <f t="shared" si="9"/>
        <v>35.912070924837849</v>
      </c>
      <c r="H182" s="116">
        <f t="shared" si="10"/>
        <v>35.912070924837849</v>
      </c>
      <c r="I182" s="141">
        <f t="shared" si="11"/>
        <v>0</v>
      </c>
      <c r="J182" s="58">
        <f t="shared" si="8"/>
        <v>0</v>
      </c>
      <c r="K182" s="37"/>
    </row>
    <row r="183" spans="1:11" x14ac:dyDescent="0.25">
      <c r="A183" s="50">
        <f>'A) Base RI'!A185</f>
        <v>5706</v>
      </c>
      <c r="B183" s="301" t="str">
        <f>'A) Base RI'!B185</f>
        <v>Borex</v>
      </c>
      <c r="C183" s="100">
        <f>'B) D RI'!U185</f>
        <v>70968.038045977009</v>
      </c>
      <c r="D183" s="116">
        <f>'E) Fact soc'!G189/C183</f>
        <v>18.544703726307588</v>
      </c>
      <c r="E183" s="141">
        <f>'H) Péréquation directe'!I194/C183</f>
        <v>16.514177393804484</v>
      </c>
      <c r="F183" s="116">
        <f>+'I) Dépenses thématiques'!O183/'K) Plafonnement aide'!C183</f>
        <v>0</v>
      </c>
      <c r="G183" s="141">
        <f t="shared" si="9"/>
        <v>35.058881120112076</v>
      </c>
      <c r="H183" s="116">
        <f t="shared" si="10"/>
        <v>35.058881120112076</v>
      </c>
      <c r="I183" s="141">
        <f t="shared" si="11"/>
        <v>0</v>
      </c>
      <c r="J183" s="58">
        <f t="shared" si="8"/>
        <v>0</v>
      </c>
      <c r="K183" s="37"/>
    </row>
    <row r="184" spans="1:11" x14ac:dyDescent="0.25">
      <c r="A184" s="50">
        <f>'A) Base RI'!A186</f>
        <v>5707</v>
      </c>
      <c r="B184" s="301" t="str">
        <f>'A) Base RI'!B186</f>
        <v>Chavannes-de-Bogis</v>
      </c>
      <c r="C184" s="100">
        <f>'B) D RI'!U186</f>
        <v>77704.286214689273</v>
      </c>
      <c r="D184" s="116">
        <f>'E) Fact soc'!G190/C184</f>
        <v>21.874682977134583</v>
      </c>
      <c r="E184" s="141">
        <f>'H) Péréquation directe'!I195/C184</f>
        <v>16.141588637817055</v>
      </c>
      <c r="F184" s="116">
        <f>+'I) Dépenses thématiques'!O184/'K) Plafonnement aide'!C184</f>
        <v>0</v>
      </c>
      <c r="G184" s="141">
        <f t="shared" si="9"/>
        <v>38.016271614951634</v>
      </c>
      <c r="H184" s="116">
        <f t="shared" si="10"/>
        <v>38.016271614951634</v>
      </c>
      <c r="I184" s="141">
        <f t="shared" si="11"/>
        <v>0</v>
      </c>
      <c r="J184" s="58">
        <f t="shared" si="8"/>
        <v>0</v>
      </c>
      <c r="K184" s="37"/>
    </row>
    <row r="185" spans="1:11" x14ac:dyDescent="0.25">
      <c r="A185" s="50">
        <f>'A) Base RI'!A187</f>
        <v>5708</v>
      </c>
      <c r="B185" s="301" t="str">
        <f>'A) Base RI'!B187</f>
        <v>Chavannes-des-Bois</v>
      </c>
      <c r="C185" s="100">
        <f>'B) D RI'!U187</f>
        <v>57040.784867724869</v>
      </c>
      <c r="D185" s="116">
        <f>'E) Fact soc'!G191/C185</f>
        <v>18.876412940419954</v>
      </c>
      <c r="E185" s="141">
        <f>'H) Péréquation directe'!I196/C185</f>
        <v>17.08197024477122</v>
      </c>
      <c r="F185" s="116">
        <f>+'I) Dépenses thématiques'!O185/'K) Plafonnement aide'!C185</f>
        <v>0</v>
      </c>
      <c r="G185" s="141">
        <f t="shared" si="9"/>
        <v>35.958383185191174</v>
      </c>
      <c r="H185" s="116">
        <f t="shared" si="10"/>
        <v>35.958383185191174</v>
      </c>
      <c r="I185" s="141">
        <f t="shared" si="11"/>
        <v>0</v>
      </c>
      <c r="J185" s="58">
        <f t="shared" si="8"/>
        <v>0</v>
      </c>
      <c r="K185" s="37"/>
    </row>
    <row r="186" spans="1:11" x14ac:dyDescent="0.25">
      <c r="A186" s="50">
        <f>'A) Base RI'!A188</f>
        <v>5709</v>
      </c>
      <c r="B186" s="301" t="str">
        <f>'A) Base RI'!B188</f>
        <v>Chéserex</v>
      </c>
      <c r="C186" s="100">
        <f>'B) D RI'!U188</f>
        <v>108721.76175438597</v>
      </c>
      <c r="D186" s="116">
        <f>'E) Fact soc'!G192/C186</f>
        <v>24.156609585828587</v>
      </c>
      <c r="E186" s="141">
        <f>'H) Péréquation directe'!I197/C186</f>
        <v>15.850673257402031</v>
      </c>
      <c r="F186" s="116">
        <f>+'I) Dépenses thématiques'!O186/'K) Plafonnement aide'!C186</f>
        <v>0</v>
      </c>
      <c r="G186" s="141">
        <f t="shared" si="9"/>
        <v>40.00728284323062</v>
      </c>
      <c r="H186" s="116">
        <f t="shared" si="10"/>
        <v>40.00728284323062</v>
      </c>
      <c r="I186" s="141">
        <f t="shared" si="11"/>
        <v>0</v>
      </c>
      <c r="J186" s="58">
        <f t="shared" si="8"/>
        <v>0</v>
      </c>
      <c r="K186" s="37"/>
    </row>
    <row r="187" spans="1:11" x14ac:dyDescent="0.25">
      <c r="A187" s="50">
        <f>'A) Base RI'!A189</f>
        <v>5710</v>
      </c>
      <c r="B187" s="301" t="str">
        <f>'A) Base RI'!B189</f>
        <v>Coinsins</v>
      </c>
      <c r="C187" s="100">
        <f>'B) D RI'!U189</f>
        <v>124477.14941176467</v>
      </c>
      <c r="D187" s="116">
        <f>'E) Fact soc'!G193/C187</f>
        <v>35.182112514084125</v>
      </c>
      <c r="E187" s="141">
        <f>'H) Péréquation directe'!I198/C187</f>
        <v>14.221484630523967</v>
      </c>
      <c r="F187" s="116">
        <f>+'I) Dépenses thématiques'!O187/'K) Plafonnement aide'!C187</f>
        <v>0</v>
      </c>
      <c r="G187" s="141">
        <f t="shared" si="9"/>
        <v>49.403597144608092</v>
      </c>
      <c r="H187" s="116">
        <f t="shared" si="10"/>
        <v>49.403597144608092</v>
      </c>
      <c r="I187" s="141">
        <f t="shared" si="11"/>
        <v>0</v>
      </c>
      <c r="J187" s="58">
        <f t="shared" si="8"/>
        <v>0</v>
      </c>
      <c r="K187" s="37"/>
    </row>
    <row r="188" spans="1:11" x14ac:dyDescent="0.25">
      <c r="A188" s="50">
        <f>'A) Base RI'!A190</f>
        <v>5711</v>
      </c>
      <c r="B188" s="301" t="str">
        <f>'A) Base RI'!B190</f>
        <v>Commugny</v>
      </c>
      <c r="C188" s="100">
        <f>'B) D RI'!U190</f>
        <v>278130.00205128203</v>
      </c>
      <c r="D188" s="116">
        <f>'E) Fact soc'!G194/C188</f>
        <v>26.270562681037259</v>
      </c>
      <c r="E188" s="141">
        <f>'H) Péréquation directe'!I199/C188</f>
        <v>14.499389646468366</v>
      </c>
      <c r="F188" s="116">
        <f>+'I) Dépenses thématiques'!O188/'K) Plafonnement aide'!C188</f>
        <v>0</v>
      </c>
      <c r="G188" s="141">
        <f t="shared" si="9"/>
        <v>40.769952327505621</v>
      </c>
      <c r="H188" s="116">
        <f t="shared" si="10"/>
        <v>40.769952327505621</v>
      </c>
      <c r="I188" s="141">
        <f t="shared" si="11"/>
        <v>0</v>
      </c>
      <c r="J188" s="58">
        <f t="shared" si="8"/>
        <v>0</v>
      </c>
      <c r="K188" s="37"/>
    </row>
    <row r="189" spans="1:11" x14ac:dyDescent="0.25">
      <c r="A189" s="50">
        <f>'A) Base RI'!A191</f>
        <v>5712</v>
      </c>
      <c r="B189" s="301" t="str">
        <f>'A) Base RI'!B191</f>
        <v>Coppet</v>
      </c>
      <c r="C189" s="100">
        <f>'B) D RI'!U191</f>
        <v>339910.43698113208</v>
      </c>
      <c r="D189" s="116">
        <f>'E) Fact soc'!G195/C189</f>
        <v>30.79758326116588</v>
      </c>
      <c r="E189" s="141">
        <f>'H) Péréquation directe'!I200/C189</f>
        <v>14.287862182730001</v>
      </c>
      <c r="F189" s="116">
        <f>+'I) Dépenses thématiques'!O189/'K) Plafonnement aide'!C189</f>
        <v>0</v>
      </c>
      <c r="G189" s="141">
        <f t="shared" si="9"/>
        <v>45.085445443895878</v>
      </c>
      <c r="H189" s="116">
        <f t="shared" si="10"/>
        <v>45.085445443895878</v>
      </c>
      <c r="I189" s="141">
        <f t="shared" si="11"/>
        <v>0</v>
      </c>
      <c r="J189" s="58">
        <f t="shared" si="8"/>
        <v>0</v>
      </c>
      <c r="K189" s="37"/>
    </row>
    <row r="190" spans="1:11" x14ac:dyDescent="0.25">
      <c r="A190" s="50">
        <f>'A) Base RI'!A192</f>
        <v>5713</v>
      </c>
      <c r="B190" s="301" t="str">
        <f>'A) Base RI'!B192</f>
        <v>Crans-près-Céligny</v>
      </c>
      <c r="C190" s="100">
        <f>'B) D RI'!U192</f>
        <v>273152.99188679247</v>
      </c>
      <c r="D190" s="116">
        <f>'E) Fact soc'!G196/C190</f>
        <v>29.45941523805946</v>
      </c>
      <c r="E190" s="141">
        <f>'H) Péréquation directe'!I201/C190</f>
        <v>14.530335234438523</v>
      </c>
      <c r="F190" s="116">
        <f>+'I) Dépenses thématiques'!O190/'K) Plafonnement aide'!C190</f>
        <v>0</v>
      </c>
      <c r="G190" s="141">
        <f t="shared" si="9"/>
        <v>43.989750472497981</v>
      </c>
      <c r="H190" s="116">
        <f t="shared" si="10"/>
        <v>43.989750472497981</v>
      </c>
      <c r="I190" s="141">
        <f t="shared" si="11"/>
        <v>0</v>
      </c>
      <c r="J190" s="58">
        <f t="shared" si="8"/>
        <v>0</v>
      </c>
      <c r="K190" s="37"/>
    </row>
    <row r="191" spans="1:11" x14ac:dyDescent="0.25">
      <c r="A191" s="50">
        <f>'A) Base RI'!A193</f>
        <v>5714</v>
      </c>
      <c r="B191" s="301" t="str">
        <f>'A) Base RI'!B193</f>
        <v>Crassier</v>
      </c>
      <c r="C191" s="100">
        <f>'B) D RI'!U193</f>
        <v>77000.951562499991</v>
      </c>
      <c r="D191" s="116">
        <f>'E) Fact soc'!G197/C191</f>
        <v>19.873665056734435</v>
      </c>
      <c r="E191" s="141">
        <f>'H) Péréquation directe'!I202/C191</f>
        <v>16.367075401860344</v>
      </c>
      <c r="F191" s="116">
        <f>+'I) Dépenses thématiques'!O191/'K) Plafonnement aide'!C191</f>
        <v>0</v>
      </c>
      <c r="G191" s="141">
        <f t="shared" si="9"/>
        <v>36.240740458594779</v>
      </c>
      <c r="H191" s="116">
        <f t="shared" si="10"/>
        <v>36.240740458594779</v>
      </c>
      <c r="I191" s="141">
        <f t="shared" si="11"/>
        <v>0</v>
      </c>
      <c r="J191" s="58">
        <f t="shared" si="8"/>
        <v>0</v>
      </c>
      <c r="K191" s="37"/>
    </row>
    <row r="192" spans="1:11" x14ac:dyDescent="0.25">
      <c r="A192" s="50">
        <f>'A) Base RI'!A194</f>
        <v>5715</v>
      </c>
      <c r="B192" s="301" t="str">
        <f>'A) Base RI'!B194</f>
        <v>Duillier</v>
      </c>
      <c r="C192" s="100">
        <f>'B) D RI'!U194</f>
        <v>77442.225909090921</v>
      </c>
      <c r="D192" s="116">
        <f>'E) Fact soc'!G198/C192</f>
        <v>23.30858772553146</v>
      </c>
      <c r="E192" s="141">
        <f>'H) Péréquation directe'!I203/C192</f>
        <v>16.522073563174882</v>
      </c>
      <c r="F192" s="116">
        <f>+'I) Dépenses thématiques'!O192/'K) Plafonnement aide'!C192</f>
        <v>0</v>
      </c>
      <c r="G192" s="141">
        <f t="shared" si="9"/>
        <v>39.830661288706338</v>
      </c>
      <c r="H192" s="116">
        <f t="shared" si="10"/>
        <v>39.830661288706338</v>
      </c>
      <c r="I192" s="141">
        <f t="shared" si="11"/>
        <v>0</v>
      </c>
      <c r="J192" s="58">
        <f t="shared" si="8"/>
        <v>0</v>
      </c>
      <c r="K192" s="37"/>
    </row>
    <row r="193" spans="1:11" x14ac:dyDescent="0.25">
      <c r="A193" s="50">
        <f>'A) Base RI'!A195</f>
        <v>5716</v>
      </c>
      <c r="B193" s="301" t="str">
        <f>'A) Base RI'!B195</f>
        <v>Eysins</v>
      </c>
      <c r="C193" s="100">
        <f>'B) D RI'!U195</f>
        <v>175921.02901639344</v>
      </c>
      <c r="D193" s="116">
        <f>'E) Fact soc'!G199/C193</f>
        <v>29.365932216694809</v>
      </c>
      <c r="E193" s="141">
        <f>'H) Péréquation directe'!I204/C193</f>
        <v>15.028318871336133</v>
      </c>
      <c r="F193" s="116">
        <f>+'I) Dépenses thématiques'!O193/'K) Plafonnement aide'!C193</f>
        <v>0</v>
      </c>
      <c r="G193" s="141">
        <f t="shared" si="9"/>
        <v>44.394251088030941</v>
      </c>
      <c r="H193" s="116">
        <f t="shared" si="10"/>
        <v>44.394251088030941</v>
      </c>
      <c r="I193" s="141">
        <f t="shared" si="11"/>
        <v>0</v>
      </c>
      <c r="J193" s="58">
        <f t="shared" si="8"/>
        <v>0</v>
      </c>
      <c r="K193" s="37"/>
    </row>
    <row r="194" spans="1:11" x14ac:dyDescent="0.25">
      <c r="A194" s="50">
        <f>'A) Base RI'!A196</f>
        <v>5717</v>
      </c>
      <c r="B194" s="301" t="str">
        <f>'A) Base RI'!B196</f>
        <v>Founex</v>
      </c>
      <c r="C194" s="100">
        <f>'B) D RI'!U196</f>
        <v>375994.09385964903</v>
      </c>
      <c r="D194" s="116">
        <f>'E) Fact soc'!G200/C194</f>
        <v>25.957297727818428</v>
      </c>
      <c r="E194" s="141">
        <f>'H) Péréquation directe'!I205/C194</f>
        <v>13.952484983323377</v>
      </c>
      <c r="F194" s="116">
        <f>+'I) Dépenses thématiques'!O194/'K) Plafonnement aide'!C194</f>
        <v>0</v>
      </c>
      <c r="G194" s="141">
        <f t="shared" si="9"/>
        <v>39.909782711141801</v>
      </c>
      <c r="H194" s="116">
        <f t="shared" si="10"/>
        <v>39.909782711141801</v>
      </c>
      <c r="I194" s="141">
        <f t="shared" si="11"/>
        <v>0</v>
      </c>
      <c r="J194" s="58">
        <f t="shared" si="8"/>
        <v>0</v>
      </c>
      <c r="K194" s="37"/>
    </row>
    <row r="195" spans="1:11" x14ac:dyDescent="0.25">
      <c r="A195" s="50">
        <f>'A) Base RI'!A197</f>
        <v>5718</v>
      </c>
      <c r="B195" s="301" t="str">
        <f>'A) Base RI'!B197</f>
        <v>Genolier</v>
      </c>
      <c r="C195" s="100">
        <f>'B) D RI'!U197</f>
        <v>170544.41945454545</v>
      </c>
      <c r="D195" s="116">
        <f>'E) Fact soc'!G201/C195</f>
        <v>26.160253460767684</v>
      </c>
      <c r="E195" s="141">
        <f>'H) Péréquation directe'!I206/C195</f>
        <v>14.997932767321508</v>
      </c>
      <c r="F195" s="116">
        <f>+'I) Dépenses thématiques'!O195/'K) Plafonnement aide'!C195</f>
        <v>0</v>
      </c>
      <c r="G195" s="141">
        <f t="shared" si="9"/>
        <v>41.158186228089193</v>
      </c>
      <c r="H195" s="116">
        <f t="shared" si="10"/>
        <v>41.158186228089193</v>
      </c>
      <c r="I195" s="141">
        <f t="shared" si="11"/>
        <v>0</v>
      </c>
      <c r="J195" s="58">
        <f t="shared" si="8"/>
        <v>0</v>
      </c>
      <c r="K195" s="37"/>
    </row>
    <row r="196" spans="1:11" x14ac:dyDescent="0.25">
      <c r="A196" s="50">
        <f>'A) Base RI'!A198</f>
        <v>5719</v>
      </c>
      <c r="B196" s="301" t="str">
        <f>'A) Base RI'!B198</f>
        <v>Gingins</v>
      </c>
      <c r="C196" s="100">
        <f>'B) D RI'!U198</f>
        <v>111319.72105263159</v>
      </c>
      <c r="D196" s="116">
        <f>'E) Fact soc'!G202/C196</f>
        <v>26.859939715078447</v>
      </c>
      <c r="E196" s="141">
        <f>'H) Péréquation directe'!I207/C196</f>
        <v>15.82269596009635</v>
      </c>
      <c r="F196" s="116">
        <f>+'I) Dépenses thématiques'!O196/'K) Plafonnement aide'!C196</f>
        <v>0</v>
      </c>
      <c r="G196" s="141">
        <f t="shared" si="9"/>
        <v>42.682635675174794</v>
      </c>
      <c r="H196" s="116">
        <f t="shared" si="10"/>
        <v>42.682635675174794</v>
      </c>
      <c r="I196" s="141">
        <f t="shared" si="11"/>
        <v>0</v>
      </c>
      <c r="J196" s="58">
        <f t="shared" si="8"/>
        <v>0</v>
      </c>
      <c r="K196" s="37"/>
    </row>
    <row r="197" spans="1:11" x14ac:dyDescent="0.25">
      <c r="A197" s="50">
        <f>'A) Base RI'!A199</f>
        <v>5720</v>
      </c>
      <c r="B197" s="301" t="str">
        <f>'A) Base RI'!B199</f>
        <v>Givrins</v>
      </c>
      <c r="C197" s="100">
        <f>'B) D RI'!U199</f>
        <v>67017.929170812597</v>
      </c>
      <c r="D197" s="116">
        <f>'E) Fact soc'!G203/C197</f>
        <v>20.162520818201653</v>
      </c>
      <c r="E197" s="141">
        <f>'H) Péréquation directe'!I208/C197</f>
        <v>16.825547742900035</v>
      </c>
      <c r="F197" s="116">
        <f>+'I) Dépenses thématiques'!O197/'K) Plafonnement aide'!C197</f>
        <v>-0.40401203453430684</v>
      </c>
      <c r="G197" s="141">
        <f t="shared" si="9"/>
        <v>36.58405652656738</v>
      </c>
      <c r="H197" s="116">
        <f t="shared" si="10"/>
        <v>36.988068561101684</v>
      </c>
      <c r="I197" s="141">
        <f t="shared" si="11"/>
        <v>0</v>
      </c>
      <c r="J197" s="58">
        <f t="shared" ref="J197:J260" si="12">-I197*C197</f>
        <v>0</v>
      </c>
      <c r="K197" s="37"/>
    </row>
    <row r="198" spans="1:11" x14ac:dyDescent="0.25">
      <c r="A198" s="50">
        <f>'A) Base RI'!A200</f>
        <v>5721</v>
      </c>
      <c r="B198" s="301" t="str">
        <f>'A) Base RI'!B200</f>
        <v>Gland</v>
      </c>
      <c r="C198" s="100">
        <f>'B) D RI'!U200</f>
        <v>654524.19695999997</v>
      </c>
      <c r="D198" s="116">
        <f>'E) Fact soc'!G204/C198</f>
        <v>17.816930437063249</v>
      </c>
      <c r="E198" s="141">
        <f>'H) Péréquation directe'!I209/C198</f>
        <v>6.9984600090995395</v>
      </c>
      <c r="F198" s="116">
        <f>+'I) Dépenses thématiques'!O198/'K) Plafonnement aide'!C198</f>
        <v>0</v>
      </c>
      <c r="G198" s="141">
        <f t="shared" ref="G198:G261" si="13">SUM(D198:F198)</f>
        <v>24.815390446162787</v>
      </c>
      <c r="H198" s="116">
        <f t="shared" ref="H198:H261" si="14">G198-F198</f>
        <v>24.815390446162787</v>
      </c>
      <c r="I198" s="141">
        <f t="shared" ref="I198:I261" si="15">IF(H198&lt;I$4,H198-I$4,0)</f>
        <v>0</v>
      </c>
      <c r="J198" s="58">
        <f t="shared" si="12"/>
        <v>0</v>
      </c>
      <c r="K198" s="37"/>
    </row>
    <row r="199" spans="1:11" x14ac:dyDescent="0.25">
      <c r="A199" s="50">
        <f>'A) Base RI'!A201</f>
        <v>5722</v>
      </c>
      <c r="B199" s="301" t="str">
        <f>'A) Base RI'!B201</f>
        <v>Grens</v>
      </c>
      <c r="C199" s="100">
        <f>'B) D RI'!U201</f>
        <v>22192.311451612903</v>
      </c>
      <c r="D199" s="116">
        <f>'E) Fact soc'!G205/C199</f>
        <v>15.755847126337816</v>
      </c>
      <c r="E199" s="141">
        <f>'H) Péréquation directe'!I210/C199</f>
        <v>17.146477479682016</v>
      </c>
      <c r="F199" s="116">
        <f>+'I) Dépenses thématiques'!O199/'K) Plafonnement aide'!C199</f>
        <v>0</v>
      </c>
      <c r="G199" s="141">
        <f t="shared" si="13"/>
        <v>32.902324606019832</v>
      </c>
      <c r="H199" s="116">
        <f t="shared" si="14"/>
        <v>32.902324606019832</v>
      </c>
      <c r="I199" s="141">
        <f t="shared" si="15"/>
        <v>0</v>
      </c>
      <c r="J199" s="58">
        <f t="shared" si="12"/>
        <v>0</v>
      </c>
      <c r="K199" s="37"/>
    </row>
    <row r="200" spans="1:11" x14ac:dyDescent="0.25">
      <c r="A200" s="50">
        <f>'A) Base RI'!A202</f>
        <v>5723</v>
      </c>
      <c r="B200" s="301" t="str">
        <f>'A) Base RI'!B202</f>
        <v>Mies</v>
      </c>
      <c r="C200" s="100">
        <f>'B) D RI'!U202</f>
        <v>510478.2440816327</v>
      </c>
      <c r="D200" s="116">
        <f>'E) Fact soc'!G206/C200</f>
        <v>35.321398606469842</v>
      </c>
      <c r="E200" s="141">
        <f>'H) Péréquation directe'!I211/C200</f>
        <v>13.716574650506132</v>
      </c>
      <c r="F200" s="116">
        <f>+'I) Dépenses thématiques'!O200/'K) Plafonnement aide'!C200</f>
        <v>0</v>
      </c>
      <c r="G200" s="141">
        <f t="shared" si="13"/>
        <v>49.037973256975974</v>
      </c>
      <c r="H200" s="116">
        <f t="shared" si="14"/>
        <v>49.037973256975974</v>
      </c>
      <c r="I200" s="141">
        <f t="shared" si="15"/>
        <v>0</v>
      </c>
      <c r="J200" s="58">
        <f t="shared" si="12"/>
        <v>0</v>
      </c>
      <c r="K200" s="37"/>
    </row>
    <row r="201" spans="1:11" x14ac:dyDescent="0.25">
      <c r="A201" s="50">
        <f>'A) Base RI'!A203</f>
        <v>5724</v>
      </c>
      <c r="B201" s="301" t="str">
        <f>'A) Base RI'!B203</f>
        <v>Nyon</v>
      </c>
      <c r="C201" s="100">
        <f>'B) D RI'!U203</f>
        <v>1338062.0693190417</v>
      </c>
      <c r="D201" s="116">
        <f>'E) Fact soc'!G207/C201</f>
        <v>21.260431821207536</v>
      </c>
      <c r="E201" s="141">
        <f>'H) Péréquation directe'!I212/C201</f>
        <v>6.4051963868469866</v>
      </c>
      <c r="F201" s="116">
        <f>+'I) Dépenses thématiques'!O201/'K) Plafonnement aide'!C201</f>
        <v>-0.4409228348955429</v>
      </c>
      <c r="G201" s="141">
        <f t="shared" si="13"/>
        <v>27.224705373158979</v>
      </c>
      <c r="H201" s="116">
        <f t="shared" si="14"/>
        <v>27.665628208054521</v>
      </c>
      <c r="I201" s="141">
        <f t="shared" si="15"/>
        <v>0</v>
      </c>
      <c r="J201" s="58">
        <f t="shared" si="12"/>
        <v>0</v>
      </c>
      <c r="K201" s="37"/>
    </row>
    <row r="202" spans="1:11" x14ac:dyDescent="0.25">
      <c r="A202" s="50">
        <f>'A) Base RI'!A204</f>
        <v>5725</v>
      </c>
      <c r="B202" s="301" t="str">
        <f>'A) Base RI'!B204</f>
        <v>Prangins</v>
      </c>
      <c r="C202" s="100">
        <f>'B) D RI'!U204</f>
        <v>324834.78298469388</v>
      </c>
      <c r="D202" s="116">
        <f>'E) Fact soc'!G208/C202</f>
        <v>25.139085547443294</v>
      </c>
      <c r="E202" s="141">
        <f>'H) Péréquation directe'!I213/C202</f>
        <v>13.734265513640265</v>
      </c>
      <c r="F202" s="116">
        <f>+'I) Dépenses thématiques'!O202/'K) Plafonnement aide'!C202</f>
        <v>0</v>
      </c>
      <c r="G202" s="141">
        <f t="shared" si="13"/>
        <v>38.873351061083561</v>
      </c>
      <c r="H202" s="116">
        <f t="shared" si="14"/>
        <v>38.873351061083561</v>
      </c>
      <c r="I202" s="141">
        <f t="shared" si="15"/>
        <v>0</v>
      </c>
      <c r="J202" s="58">
        <f t="shared" si="12"/>
        <v>0</v>
      </c>
      <c r="K202" s="37"/>
    </row>
    <row r="203" spans="1:11" x14ac:dyDescent="0.25">
      <c r="A203" s="50">
        <f>'A) Base RI'!A205</f>
        <v>5726</v>
      </c>
      <c r="B203" s="301" t="str">
        <f>'A) Base RI'!B205</f>
        <v>La Rippe</v>
      </c>
      <c r="C203" s="100">
        <f>'B) D RI'!U205</f>
        <v>59824.020307692314</v>
      </c>
      <c r="D203" s="116">
        <f>'E) Fact soc'!G209/C203</f>
        <v>15.605707838488849</v>
      </c>
      <c r="E203" s="141">
        <f>'H) Péréquation directe'!I214/C203</f>
        <v>16.370496087118518</v>
      </c>
      <c r="F203" s="116">
        <f>+'I) Dépenses thématiques'!O203/'K) Plafonnement aide'!C203</f>
        <v>-0.38509147657354781</v>
      </c>
      <c r="G203" s="141">
        <f t="shared" si="13"/>
        <v>31.591112449033815</v>
      </c>
      <c r="H203" s="116">
        <f t="shared" si="14"/>
        <v>31.976203925607365</v>
      </c>
      <c r="I203" s="141">
        <f t="shared" si="15"/>
        <v>0</v>
      </c>
      <c r="J203" s="58">
        <f t="shared" si="12"/>
        <v>0</v>
      </c>
      <c r="K203" s="37"/>
    </row>
    <row r="204" spans="1:11" x14ac:dyDescent="0.25">
      <c r="A204" s="50">
        <f>'A) Base RI'!A206</f>
        <v>5727</v>
      </c>
      <c r="B204" s="301" t="str">
        <f>'A) Base RI'!B206</f>
        <v>Saint-Cergue</v>
      </c>
      <c r="C204" s="100">
        <f>'B) D RI'!U206</f>
        <v>84748.014494949501</v>
      </c>
      <c r="D204" s="116">
        <f>'E) Fact soc'!G210/C204</f>
        <v>18.300009981270652</v>
      </c>
      <c r="E204" s="141">
        <f>'H) Péréquation directe'!I215/C204</f>
        <v>4.8128560907849209</v>
      </c>
      <c r="F204" s="116">
        <f>+'I) Dépenses thématiques'!O204/'K) Plafonnement aide'!C204</f>
        <v>-3.1154114050577482</v>
      </c>
      <c r="G204" s="141">
        <f t="shared" si="13"/>
        <v>19.997454666997825</v>
      </c>
      <c r="H204" s="116">
        <f t="shared" si="14"/>
        <v>23.112866072055574</v>
      </c>
      <c r="I204" s="141">
        <f t="shared" si="15"/>
        <v>0</v>
      </c>
      <c r="J204" s="58">
        <f t="shared" si="12"/>
        <v>0</v>
      </c>
      <c r="K204" s="37"/>
    </row>
    <row r="205" spans="1:11" x14ac:dyDescent="0.25">
      <c r="A205" s="50">
        <f>'A) Base RI'!A207</f>
        <v>5728</v>
      </c>
      <c r="B205" s="301" t="str">
        <f>'A) Base RI'!B207</f>
        <v>Signy-Avenex</v>
      </c>
      <c r="C205" s="100">
        <f>'B) D RI'!U207</f>
        <v>44702.007068965519</v>
      </c>
      <c r="D205" s="116">
        <f>'E) Fact soc'!G211/C205</f>
        <v>23.582583360157962</v>
      </c>
      <c r="E205" s="141">
        <f>'H) Péréquation directe'!I216/C205</f>
        <v>16.676792249277451</v>
      </c>
      <c r="F205" s="116">
        <f>+'I) Dépenses thématiques'!O205/'K) Plafonnement aide'!C205</f>
        <v>0</v>
      </c>
      <c r="G205" s="141">
        <f t="shared" si="13"/>
        <v>40.259375609435409</v>
      </c>
      <c r="H205" s="116">
        <f t="shared" si="14"/>
        <v>40.259375609435409</v>
      </c>
      <c r="I205" s="141">
        <f t="shared" si="15"/>
        <v>0</v>
      </c>
      <c r="J205" s="58">
        <f t="shared" si="12"/>
        <v>0</v>
      </c>
      <c r="K205" s="37"/>
    </row>
    <row r="206" spans="1:11" x14ac:dyDescent="0.25">
      <c r="A206" s="50">
        <f>'A) Base RI'!A208</f>
        <v>5729</v>
      </c>
      <c r="B206" s="301" t="str">
        <f>'A) Base RI'!B208</f>
        <v>Tannay</v>
      </c>
      <c r="C206" s="100">
        <f>'B) D RI'!U208</f>
        <v>146853.68284153001</v>
      </c>
      <c r="D206" s="116">
        <f>'E) Fact soc'!G212/C206</f>
        <v>25.481910981601434</v>
      </c>
      <c r="E206" s="141">
        <f>'H) Péréquation directe'!I217/C206</f>
        <v>15.29543663182522</v>
      </c>
      <c r="F206" s="116">
        <f>+'I) Dépenses thématiques'!O206/'K) Plafonnement aide'!C206</f>
        <v>0</v>
      </c>
      <c r="G206" s="141">
        <f t="shared" si="13"/>
        <v>40.777347613426656</v>
      </c>
      <c r="H206" s="116">
        <f t="shared" si="14"/>
        <v>40.777347613426656</v>
      </c>
      <c r="I206" s="141">
        <f t="shared" si="15"/>
        <v>0</v>
      </c>
      <c r="J206" s="58">
        <f t="shared" si="12"/>
        <v>0</v>
      </c>
      <c r="K206" s="37"/>
    </row>
    <row r="207" spans="1:11" x14ac:dyDescent="0.25">
      <c r="A207" s="50">
        <f>'A) Base RI'!A209</f>
        <v>5730</v>
      </c>
      <c r="B207" s="301" t="str">
        <f>'A) Base RI'!B209</f>
        <v>Trélex</v>
      </c>
      <c r="C207" s="100">
        <f>'B) D RI'!U209</f>
        <v>160027.19017543856</v>
      </c>
      <c r="D207" s="116">
        <f>'E) Fact soc'!G213/C207</f>
        <v>28.357791261775262</v>
      </c>
      <c r="E207" s="141">
        <f>'H) Péréquation directe'!I218/C207</f>
        <v>15.171830966210123</v>
      </c>
      <c r="F207" s="116">
        <f>+'I) Dépenses thématiques'!O207/'K) Plafonnement aide'!C207</f>
        <v>0</v>
      </c>
      <c r="G207" s="141">
        <f t="shared" si="13"/>
        <v>43.529622227985385</v>
      </c>
      <c r="H207" s="116">
        <f t="shared" si="14"/>
        <v>43.529622227985385</v>
      </c>
      <c r="I207" s="141">
        <f t="shared" si="15"/>
        <v>0</v>
      </c>
      <c r="J207" s="58">
        <f t="shared" si="12"/>
        <v>0</v>
      </c>
      <c r="K207" s="37"/>
    </row>
    <row r="208" spans="1:11" x14ac:dyDescent="0.25">
      <c r="A208" s="50">
        <f>'A) Base RI'!A210</f>
        <v>5731</v>
      </c>
      <c r="B208" s="301" t="str">
        <f>'A) Base RI'!B210</f>
        <v>Le Vaud</v>
      </c>
      <c r="C208" s="100">
        <f>'B) D RI'!U210</f>
        <v>52834.667955555553</v>
      </c>
      <c r="D208" s="116">
        <f>'E) Fact soc'!G214/C208</f>
        <v>21.669787649208978</v>
      </c>
      <c r="E208" s="141">
        <f>'H) Péréquation directe'!I219/C208</f>
        <v>12.188220122619882</v>
      </c>
      <c r="F208" s="116">
        <f>+'I) Dépenses thématiques'!O208/'K) Plafonnement aide'!C208</f>
        <v>-2.0442643213520588</v>
      </c>
      <c r="G208" s="141">
        <f t="shared" si="13"/>
        <v>31.8137434504768</v>
      </c>
      <c r="H208" s="116">
        <f t="shared" si="14"/>
        <v>33.858007771828859</v>
      </c>
      <c r="I208" s="141">
        <f t="shared" si="15"/>
        <v>0</v>
      </c>
      <c r="J208" s="58">
        <f t="shared" si="12"/>
        <v>0</v>
      </c>
      <c r="K208" s="37"/>
    </row>
    <row r="209" spans="1:11" x14ac:dyDescent="0.25">
      <c r="A209" s="50">
        <f>'A) Base RI'!A211</f>
        <v>5732</v>
      </c>
      <c r="B209" s="301" t="str">
        <f>'A) Base RI'!B211</f>
        <v>Vich</v>
      </c>
      <c r="C209" s="100">
        <f>'B) D RI'!U211</f>
        <v>64551.747164179098</v>
      </c>
      <c r="D209" s="116">
        <f>'E) Fact soc'!G215/C209</f>
        <v>23.15909873825634</v>
      </c>
      <c r="E209" s="141">
        <f>'H) Péréquation directe'!I220/C209</f>
        <v>16.858848208502049</v>
      </c>
      <c r="F209" s="116">
        <f>+'I) Dépenses thématiques'!O209/'K) Plafonnement aide'!C209</f>
        <v>0</v>
      </c>
      <c r="G209" s="141">
        <f t="shared" si="13"/>
        <v>40.017946946758386</v>
      </c>
      <c r="H209" s="116">
        <f t="shared" si="14"/>
        <v>40.017946946758386</v>
      </c>
      <c r="I209" s="141">
        <f t="shared" si="15"/>
        <v>0</v>
      </c>
      <c r="J209" s="58">
        <f t="shared" si="12"/>
        <v>0</v>
      </c>
      <c r="K209" s="37"/>
    </row>
    <row r="210" spans="1:11" x14ac:dyDescent="0.25">
      <c r="A210" s="50">
        <f>'A) Base RI'!A212</f>
        <v>5741</v>
      </c>
      <c r="B210" s="301" t="str">
        <f>'A) Base RI'!B212</f>
        <v>L'Abergement</v>
      </c>
      <c r="C210" s="100">
        <f>'B) D RI'!U212</f>
        <v>7464.3302469135806</v>
      </c>
      <c r="D210" s="116">
        <f>'E) Fact soc'!G216/C210</f>
        <v>17.822052897536221</v>
      </c>
      <c r="E210" s="141">
        <f>'H) Péréquation directe'!I221/C210</f>
        <v>2.7107744070946276</v>
      </c>
      <c r="F210" s="116">
        <f>+'I) Dépenses thématiques'!O210/'K) Plafonnement aide'!C210</f>
        <v>-15.311681188197397</v>
      </c>
      <c r="G210" s="141">
        <f t="shared" si="13"/>
        <v>5.2211461164334523</v>
      </c>
      <c r="H210" s="116">
        <f t="shared" si="14"/>
        <v>20.53282730463085</v>
      </c>
      <c r="I210" s="141">
        <f t="shared" si="15"/>
        <v>0</v>
      </c>
      <c r="J210" s="58">
        <f t="shared" si="12"/>
        <v>0</v>
      </c>
      <c r="K210" s="37"/>
    </row>
    <row r="211" spans="1:11" x14ac:dyDescent="0.25">
      <c r="A211" s="50">
        <f>'A) Base RI'!A213</f>
        <v>5742</v>
      </c>
      <c r="B211" s="301" t="str">
        <f>'A) Base RI'!B213</f>
        <v>Agiez</v>
      </c>
      <c r="C211" s="100">
        <f>'B) D RI'!U213</f>
        <v>9132.5030263157914</v>
      </c>
      <c r="D211" s="116">
        <f>'E) Fact soc'!G217/C211</f>
        <v>15.834717485630616</v>
      </c>
      <c r="E211" s="141">
        <f>'H) Péréquation directe'!I222/C211</f>
        <v>1.3348420118930169</v>
      </c>
      <c r="F211" s="116">
        <f>+'I) Dépenses thématiques'!O211/'K) Plafonnement aide'!C211</f>
        <v>-0.67498834597864077</v>
      </c>
      <c r="G211" s="141">
        <f t="shared" si="13"/>
        <v>16.494571151544992</v>
      </c>
      <c r="H211" s="116">
        <f t="shared" si="14"/>
        <v>17.169559497523633</v>
      </c>
      <c r="I211" s="141">
        <f t="shared" si="15"/>
        <v>0</v>
      </c>
      <c r="J211" s="58">
        <f t="shared" si="12"/>
        <v>0</v>
      </c>
      <c r="K211" s="37"/>
    </row>
    <row r="212" spans="1:11" x14ac:dyDescent="0.25">
      <c r="A212" s="50">
        <f>'A) Base RI'!A214</f>
        <v>5743</v>
      </c>
      <c r="B212" s="301" t="str">
        <f>'A) Base RI'!B214</f>
        <v>Arnex-sur-Orbe</v>
      </c>
      <c r="C212" s="100">
        <f>'B) D RI'!U214</f>
        <v>18362.90517123288</v>
      </c>
      <c r="D212" s="116">
        <f>'E) Fact soc'!G218/C212</f>
        <v>22.805869657668751</v>
      </c>
      <c r="E212" s="141">
        <f>'H) Péréquation directe'!I223/C212</f>
        <v>3.9440224170741369</v>
      </c>
      <c r="F212" s="116">
        <f>+'I) Dépenses thématiques'!O212/'K) Plafonnement aide'!C212</f>
        <v>-3.3026537821713111</v>
      </c>
      <c r="G212" s="141">
        <f t="shared" si="13"/>
        <v>23.447238292571576</v>
      </c>
      <c r="H212" s="116">
        <f t="shared" si="14"/>
        <v>26.749892074742888</v>
      </c>
      <c r="I212" s="141">
        <f t="shared" si="15"/>
        <v>0</v>
      </c>
      <c r="J212" s="58">
        <f t="shared" si="12"/>
        <v>0</v>
      </c>
      <c r="K212" s="37"/>
    </row>
    <row r="213" spans="1:11" x14ac:dyDescent="0.25">
      <c r="A213" s="50">
        <f>'A) Base RI'!A215</f>
        <v>5744</v>
      </c>
      <c r="B213" s="301" t="str">
        <f>'A) Base RI'!B215</f>
        <v>Ballaigues</v>
      </c>
      <c r="C213" s="100">
        <f>'B) D RI'!U215</f>
        <v>46015.380909090905</v>
      </c>
      <c r="D213" s="116">
        <f>'E) Fact soc'!G219/C213</f>
        <v>24.122077488755391</v>
      </c>
      <c r="E213" s="141">
        <f>'H) Péréquation directe'!I224/C213</f>
        <v>15.328095224619592</v>
      </c>
      <c r="F213" s="116">
        <f>+'I) Dépenses thématiques'!O213/'K) Plafonnement aide'!C213</f>
        <v>-9.1769082976761887</v>
      </c>
      <c r="G213" s="141">
        <f t="shared" si="13"/>
        <v>30.273264415698794</v>
      </c>
      <c r="H213" s="116">
        <f t="shared" si="14"/>
        <v>39.450172713374982</v>
      </c>
      <c r="I213" s="141">
        <f t="shared" si="15"/>
        <v>0</v>
      </c>
      <c r="J213" s="58">
        <f t="shared" si="12"/>
        <v>0</v>
      </c>
      <c r="K213" s="37"/>
    </row>
    <row r="214" spans="1:11" x14ac:dyDescent="0.25">
      <c r="A214" s="50">
        <f>'A) Base RI'!A216</f>
        <v>5745</v>
      </c>
      <c r="B214" s="301" t="str">
        <f>'A) Base RI'!B216</f>
        <v>Baulmes</v>
      </c>
      <c r="C214" s="100">
        <f>'B) D RI'!U216</f>
        <v>27038.675769230769</v>
      </c>
      <c r="D214" s="116">
        <f>'E) Fact soc'!G220/C214</f>
        <v>22.530498260389226</v>
      </c>
      <c r="E214" s="141">
        <f>'H) Péréquation directe'!I225/C214</f>
        <v>-2.2512344205676635</v>
      </c>
      <c r="F214" s="116">
        <f>+'I) Dépenses thématiques'!O214/'K) Plafonnement aide'!C214</f>
        <v>-10.203446002523378</v>
      </c>
      <c r="G214" s="141">
        <f t="shared" si="13"/>
        <v>10.075817837298185</v>
      </c>
      <c r="H214" s="116">
        <f t="shared" si="14"/>
        <v>20.279263839821564</v>
      </c>
      <c r="I214" s="141">
        <f t="shared" si="15"/>
        <v>0</v>
      </c>
      <c r="J214" s="58">
        <f t="shared" si="12"/>
        <v>0</v>
      </c>
      <c r="K214" s="37"/>
    </row>
    <row r="215" spans="1:11" x14ac:dyDescent="0.25">
      <c r="A215" s="50">
        <f>'A) Base RI'!A217</f>
        <v>5746</v>
      </c>
      <c r="B215" s="301" t="str">
        <f>'A) Base RI'!B217</f>
        <v>Bavois</v>
      </c>
      <c r="C215" s="100">
        <f>'B) D RI'!U217</f>
        <v>26753.53392694064</v>
      </c>
      <c r="D215" s="116">
        <f>'E) Fact soc'!G221/C215</f>
        <v>17.312810774870854</v>
      </c>
      <c r="E215" s="141">
        <f>'H) Péréquation directe'!I226/C215</f>
        <v>3.0513022150086719</v>
      </c>
      <c r="F215" s="116">
        <f>+'I) Dépenses thématiques'!O215/'K) Plafonnement aide'!C215</f>
        <v>-8.0392877217466836</v>
      </c>
      <c r="G215" s="141">
        <f t="shared" si="13"/>
        <v>12.324825268132843</v>
      </c>
      <c r="H215" s="116">
        <f t="shared" si="14"/>
        <v>20.364112989879526</v>
      </c>
      <c r="I215" s="141">
        <f t="shared" si="15"/>
        <v>0</v>
      </c>
      <c r="J215" s="58">
        <f t="shared" si="12"/>
        <v>0</v>
      </c>
      <c r="K215" s="37"/>
    </row>
    <row r="216" spans="1:11" x14ac:dyDescent="0.25">
      <c r="A216" s="50">
        <f>'A) Base RI'!A218</f>
        <v>5747</v>
      </c>
      <c r="B216" s="301" t="str">
        <f>'A) Base RI'!B218</f>
        <v>Bofflens</v>
      </c>
      <c r="C216" s="100">
        <f>'B) D RI'!U218</f>
        <v>4985.4308695652171</v>
      </c>
      <c r="D216" s="116">
        <f>'E) Fact soc'!G222/C216</f>
        <v>18.544957786155912</v>
      </c>
      <c r="E216" s="141">
        <f>'H) Péréquation directe'!I227/C216</f>
        <v>0.46838463020306204</v>
      </c>
      <c r="F216" s="116">
        <f>+'I) Dépenses thématiques'!O216/'K) Plafonnement aide'!C216</f>
        <v>-7.0330800636558832</v>
      </c>
      <c r="G216" s="141">
        <f t="shared" si="13"/>
        <v>11.98026235270309</v>
      </c>
      <c r="H216" s="116">
        <f t="shared" si="14"/>
        <v>19.013342416358974</v>
      </c>
      <c r="I216" s="141">
        <f t="shared" si="15"/>
        <v>0</v>
      </c>
      <c r="J216" s="58">
        <f t="shared" si="12"/>
        <v>0</v>
      </c>
      <c r="K216" s="37"/>
    </row>
    <row r="217" spans="1:11" x14ac:dyDescent="0.25">
      <c r="A217" s="50">
        <f>'A) Base RI'!A219</f>
        <v>5748</v>
      </c>
      <c r="B217" s="301" t="str">
        <f>'A) Base RI'!B219</f>
        <v>Bretonnières</v>
      </c>
      <c r="C217" s="100">
        <f>'B) D RI'!U219</f>
        <v>5553.3427314814826</v>
      </c>
      <c r="D217" s="116">
        <f>'E) Fact soc'!G223/C217</f>
        <v>18.909314917455493</v>
      </c>
      <c r="E217" s="141">
        <f>'H) Péréquation directe'!I228/C217</f>
        <v>-9.4618597340974659</v>
      </c>
      <c r="F217" s="116">
        <f>+'I) Dépenses thématiques'!O217/'K) Plafonnement aide'!C217</f>
        <v>-9.121282122241718</v>
      </c>
      <c r="G217" s="141">
        <f t="shared" si="13"/>
        <v>0.32617306111630917</v>
      </c>
      <c r="H217" s="116">
        <f t="shared" si="14"/>
        <v>9.4474551833580271</v>
      </c>
      <c r="I217" s="141">
        <f t="shared" si="15"/>
        <v>0</v>
      </c>
      <c r="J217" s="58">
        <f t="shared" si="12"/>
        <v>0</v>
      </c>
      <c r="K217" s="37"/>
    </row>
    <row r="218" spans="1:11" x14ac:dyDescent="0.25">
      <c r="A218" s="50">
        <f>'A) Base RI'!A220</f>
        <v>5749</v>
      </c>
      <c r="B218" s="301" t="str">
        <f>'A) Base RI'!B220</f>
        <v>Chavornay</v>
      </c>
      <c r="C218" s="100">
        <f>'B) D RI'!U220</f>
        <v>140775.19611111109</v>
      </c>
      <c r="D218" s="116">
        <f>'E) Fact soc'!G224/C218</f>
        <v>17.41390340589097</v>
      </c>
      <c r="E218" s="141">
        <f>'H) Péréquation directe'!I229/C218</f>
        <v>-6.1114280417076134</v>
      </c>
      <c r="F218" s="116">
        <f>+'I) Dépenses thématiques'!O218/'K) Plafonnement aide'!C218</f>
        <v>-3.0919902039312763</v>
      </c>
      <c r="G218" s="141">
        <f t="shared" si="13"/>
        <v>8.2104851602520803</v>
      </c>
      <c r="H218" s="116">
        <f t="shared" si="14"/>
        <v>11.302475364183357</v>
      </c>
      <c r="I218" s="141">
        <f t="shared" si="15"/>
        <v>0</v>
      </c>
      <c r="J218" s="58">
        <f t="shared" si="12"/>
        <v>0</v>
      </c>
      <c r="K218" s="37"/>
    </row>
    <row r="219" spans="1:11" x14ac:dyDescent="0.25">
      <c r="A219" s="50">
        <f>'A) Base RI'!A221</f>
        <v>5750</v>
      </c>
      <c r="B219" s="301" t="str">
        <f>'A) Base RI'!B221</f>
        <v>Les Clées</v>
      </c>
      <c r="C219" s="100">
        <f>'B) D RI'!U221</f>
        <v>5155.3168750000004</v>
      </c>
      <c r="D219" s="116">
        <f>'E) Fact soc'!G225/C219</f>
        <v>14.648061385363652</v>
      </c>
      <c r="E219" s="141">
        <f>'H) Péréquation directe'!I230/C219</f>
        <v>-0.28361378864412429</v>
      </c>
      <c r="F219" s="116">
        <f>+'I) Dépenses thématiques'!O219/'K) Plafonnement aide'!C219</f>
        <v>-9.0498596039904555</v>
      </c>
      <c r="G219" s="141">
        <f t="shared" si="13"/>
        <v>5.3145879927290718</v>
      </c>
      <c r="H219" s="116">
        <f t="shared" si="14"/>
        <v>14.364447596719527</v>
      </c>
      <c r="I219" s="141">
        <f t="shared" si="15"/>
        <v>0</v>
      </c>
      <c r="J219" s="58">
        <f t="shared" si="12"/>
        <v>0</v>
      </c>
      <c r="K219" s="37"/>
    </row>
    <row r="220" spans="1:11" x14ac:dyDescent="0.25">
      <c r="A220" s="50">
        <f>'A) Base RI'!A222</f>
        <v>5752</v>
      </c>
      <c r="B220" s="301" t="str">
        <f>'A) Base RI'!B222</f>
        <v>Croy</v>
      </c>
      <c r="C220" s="100">
        <f>'B) D RI'!U222</f>
        <v>10753.005424710425</v>
      </c>
      <c r="D220" s="116">
        <f>'E) Fact soc'!G226/C220</f>
        <v>17.127591323283408</v>
      </c>
      <c r="E220" s="141">
        <f>'H) Péréquation directe'!I231/C220</f>
        <v>0.16041473888797109</v>
      </c>
      <c r="F220" s="116">
        <f>+'I) Dépenses thématiques'!O220/'K) Plafonnement aide'!C220</f>
        <v>-12.956468037752524</v>
      </c>
      <c r="G220" s="141">
        <f t="shared" si="13"/>
        <v>4.3315380244188564</v>
      </c>
      <c r="H220" s="116">
        <f t="shared" si="14"/>
        <v>17.28800606217138</v>
      </c>
      <c r="I220" s="141">
        <f t="shared" si="15"/>
        <v>0</v>
      </c>
      <c r="J220" s="58">
        <f t="shared" si="12"/>
        <v>0</v>
      </c>
      <c r="K220" s="37"/>
    </row>
    <row r="221" spans="1:11" x14ac:dyDescent="0.25">
      <c r="A221" s="50">
        <f>'A) Base RI'!A223</f>
        <v>5754</v>
      </c>
      <c r="B221" s="301" t="str">
        <f>'A) Base RI'!B223</f>
        <v>Juriens</v>
      </c>
      <c r="C221" s="100">
        <f>'B) D RI'!U223</f>
        <v>8035.95670886076</v>
      </c>
      <c r="D221" s="116">
        <f>'E) Fact soc'!G227/C221</f>
        <v>15.221118421756172</v>
      </c>
      <c r="E221" s="141">
        <f>'H) Péréquation directe'!I232/C221</f>
        <v>-2.8652110876400032</v>
      </c>
      <c r="F221" s="116">
        <f>+'I) Dépenses thématiques'!O221/'K) Plafonnement aide'!C221</f>
        <v>-2.940438287465037</v>
      </c>
      <c r="G221" s="141">
        <f t="shared" si="13"/>
        <v>9.4154690466511308</v>
      </c>
      <c r="H221" s="116">
        <f t="shared" si="14"/>
        <v>12.355907334116168</v>
      </c>
      <c r="I221" s="141">
        <f t="shared" si="15"/>
        <v>0</v>
      </c>
      <c r="J221" s="58">
        <f t="shared" si="12"/>
        <v>0</v>
      </c>
      <c r="K221" s="37"/>
    </row>
    <row r="222" spans="1:11" x14ac:dyDescent="0.25">
      <c r="A222" s="50">
        <f>'A) Base RI'!A224</f>
        <v>5755</v>
      </c>
      <c r="B222" s="301" t="str">
        <f>'A) Base RI'!B224</f>
        <v>Lignerolle</v>
      </c>
      <c r="C222" s="100">
        <f>'B) D RI'!U224</f>
        <v>9584.7876607142862</v>
      </c>
      <c r="D222" s="116">
        <f>'E) Fact soc'!G228/C222</f>
        <v>16.843005795451994</v>
      </c>
      <c r="E222" s="141">
        <f>'H) Péréquation directe'!I233/C222</f>
        <v>-10.420678658408557</v>
      </c>
      <c r="F222" s="116">
        <f>+'I) Dépenses thématiques'!O222/'K) Plafonnement aide'!C222</f>
        <v>-17.13612099290636</v>
      </c>
      <c r="G222" s="141">
        <f t="shared" si="13"/>
        <v>-10.713793855862923</v>
      </c>
      <c r="H222" s="116">
        <f t="shared" si="14"/>
        <v>6.4223271370434372</v>
      </c>
      <c r="I222" s="141">
        <f t="shared" si="15"/>
        <v>0</v>
      </c>
      <c r="J222" s="58">
        <f t="shared" si="12"/>
        <v>0</v>
      </c>
      <c r="K222" s="37"/>
    </row>
    <row r="223" spans="1:11" x14ac:dyDescent="0.25">
      <c r="A223" s="50">
        <f>'A) Base RI'!A225</f>
        <v>5756</v>
      </c>
      <c r="B223" s="301" t="str">
        <f>'A) Base RI'!B225</f>
        <v>Montcherand</v>
      </c>
      <c r="C223" s="100">
        <f>'B) D RI'!U225</f>
        <v>15844.670555555553</v>
      </c>
      <c r="D223" s="116">
        <f>'E) Fact soc'!G229/C223</f>
        <v>15.546096397258768</v>
      </c>
      <c r="E223" s="141">
        <f>'H) Péréquation directe'!I234/C223</f>
        <v>7.8561855242709369</v>
      </c>
      <c r="F223" s="116">
        <f>+'I) Dépenses thématiques'!O223/'K) Plafonnement aide'!C223</f>
        <v>-3.8302943881003362</v>
      </c>
      <c r="G223" s="141">
        <f t="shared" si="13"/>
        <v>19.571987533429372</v>
      </c>
      <c r="H223" s="116">
        <f t="shared" si="14"/>
        <v>23.402281921529706</v>
      </c>
      <c r="I223" s="141">
        <f t="shared" si="15"/>
        <v>0</v>
      </c>
      <c r="J223" s="58">
        <f t="shared" si="12"/>
        <v>0</v>
      </c>
      <c r="K223" s="37"/>
    </row>
    <row r="224" spans="1:11" x14ac:dyDescent="0.25">
      <c r="A224" s="50">
        <f>'A) Base RI'!A226</f>
        <v>5757</v>
      </c>
      <c r="B224" s="301" t="str">
        <f>'A) Base RI'!B226</f>
        <v>Orbe</v>
      </c>
      <c r="C224" s="100">
        <f>'B) D RI'!U226</f>
        <v>227545.70272727273</v>
      </c>
      <c r="D224" s="116">
        <f>'E) Fact soc'!G230/C224</f>
        <v>20.880814612129008</v>
      </c>
      <c r="E224" s="141">
        <f>'H) Péréquation directe'!I235/C224</f>
        <v>-2.8591085285109115</v>
      </c>
      <c r="F224" s="116">
        <f>+'I) Dépenses thématiques'!O224/'K) Plafonnement aide'!C224</f>
        <v>-5.6892932644419734</v>
      </c>
      <c r="G224" s="141">
        <f t="shared" si="13"/>
        <v>12.332412819176122</v>
      </c>
      <c r="H224" s="116">
        <f t="shared" si="14"/>
        <v>18.021706083618096</v>
      </c>
      <c r="I224" s="141">
        <f t="shared" si="15"/>
        <v>0</v>
      </c>
      <c r="J224" s="58">
        <f t="shared" si="12"/>
        <v>0</v>
      </c>
      <c r="K224" s="37"/>
    </row>
    <row r="225" spans="1:11" x14ac:dyDescent="0.25">
      <c r="A225" s="50">
        <f>'A) Base RI'!A227</f>
        <v>5758</v>
      </c>
      <c r="B225" s="301" t="str">
        <f>'A) Base RI'!B227</f>
        <v>La Praz</v>
      </c>
      <c r="C225" s="100">
        <f>'B) D RI'!U227</f>
        <v>4452.397389558233</v>
      </c>
      <c r="D225" s="116">
        <f>'E) Fact soc'!G231/C225</f>
        <v>21.961936188492768</v>
      </c>
      <c r="E225" s="141">
        <f>'H) Péréquation directe'!I236/C225</f>
        <v>-3.0451062861889615</v>
      </c>
      <c r="F225" s="116">
        <f>+'I) Dépenses thématiques'!O225/'K) Plafonnement aide'!C225</f>
        <v>-5.1743194029425839</v>
      </c>
      <c r="G225" s="141">
        <f t="shared" si="13"/>
        <v>13.742510499361224</v>
      </c>
      <c r="H225" s="116">
        <f t="shared" si="14"/>
        <v>18.916829902303807</v>
      </c>
      <c r="I225" s="141">
        <f t="shared" si="15"/>
        <v>0</v>
      </c>
      <c r="J225" s="58">
        <f t="shared" si="12"/>
        <v>0</v>
      </c>
      <c r="K225" s="37"/>
    </row>
    <row r="226" spans="1:11" x14ac:dyDescent="0.25">
      <c r="A226" s="50">
        <f>'A) Base RI'!A228</f>
        <v>5759</v>
      </c>
      <c r="B226" s="301" t="str">
        <f>'A) Base RI'!B228</f>
        <v>Premier</v>
      </c>
      <c r="C226" s="100">
        <f>'B) D RI'!U228</f>
        <v>4744.6671604938274</v>
      </c>
      <c r="D226" s="116">
        <f>'E) Fact soc'!G232/C226</f>
        <v>21.081796743100174</v>
      </c>
      <c r="E226" s="141">
        <f>'H) Péréquation directe'!I237/C226</f>
        <v>-12.150680829519326</v>
      </c>
      <c r="F226" s="116">
        <f>+'I) Dépenses thématiques'!O226/'K) Plafonnement aide'!C226</f>
        <v>-14.535667997606106</v>
      </c>
      <c r="G226" s="141">
        <f t="shared" si="13"/>
        <v>-5.6045520840252578</v>
      </c>
      <c r="H226" s="116">
        <f t="shared" si="14"/>
        <v>8.9311159135808484</v>
      </c>
      <c r="I226" s="141">
        <f t="shared" si="15"/>
        <v>0</v>
      </c>
      <c r="J226" s="58">
        <f t="shared" si="12"/>
        <v>0</v>
      </c>
      <c r="K226" s="37"/>
    </row>
    <row r="227" spans="1:11" x14ac:dyDescent="0.25">
      <c r="A227" s="50">
        <f>'A) Base RI'!A229</f>
        <v>5760</v>
      </c>
      <c r="B227" s="301" t="str">
        <f>'A) Base RI'!B229</f>
        <v>Rances</v>
      </c>
      <c r="C227" s="100">
        <f>'B) D RI'!U229</f>
        <v>11427.8147008547</v>
      </c>
      <c r="D227" s="116">
        <f>'E) Fact soc'!G233/C227</f>
        <v>18.409785729801889</v>
      </c>
      <c r="E227" s="141">
        <f>'H) Péréquation directe'!I238/C227</f>
        <v>-6.9872650090101081</v>
      </c>
      <c r="F227" s="116">
        <f>+'I) Dépenses thématiques'!O227/'K) Plafonnement aide'!C227</f>
        <v>-11.47401071472539</v>
      </c>
      <c r="G227" s="141">
        <f t="shared" si="13"/>
        <v>-5.1489993933609313E-2</v>
      </c>
      <c r="H227" s="116">
        <f t="shared" si="14"/>
        <v>11.42252072079178</v>
      </c>
      <c r="I227" s="141">
        <f t="shared" si="15"/>
        <v>0</v>
      </c>
      <c r="J227" s="58">
        <f t="shared" si="12"/>
        <v>0</v>
      </c>
      <c r="K227" s="37"/>
    </row>
    <row r="228" spans="1:11" x14ac:dyDescent="0.25">
      <c r="A228" s="50">
        <f>'A) Base RI'!A230</f>
        <v>5761</v>
      </c>
      <c r="B228" s="301" t="str">
        <f>'A) Base RI'!B230</f>
        <v>Romainmôtier-Envy</v>
      </c>
      <c r="C228" s="100">
        <f>'B) D RI'!U230</f>
        <v>14843.375263748598</v>
      </c>
      <c r="D228" s="116">
        <f>'E) Fact soc'!G234/C228</f>
        <v>18.515625722203389</v>
      </c>
      <c r="E228" s="141">
        <f>'H) Péréquation directe'!I239/C228</f>
        <v>-1.3080229344389946</v>
      </c>
      <c r="F228" s="116">
        <f>+'I) Dépenses thématiques'!O228/'K) Plafonnement aide'!C228</f>
        <v>-6.6724108089535266</v>
      </c>
      <c r="G228" s="141">
        <f t="shared" si="13"/>
        <v>10.535191978810868</v>
      </c>
      <c r="H228" s="116">
        <f t="shared" si="14"/>
        <v>17.207602787764394</v>
      </c>
      <c r="I228" s="141">
        <f t="shared" si="15"/>
        <v>0</v>
      </c>
      <c r="J228" s="58">
        <f t="shared" si="12"/>
        <v>0</v>
      </c>
      <c r="K228" s="37"/>
    </row>
    <row r="229" spans="1:11" x14ac:dyDescent="0.25">
      <c r="A229" s="50">
        <f>'A) Base RI'!A231</f>
        <v>5762</v>
      </c>
      <c r="B229" s="301" t="str">
        <f>'A) Base RI'!B231</f>
        <v>Sergey</v>
      </c>
      <c r="C229" s="100">
        <f>'B) D RI'!U231</f>
        <v>3817.1048717948711</v>
      </c>
      <c r="D229" s="116">
        <f>'E) Fact soc'!G235/C229</f>
        <v>15.189000589929917</v>
      </c>
      <c r="E229" s="141">
        <f>'H) Péréquation directe'!I240/C229</f>
        <v>-2.3182527303196947</v>
      </c>
      <c r="F229" s="116">
        <f>+'I) Dépenses thématiques'!O229/'K) Plafonnement aide'!C229</f>
        <v>-4.9134486026380637</v>
      </c>
      <c r="G229" s="141">
        <f t="shared" si="13"/>
        <v>7.957299256972159</v>
      </c>
      <c r="H229" s="116">
        <f t="shared" si="14"/>
        <v>12.870747859610223</v>
      </c>
      <c r="I229" s="141">
        <f t="shared" si="15"/>
        <v>0</v>
      </c>
      <c r="J229" s="58">
        <f t="shared" si="12"/>
        <v>0</v>
      </c>
      <c r="K229" s="37"/>
    </row>
    <row r="230" spans="1:11" x14ac:dyDescent="0.25">
      <c r="A230" s="50">
        <f>'A) Base RI'!A232</f>
        <v>5763</v>
      </c>
      <c r="B230" s="301" t="str">
        <f>'A) Base RI'!B232</f>
        <v>Valeyres-sous-Rances</v>
      </c>
      <c r="C230" s="100">
        <f>'B) D RI'!U232</f>
        <v>21043.479230769233</v>
      </c>
      <c r="D230" s="116">
        <f>'E) Fact soc'!G236/C230</f>
        <v>14.885194270603741</v>
      </c>
      <c r="E230" s="141">
        <f>'H) Péréquation directe'!I241/C230</f>
        <v>10.460074324235904</v>
      </c>
      <c r="F230" s="116">
        <f>+'I) Dépenses thématiques'!O230/'K) Plafonnement aide'!C230</f>
        <v>-8.8202799320353513</v>
      </c>
      <c r="G230" s="141">
        <f t="shared" si="13"/>
        <v>16.524988662804294</v>
      </c>
      <c r="H230" s="116">
        <f t="shared" si="14"/>
        <v>25.345268594839645</v>
      </c>
      <c r="I230" s="141">
        <f t="shared" si="15"/>
        <v>0</v>
      </c>
      <c r="J230" s="58">
        <f t="shared" si="12"/>
        <v>0</v>
      </c>
      <c r="K230" s="37"/>
    </row>
    <row r="231" spans="1:11" x14ac:dyDescent="0.25">
      <c r="A231" s="50">
        <f>'A) Base RI'!A233</f>
        <v>5764</v>
      </c>
      <c r="B231" s="301" t="str">
        <f>'A) Base RI'!B233</f>
        <v>Vallorbe</v>
      </c>
      <c r="C231" s="100">
        <f>'B) D RI'!U233</f>
        <v>86289.103835616435</v>
      </c>
      <c r="D231" s="116">
        <f>'E) Fact soc'!G237/C231</f>
        <v>24.641103439712388</v>
      </c>
      <c r="E231" s="141">
        <f>'H) Péréquation directe'!I242/C231</f>
        <v>-16.615833385230562</v>
      </c>
      <c r="F231" s="116">
        <f>+'I) Dépenses thématiques'!O231/'K) Plafonnement aide'!C231</f>
        <v>-20.617857620482436</v>
      </c>
      <c r="G231" s="141">
        <f t="shared" si="13"/>
        <v>-12.59258756600061</v>
      </c>
      <c r="H231" s="116">
        <f t="shared" si="14"/>
        <v>8.0252700544818261</v>
      </c>
      <c r="I231" s="141">
        <f t="shared" si="15"/>
        <v>0</v>
      </c>
      <c r="J231" s="58">
        <f t="shared" si="12"/>
        <v>0</v>
      </c>
      <c r="K231" s="37"/>
    </row>
    <row r="232" spans="1:11" x14ac:dyDescent="0.25">
      <c r="A232" s="50">
        <f>'A) Base RI'!A234</f>
        <v>5765</v>
      </c>
      <c r="B232" s="301" t="str">
        <f>'A) Base RI'!B234</f>
        <v>Vaulion</v>
      </c>
      <c r="C232" s="100">
        <f>'B) D RI'!U234</f>
        <v>9839.660864197529</v>
      </c>
      <c r="D232" s="116">
        <f>'E) Fact soc'!G238/C232</f>
        <v>18.796961128280159</v>
      </c>
      <c r="E232" s="141">
        <f>'H) Péréquation directe'!I243/C232</f>
        <v>-15.681078817069015</v>
      </c>
      <c r="F232" s="116">
        <f>+'I) Dépenses thématiques'!O232/'K) Plafonnement aide'!C232</f>
        <v>-14.18015450728406</v>
      </c>
      <c r="G232" s="141">
        <f t="shared" si="13"/>
        <v>-11.064272196072915</v>
      </c>
      <c r="H232" s="116">
        <f t="shared" si="14"/>
        <v>3.1158823112111449</v>
      </c>
      <c r="I232" s="141">
        <f t="shared" si="15"/>
        <v>0</v>
      </c>
      <c r="J232" s="58">
        <f t="shared" si="12"/>
        <v>0</v>
      </c>
      <c r="K232" s="37"/>
    </row>
    <row r="233" spans="1:11" x14ac:dyDescent="0.25">
      <c r="A233" s="50">
        <f>'A) Base RI'!A235</f>
        <v>5766</v>
      </c>
      <c r="B233" s="301" t="str">
        <f>'A) Base RI'!B235</f>
        <v>Vuiteboeuf</v>
      </c>
      <c r="C233" s="100">
        <f>'B) D RI'!U235</f>
        <v>13336.017235621519</v>
      </c>
      <c r="D233" s="116">
        <f>'E) Fact soc'!G239/C233</f>
        <v>16.731753618705362</v>
      </c>
      <c r="E233" s="141">
        <f>'H) Péréquation directe'!I244/C233</f>
        <v>-8.3055904833063749</v>
      </c>
      <c r="F233" s="116">
        <f>+'I) Dépenses thématiques'!O233/'K) Plafonnement aide'!C233</f>
        <v>-7.8030422157058625</v>
      </c>
      <c r="G233" s="141">
        <f t="shared" si="13"/>
        <v>0.62312091969312444</v>
      </c>
      <c r="H233" s="116">
        <f t="shared" si="14"/>
        <v>8.426163135398987</v>
      </c>
      <c r="I233" s="141">
        <f t="shared" si="15"/>
        <v>0</v>
      </c>
      <c r="J233" s="58">
        <f t="shared" si="12"/>
        <v>0</v>
      </c>
      <c r="K233" s="37"/>
    </row>
    <row r="234" spans="1:11" x14ac:dyDescent="0.25">
      <c r="A234" s="50">
        <f>'A) Base RI'!A236</f>
        <v>5785</v>
      </c>
      <c r="B234" s="301" t="str">
        <f>'A) Base RI'!B236</f>
        <v>Corcelles-le-Jorat</v>
      </c>
      <c r="C234" s="100">
        <f>'B) D RI'!U236</f>
        <v>15649.981168831173</v>
      </c>
      <c r="D234" s="116">
        <f>'E) Fact soc'!G240/C234</f>
        <v>16.275001195062487</v>
      </c>
      <c r="E234" s="141">
        <f>'H) Péréquation directe'!I245/C234</f>
        <v>9.5179935314451445</v>
      </c>
      <c r="F234" s="116">
        <f>+'I) Dépenses thématiques'!O234/'K) Plafonnement aide'!C234</f>
        <v>-3.0329532599707809</v>
      </c>
      <c r="G234" s="141">
        <f t="shared" si="13"/>
        <v>22.760041466536848</v>
      </c>
      <c r="H234" s="116">
        <f t="shared" si="14"/>
        <v>25.792994726507629</v>
      </c>
      <c r="I234" s="141">
        <f t="shared" si="15"/>
        <v>0</v>
      </c>
      <c r="J234" s="58">
        <f t="shared" si="12"/>
        <v>0</v>
      </c>
      <c r="K234" s="37"/>
    </row>
    <row r="235" spans="1:11" x14ac:dyDescent="0.25">
      <c r="A235" s="50">
        <f>'A) Base RI'!A237</f>
        <v>5788</v>
      </c>
      <c r="B235" s="301" t="str">
        <f>'A) Base RI'!B237</f>
        <v>Essertes</v>
      </c>
      <c r="C235" s="100">
        <f>'B) D RI'!U237</f>
        <v>11949.454583333332</v>
      </c>
      <c r="D235" s="116">
        <f>'E) Fact soc'!G241/C235</f>
        <v>16.578088187820626</v>
      </c>
      <c r="E235" s="141">
        <f>'H) Péréquation directe'!I246/C235</f>
        <v>7.4078598922759626</v>
      </c>
      <c r="F235" s="116">
        <f>+'I) Dépenses thématiques'!O235/'K) Plafonnement aide'!C235</f>
        <v>-1.2662838517732025</v>
      </c>
      <c r="G235" s="141">
        <f t="shared" si="13"/>
        <v>22.719664228323385</v>
      </c>
      <c r="H235" s="116">
        <f t="shared" si="14"/>
        <v>23.985948080096588</v>
      </c>
      <c r="I235" s="141">
        <f t="shared" si="15"/>
        <v>0</v>
      </c>
      <c r="J235" s="58">
        <f t="shared" si="12"/>
        <v>0</v>
      </c>
      <c r="K235" s="37"/>
    </row>
    <row r="236" spans="1:11" x14ac:dyDescent="0.25">
      <c r="A236" s="50">
        <f>'A) Base RI'!A238</f>
        <v>5790</v>
      </c>
      <c r="B236" s="301" t="str">
        <f>'A) Base RI'!B238</f>
        <v>Maracon</v>
      </c>
      <c r="C236" s="100">
        <f>'B) D RI'!U238</f>
        <v>13289.151710526314</v>
      </c>
      <c r="D236" s="116">
        <f>'E) Fact soc'!G242/C236</f>
        <v>19.786801783212006</v>
      </c>
      <c r="E236" s="141">
        <f>'H) Péréquation directe'!I247/C236</f>
        <v>-4.3786007442775263E-2</v>
      </c>
      <c r="F236" s="116">
        <f>+'I) Dépenses thématiques'!O236/'K) Plafonnement aide'!C236</f>
        <v>-7.3539166241363798</v>
      </c>
      <c r="G236" s="141">
        <f t="shared" si="13"/>
        <v>12.38909915163285</v>
      </c>
      <c r="H236" s="116">
        <f t="shared" si="14"/>
        <v>19.74301577576923</v>
      </c>
      <c r="I236" s="141">
        <f t="shared" si="15"/>
        <v>0</v>
      </c>
      <c r="J236" s="58">
        <f t="shared" si="12"/>
        <v>0</v>
      </c>
      <c r="K236" s="37"/>
    </row>
    <row r="237" spans="1:11" x14ac:dyDescent="0.25">
      <c r="A237" s="50">
        <f>'A) Base RI'!A239</f>
        <v>5792</v>
      </c>
      <c r="B237" s="301" t="str">
        <f>'A) Base RI'!B239</f>
        <v>Montpreveyres</v>
      </c>
      <c r="C237" s="100">
        <f>'B) D RI'!U239</f>
        <v>18753.372987012986</v>
      </c>
      <c r="D237" s="116">
        <f>'E) Fact soc'!G243/C237</f>
        <v>18.395094750069088</v>
      </c>
      <c r="E237" s="141">
        <f>'H) Péréquation directe'!I248/C237</f>
        <v>2.7251837034295696</v>
      </c>
      <c r="F237" s="116">
        <f>+'I) Dépenses thématiques'!O237/'K) Plafonnement aide'!C237</f>
        <v>-6.7830950672366308</v>
      </c>
      <c r="G237" s="141">
        <f t="shared" si="13"/>
        <v>14.337183386262026</v>
      </c>
      <c r="H237" s="116">
        <f t="shared" si="14"/>
        <v>21.120278453498656</v>
      </c>
      <c r="I237" s="141">
        <f t="shared" si="15"/>
        <v>0</v>
      </c>
      <c r="J237" s="58">
        <f t="shared" si="12"/>
        <v>0</v>
      </c>
      <c r="K237" s="37"/>
    </row>
    <row r="238" spans="1:11" x14ac:dyDescent="0.25">
      <c r="A238" s="50">
        <f>'A) Base RI'!A240</f>
        <v>5798</v>
      </c>
      <c r="B238" s="301" t="str">
        <f>'A) Base RI'!B240</f>
        <v>Ropraz</v>
      </c>
      <c r="C238" s="100">
        <f>'B) D RI'!U240</f>
        <v>13764.738967741932</v>
      </c>
      <c r="D238" s="116">
        <f>'E) Fact soc'!G244/C238</f>
        <v>18.19190418079906</v>
      </c>
      <c r="E238" s="141">
        <f>'H) Péréquation directe'!I249/C238</f>
        <v>0.67694266871645292</v>
      </c>
      <c r="F238" s="116">
        <f>+'I) Dépenses thématiques'!O238/'K) Plafonnement aide'!C238</f>
        <v>-5.335408491757101</v>
      </c>
      <c r="G238" s="141">
        <f t="shared" si="13"/>
        <v>13.533438357758413</v>
      </c>
      <c r="H238" s="116">
        <f t="shared" si="14"/>
        <v>18.868846849515513</v>
      </c>
      <c r="I238" s="141">
        <f t="shared" si="15"/>
        <v>0</v>
      </c>
      <c r="J238" s="58">
        <f t="shared" si="12"/>
        <v>0</v>
      </c>
      <c r="K238" s="37"/>
    </row>
    <row r="239" spans="1:11" x14ac:dyDescent="0.25">
      <c r="A239" s="50">
        <f>'A) Base RI'!A241</f>
        <v>5799</v>
      </c>
      <c r="B239" s="301" t="str">
        <f>'A) Base RI'!B241</f>
        <v>Servion</v>
      </c>
      <c r="C239" s="100">
        <f>'B) D RI'!U241</f>
        <v>69335.991449275345</v>
      </c>
      <c r="D239" s="116">
        <f>'E) Fact soc'!G245/C239</f>
        <v>19.218554802678771</v>
      </c>
      <c r="E239" s="141">
        <f>'H) Péréquation directe'!I250/C239</f>
        <v>7.8349917548834052</v>
      </c>
      <c r="F239" s="116">
        <f>+'I) Dépenses thématiques'!O239/'K) Plafonnement aide'!C239</f>
        <v>-2.9519261148328404</v>
      </c>
      <c r="G239" s="141">
        <f t="shared" si="13"/>
        <v>24.101620442729335</v>
      </c>
      <c r="H239" s="116">
        <f t="shared" si="14"/>
        <v>27.053546557562175</v>
      </c>
      <c r="I239" s="141">
        <f t="shared" si="15"/>
        <v>0</v>
      </c>
      <c r="J239" s="58">
        <f t="shared" si="12"/>
        <v>0</v>
      </c>
      <c r="K239" s="37"/>
    </row>
    <row r="240" spans="1:11" x14ac:dyDescent="0.25">
      <c r="A240" s="50">
        <f>'A) Base RI'!A242</f>
        <v>5803</v>
      </c>
      <c r="B240" s="301" t="str">
        <f>'A) Base RI'!B242</f>
        <v>Vulliens</v>
      </c>
      <c r="C240" s="100">
        <f>'B) D RI'!U242</f>
        <v>16619.681923076922</v>
      </c>
      <c r="D240" s="116">
        <f>'E) Fact soc'!G246/C240</f>
        <v>18.577918399649118</v>
      </c>
      <c r="E240" s="141">
        <f>'H) Péréquation directe'!I251/C240</f>
        <v>0.5908359134758534</v>
      </c>
      <c r="F240" s="116">
        <f>+'I) Dépenses thématiques'!O240/'K) Plafonnement aide'!C240</f>
        <v>-4.123845749563225</v>
      </c>
      <c r="G240" s="141">
        <f t="shared" si="13"/>
        <v>15.044908563561746</v>
      </c>
      <c r="H240" s="116">
        <f t="shared" si="14"/>
        <v>19.168754313124971</v>
      </c>
      <c r="I240" s="141">
        <f t="shared" si="15"/>
        <v>0</v>
      </c>
      <c r="J240" s="58">
        <f t="shared" si="12"/>
        <v>0</v>
      </c>
      <c r="K240" s="37"/>
    </row>
    <row r="241" spans="1:11" x14ac:dyDescent="0.25">
      <c r="A241" s="50">
        <f>'A) Base RI'!A243</f>
        <v>5804</v>
      </c>
      <c r="B241" s="301" t="str">
        <f>'A) Base RI'!B243</f>
        <v>Jorat-Menthue</v>
      </c>
      <c r="C241" s="100">
        <f>'B) D RI'!U243</f>
        <v>47559.531944444454</v>
      </c>
      <c r="D241" s="116">
        <f>'E) Fact soc'!G247/C241</f>
        <v>15.681259499337672</v>
      </c>
      <c r="E241" s="141">
        <f>'H) Péréquation directe'!I252/C241</f>
        <v>2.2253706956210788</v>
      </c>
      <c r="F241" s="116">
        <f>+'I) Dépenses thématiques'!O241/'K) Plafonnement aide'!C241</f>
        <v>-7.5836076527856964</v>
      </c>
      <c r="G241" s="141">
        <f t="shared" si="13"/>
        <v>10.323022542173055</v>
      </c>
      <c r="H241" s="116">
        <f t="shared" si="14"/>
        <v>17.906630194958751</v>
      </c>
      <c r="I241" s="141">
        <f t="shared" si="15"/>
        <v>0</v>
      </c>
      <c r="J241" s="58">
        <f t="shared" si="12"/>
        <v>0</v>
      </c>
      <c r="K241" s="37"/>
    </row>
    <row r="242" spans="1:11" x14ac:dyDescent="0.25">
      <c r="A242" s="50">
        <f>'A) Base RI'!A244</f>
        <v>5805</v>
      </c>
      <c r="B242" s="301" t="str">
        <f>'A) Base RI'!B244</f>
        <v>Oron</v>
      </c>
      <c r="C242" s="100">
        <f>'B) D RI'!U244</f>
        <v>157344.05109354414</v>
      </c>
      <c r="D242" s="116">
        <f>'E) Fact soc'!G248/C242</f>
        <v>18.550500146744294</v>
      </c>
      <c r="E242" s="141">
        <f>'H) Péréquation directe'!I253/C242</f>
        <v>-5.2332887125431391</v>
      </c>
      <c r="F242" s="116">
        <f>+'I) Dépenses thématiques'!O242/'K) Plafonnement aide'!C242</f>
        <v>-3.8146266075290129</v>
      </c>
      <c r="G242" s="141">
        <f t="shared" si="13"/>
        <v>9.5025848266721429</v>
      </c>
      <c r="H242" s="116">
        <f t="shared" si="14"/>
        <v>13.317211434201155</v>
      </c>
      <c r="I242" s="141">
        <f t="shared" si="15"/>
        <v>0</v>
      </c>
      <c r="J242" s="58">
        <f t="shared" si="12"/>
        <v>0</v>
      </c>
      <c r="K242" s="37"/>
    </row>
    <row r="243" spans="1:11" x14ac:dyDescent="0.25">
      <c r="A243" s="50">
        <f>'A) Base RI'!A245</f>
        <v>5806</v>
      </c>
      <c r="B243" s="301" t="str">
        <f>'A) Base RI'!B245</f>
        <v>Jorat-Mézières</v>
      </c>
      <c r="C243" s="100">
        <f>'B) D RI'!U245</f>
        <v>90571.355131578952</v>
      </c>
      <c r="D243" s="116">
        <f>'E) Fact soc'!G249/C243</f>
        <v>18.398915306827192</v>
      </c>
      <c r="E243" s="141">
        <f>'H) Péréquation directe'!I254/C243</f>
        <v>0.86094729933129799</v>
      </c>
      <c r="F243" s="116">
        <f>+'I) Dépenses thématiques'!O243/'K) Plafonnement aide'!C243</f>
        <v>-4.1006421087836822</v>
      </c>
      <c r="G243" s="141">
        <f t="shared" si="13"/>
        <v>15.159220497374807</v>
      </c>
      <c r="H243" s="116">
        <f t="shared" si="14"/>
        <v>19.259862606158489</v>
      </c>
      <c r="I243" s="141">
        <f t="shared" si="15"/>
        <v>0</v>
      </c>
      <c r="J243" s="58">
        <f t="shared" si="12"/>
        <v>0</v>
      </c>
      <c r="K243" s="37"/>
    </row>
    <row r="244" spans="1:11" x14ac:dyDescent="0.25">
      <c r="A244" s="50">
        <f>'A) Base RI'!A246</f>
        <v>5812</v>
      </c>
      <c r="B244" s="301" t="str">
        <f>'A) Base RI'!B246</f>
        <v>Champtauroz</v>
      </c>
      <c r="C244" s="100">
        <f>'B) D RI'!U246</f>
        <v>2425.1270779220786</v>
      </c>
      <c r="D244" s="116">
        <f>'E) Fact soc'!G250/C244</f>
        <v>18.940836693740213</v>
      </c>
      <c r="E244" s="141">
        <f>'H) Péréquation directe'!I255/C244</f>
        <v>-15.867710066374638</v>
      </c>
      <c r="F244" s="116">
        <f>+'I) Dépenses thématiques'!O244/'K) Plafonnement aide'!C244</f>
        <v>-10.480770901113353</v>
      </c>
      <c r="G244" s="141">
        <f t="shared" si="13"/>
        <v>-7.4076442737477777</v>
      </c>
      <c r="H244" s="116">
        <f t="shared" si="14"/>
        <v>3.0731266273655748</v>
      </c>
      <c r="I244" s="141">
        <f t="shared" si="15"/>
        <v>0</v>
      </c>
      <c r="J244" s="58">
        <f t="shared" si="12"/>
        <v>0</v>
      </c>
      <c r="K244" s="37"/>
    </row>
    <row r="245" spans="1:11" x14ac:dyDescent="0.25">
      <c r="A245" s="50">
        <f>'A) Base RI'!A247</f>
        <v>5813</v>
      </c>
      <c r="B245" s="301" t="str">
        <f>'A) Base RI'!B247</f>
        <v>Chevroux</v>
      </c>
      <c r="C245" s="100">
        <f>'B) D RI'!U247</f>
        <v>13114.094904761907</v>
      </c>
      <c r="D245" s="116">
        <f>'E) Fact soc'!G251/C245</f>
        <v>21.210125463952753</v>
      </c>
      <c r="E245" s="141">
        <f>'H) Péréquation directe'!I256/C245</f>
        <v>2.6916482887745499</v>
      </c>
      <c r="F245" s="116">
        <f>+'I) Dépenses thématiques'!O245/'K) Plafonnement aide'!C245</f>
        <v>-6.2163161075676792</v>
      </c>
      <c r="G245" s="141">
        <f t="shared" si="13"/>
        <v>17.685457645159623</v>
      </c>
      <c r="H245" s="116">
        <f t="shared" si="14"/>
        <v>23.901773752727301</v>
      </c>
      <c r="I245" s="141">
        <f t="shared" si="15"/>
        <v>0</v>
      </c>
      <c r="J245" s="58">
        <f t="shared" si="12"/>
        <v>0</v>
      </c>
      <c r="K245" s="37"/>
    </row>
    <row r="246" spans="1:11" x14ac:dyDescent="0.25">
      <c r="A246" s="50">
        <f>'A) Base RI'!A248</f>
        <v>5816</v>
      </c>
      <c r="B246" s="301" t="str">
        <f>'A) Base RI'!B248</f>
        <v>Corcelles-près-Payerne</v>
      </c>
      <c r="C246" s="100">
        <f>'B) D RI'!U248</f>
        <v>56247.882400793642</v>
      </c>
      <c r="D246" s="116">
        <f>'E) Fact soc'!G252/C246</f>
        <v>16.95607725969003</v>
      </c>
      <c r="E246" s="141">
        <f>'H) Péréquation directe'!I257/C246</f>
        <v>-12.282841349410214</v>
      </c>
      <c r="F246" s="116">
        <f>+'I) Dépenses thématiques'!O246/'K) Plafonnement aide'!C246</f>
        <v>-5.8577214399336111</v>
      </c>
      <c r="G246" s="141">
        <f t="shared" si="13"/>
        <v>-1.1844855296537951</v>
      </c>
      <c r="H246" s="116">
        <f t="shared" si="14"/>
        <v>4.673235910279816</v>
      </c>
      <c r="I246" s="141">
        <f t="shared" si="15"/>
        <v>0</v>
      </c>
      <c r="J246" s="58">
        <f t="shared" si="12"/>
        <v>0</v>
      </c>
      <c r="K246" s="37"/>
    </row>
    <row r="247" spans="1:11" x14ac:dyDescent="0.25">
      <c r="A247" s="50">
        <f>'A) Base RI'!A249</f>
        <v>5817</v>
      </c>
      <c r="B247" s="301" t="str">
        <f>'A) Base RI'!B249</f>
        <v>Grandcour</v>
      </c>
      <c r="C247" s="100">
        <f>'B) D RI'!U249</f>
        <v>23573.392337662339</v>
      </c>
      <c r="D247" s="116">
        <f>'E) Fact soc'!G253/C247</f>
        <v>20.289234351883735</v>
      </c>
      <c r="E247" s="141">
        <f>'H) Péréquation directe'!I258/C247</f>
        <v>-3.2192499010731179</v>
      </c>
      <c r="F247" s="116">
        <f>+'I) Dépenses thématiques'!O247/'K) Plafonnement aide'!C247</f>
        <v>-5.322848249257297</v>
      </c>
      <c r="G247" s="141">
        <f t="shared" si="13"/>
        <v>11.747136201553317</v>
      </c>
      <c r="H247" s="116">
        <f t="shared" si="14"/>
        <v>17.069984450810615</v>
      </c>
      <c r="I247" s="141">
        <f t="shared" si="15"/>
        <v>0</v>
      </c>
      <c r="J247" s="58">
        <f t="shared" si="12"/>
        <v>0</v>
      </c>
      <c r="K247" s="37"/>
    </row>
    <row r="248" spans="1:11" x14ac:dyDescent="0.25">
      <c r="A248" s="50">
        <f>'A) Base RI'!A250</f>
        <v>5819</v>
      </c>
      <c r="B248" s="301" t="str">
        <f>'A) Base RI'!B250</f>
        <v>Henniez</v>
      </c>
      <c r="C248" s="100">
        <f>'B) D RI'!U250</f>
        <v>13558.497971014494</v>
      </c>
      <c r="D248" s="116">
        <f>'E) Fact soc'!G254/C248</f>
        <v>17.443405352185533</v>
      </c>
      <c r="E248" s="141">
        <f>'H) Péréquation directe'!I259/C248</f>
        <v>13.94822766009705</v>
      </c>
      <c r="F248" s="116">
        <f>+'I) Dépenses thématiques'!O248/'K) Plafonnement aide'!C248</f>
        <v>-5.2450239397064866</v>
      </c>
      <c r="G248" s="141">
        <f t="shared" si="13"/>
        <v>26.146609072576098</v>
      </c>
      <c r="H248" s="116">
        <f t="shared" si="14"/>
        <v>31.391633012282583</v>
      </c>
      <c r="I248" s="141">
        <f t="shared" si="15"/>
        <v>0</v>
      </c>
      <c r="J248" s="58">
        <f t="shared" si="12"/>
        <v>0</v>
      </c>
      <c r="K248" s="37"/>
    </row>
    <row r="249" spans="1:11" x14ac:dyDescent="0.25">
      <c r="A249" s="50">
        <f>'A) Base RI'!A251</f>
        <v>5821</v>
      </c>
      <c r="B249" s="301" t="str">
        <f>'A) Base RI'!B251</f>
        <v>Missy</v>
      </c>
      <c r="C249" s="100">
        <f>'B) D RI'!U251</f>
        <v>8603.5648611111101</v>
      </c>
      <c r="D249" s="116">
        <f>'E) Fact soc'!G255/C249</f>
        <v>16.386880194591772</v>
      </c>
      <c r="E249" s="141">
        <f>'H) Péréquation directe'!I260/C249</f>
        <v>-4.3805125661970665</v>
      </c>
      <c r="F249" s="116">
        <f>+'I) Dépenses thématiques'!O249/'K) Plafonnement aide'!C249</f>
        <v>-2.0162368809537234</v>
      </c>
      <c r="G249" s="141">
        <f t="shared" si="13"/>
        <v>9.9901307474409826</v>
      </c>
      <c r="H249" s="116">
        <f t="shared" si="14"/>
        <v>12.006367628394706</v>
      </c>
      <c r="I249" s="141">
        <f t="shared" si="15"/>
        <v>0</v>
      </c>
      <c r="J249" s="58">
        <f t="shared" si="12"/>
        <v>0</v>
      </c>
      <c r="K249" s="37"/>
    </row>
    <row r="250" spans="1:11" x14ac:dyDescent="0.25">
      <c r="A250" s="50">
        <f>'A) Base RI'!A252</f>
        <v>5822</v>
      </c>
      <c r="B250" s="301" t="str">
        <f>'A) Base RI'!B252</f>
        <v>Payerne</v>
      </c>
      <c r="C250" s="100">
        <f>'B) D RI'!U252</f>
        <v>249319.03186666669</v>
      </c>
      <c r="D250" s="116">
        <f>'E) Fact soc'!G256/C250</f>
        <v>17.607831982483034</v>
      </c>
      <c r="E250" s="141">
        <f>'H) Péréquation directe'!I261/C250</f>
        <v>-19.069724146758926</v>
      </c>
      <c r="F250" s="116">
        <f>+'I) Dépenses thématiques'!O250/'K) Plafonnement aide'!C250</f>
        <v>-4.7770452353210624</v>
      </c>
      <c r="G250" s="141">
        <f t="shared" si="13"/>
        <v>-6.2389373995969537</v>
      </c>
      <c r="H250" s="116">
        <f t="shared" si="14"/>
        <v>-1.4618921642758913</v>
      </c>
      <c r="I250" s="141">
        <f t="shared" si="15"/>
        <v>0</v>
      </c>
      <c r="J250" s="58">
        <f t="shared" si="12"/>
        <v>0</v>
      </c>
      <c r="K250" s="37"/>
    </row>
    <row r="251" spans="1:11" x14ac:dyDescent="0.25">
      <c r="A251" s="50">
        <f>'A) Base RI'!A253</f>
        <v>5827</v>
      </c>
      <c r="B251" s="301" t="str">
        <f>'A) Base RI'!B253</f>
        <v>Trey</v>
      </c>
      <c r="C251" s="100">
        <f>'B) D RI'!U253</f>
        <v>7228.8600000000006</v>
      </c>
      <c r="D251" s="116">
        <f>'E) Fact soc'!G257/C251</f>
        <v>17.277119257264872</v>
      </c>
      <c r="E251" s="141">
        <f>'H) Péréquation directe'!I262/C251</f>
        <v>-1.5907706966933288</v>
      </c>
      <c r="F251" s="116">
        <f>+'I) Dépenses thématiques'!O251/'K) Plafonnement aide'!C251</f>
        <v>-7.0352299168759087</v>
      </c>
      <c r="G251" s="141">
        <f t="shared" si="13"/>
        <v>8.6511186436956322</v>
      </c>
      <c r="H251" s="116">
        <f t="shared" si="14"/>
        <v>15.686348560571542</v>
      </c>
      <c r="I251" s="141">
        <f t="shared" si="15"/>
        <v>0</v>
      </c>
      <c r="J251" s="58">
        <f t="shared" si="12"/>
        <v>0</v>
      </c>
      <c r="K251" s="37"/>
    </row>
    <row r="252" spans="1:11" x14ac:dyDescent="0.25">
      <c r="A252" s="50">
        <f>'A) Base RI'!A254</f>
        <v>5828</v>
      </c>
      <c r="B252" s="301" t="str">
        <f>'A) Base RI'!B254</f>
        <v>Treytorrens (Payerne)</v>
      </c>
      <c r="C252" s="100">
        <f>'B) D RI'!U254</f>
        <v>2672.2867063492063</v>
      </c>
      <c r="D252" s="116">
        <f>'E) Fact soc'!G258/C252</f>
        <v>18.724198436565267</v>
      </c>
      <c r="E252" s="141">
        <f>'H) Péréquation directe'!I263/C252</f>
        <v>-13.668843512715728</v>
      </c>
      <c r="F252" s="116">
        <f>+'I) Dépenses thématiques'!O252/'K) Plafonnement aide'!C252</f>
        <v>-12.784952343361576</v>
      </c>
      <c r="G252" s="141">
        <f t="shared" si="13"/>
        <v>-7.7295974195120376</v>
      </c>
      <c r="H252" s="116">
        <f t="shared" si="14"/>
        <v>5.0553549238495386</v>
      </c>
      <c r="I252" s="141">
        <f t="shared" si="15"/>
        <v>0</v>
      </c>
      <c r="J252" s="58">
        <f t="shared" si="12"/>
        <v>0</v>
      </c>
      <c r="K252" s="37"/>
    </row>
    <row r="253" spans="1:11" x14ac:dyDescent="0.25">
      <c r="A253" s="50">
        <f>'A) Base RI'!A255</f>
        <v>5830</v>
      </c>
      <c r="B253" s="301" t="str">
        <f>'A) Base RI'!B255</f>
        <v>Villarzel</v>
      </c>
      <c r="C253" s="100">
        <f>'B) D RI'!U255</f>
        <v>12137.70417721519</v>
      </c>
      <c r="D253" s="116">
        <f>'E) Fact soc'!G259/C253</f>
        <v>17.023973913436194</v>
      </c>
      <c r="E253" s="141">
        <f>'H) Péréquation directe'!I264/C253</f>
        <v>-0.93988270084355774</v>
      </c>
      <c r="F253" s="116">
        <f>+'I) Dépenses thématiques'!O253/'K) Plafonnement aide'!C253</f>
        <v>-7.095812234017</v>
      </c>
      <c r="G253" s="141">
        <f t="shared" si="13"/>
        <v>8.9882789785756358</v>
      </c>
      <c r="H253" s="116">
        <f t="shared" si="14"/>
        <v>16.084091212592636</v>
      </c>
      <c r="I253" s="141">
        <f t="shared" si="15"/>
        <v>0</v>
      </c>
      <c r="J253" s="58">
        <f t="shared" si="12"/>
        <v>0</v>
      </c>
      <c r="K253" s="37"/>
    </row>
    <row r="254" spans="1:11" x14ac:dyDescent="0.25">
      <c r="A254" s="50">
        <f>'A) Base RI'!A256</f>
        <v>5831</v>
      </c>
      <c r="B254" s="301" t="str">
        <f>'A) Base RI'!B256</f>
        <v>Valbroye</v>
      </c>
      <c r="C254" s="100">
        <f>'B) D RI'!U256</f>
        <v>85960.311415525095</v>
      </c>
      <c r="D254" s="116">
        <f>'E) Fact soc'!G260/C254</f>
        <v>18.639741402970181</v>
      </c>
      <c r="E254" s="141">
        <f>'H) Péréquation directe'!I265/C254</f>
        <v>-5.3733989334890895</v>
      </c>
      <c r="F254" s="116">
        <f>+'I) Dépenses thématiques'!O254/'K) Plafonnement aide'!C254</f>
        <v>-7.8518328623003075</v>
      </c>
      <c r="G254" s="141">
        <f t="shared" si="13"/>
        <v>5.4145096071807846</v>
      </c>
      <c r="H254" s="116">
        <f t="shared" si="14"/>
        <v>13.266342469481092</v>
      </c>
      <c r="I254" s="141">
        <f t="shared" si="15"/>
        <v>0</v>
      </c>
      <c r="J254" s="58">
        <f t="shared" si="12"/>
        <v>0</v>
      </c>
      <c r="K254" s="37"/>
    </row>
    <row r="255" spans="1:11" x14ac:dyDescent="0.25">
      <c r="A255" s="50">
        <f>'A) Base RI'!A257</f>
        <v>5841</v>
      </c>
      <c r="B255" s="301" t="str">
        <f>'A) Base RI'!B257</f>
        <v>Château-d'Oex</v>
      </c>
      <c r="C255" s="100">
        <f>'B) D RI'!U257</f>
        <v>118196.91686746987</v>
      </c>
      <c r="D255" s="116">
        <f>'E) Fact soc'!G261/C255</f>
        <v>18.867133654637041</v>
      </c>
      <c r="E255" s="141">
        <f>'H) Péréquation directe'!I266/C255</f>
        <v>1.5471237634849202</v>
      </c>
      <c r="F255" s="116">
        <f>+'I) Dépenses thématiques'!O255/'K) Plafonnement aide'!C255</f>
        <v>-15.181989466225239</v>
      </c>
      <c r="G255" s="141">
        <f t="shared" si="13"/>
        <v>5.2322679518967199</v>
      </c>
      <c r="H255" s="116">
        <f t="shared" si="14"/>
        <v>20.414257418121959</v>
      </c>
      <c r="I255" s="141">
        <f t="shared" si="15"/>
        <v>0</v>
      </c>
      <c r="J255" s="58">
        <f t="shared" si="12"/>
        <v>0</v>
      </c>
      <c r="K255" s="37"/>
    </row>
    <row r="256" spans="1:11" x14ac:dyDescent="0.25">
      <c r="A256" s="50">
        <f>'A) Base RI'!A258</f>
        <v>5842</v>
      </c>
      <c r="B256" s="301" t="str">
        <f>'A) Base RI'!B258</f>
        <v>Rossinière</v>
      </c>
      <c r="C256" s="100">
        <f>'B) D RI'!U258</f>
        <v>16178.883744855966</v>
      </c>
      <c r="D256" s="116">
        <f>'E) Fact soc'!G262/C256</f>
        <v>18.052324551910264</v>
      </c>
      <c r="E256" s="141">
        <f>'H) Péréquation directe'!I267/C256</f>
        <v>1.8871553002062005</v>
      </c>
      <c r="F256" s="116">
        <f>+'I) Dépenses thématiques'!O256/'K) Plafonnement aide'!C256</f>
        <v>-9.678487293519721</v>
      </c>
      <c r="G256" s="141">
        <f t="shared" si="13"/>
        <v>10.260992558596742</v>
      </c>
      <c r="H256" s="116">
        <f t="shared" si="14"/>
        <v>19.939479852116463</v>
      </c>
      <c r="I256" s="141">
        <f t="shared" si="15"/>
        <v>0</v>
      </c>
      <c r="J256" s="58">
        <f t="shared" si="12"/>
        <v>0</v>
      </c>
      <c r="K256" s="37"/>
    </row>
    <row r="257" spans="1:11" x14ac:dyDescent="0.25">
      <c r="A257" s="50">
        <f>'A) Base RI'!A259</f>
        <v>5843</v>
      </c>
      <c r="B257" s="301" t="str">
        <f>'A) Base RI'!B259</f>
        <v>Rougemont</v>
      </c>
      <c r="C257" s="100">
        <f>'B) D RI'!U259</f>
        <v>96518.030855855861</v>
      </c>
      <c r="D257" s="116">
        <f>'E) Fact soc'!G263/C257</f>
        <v>36.45697410256119</v>
      </c>
      <c r="E257" s="141">
        <f>'H) Péréquation directe'!I268/C257</f>
        <v>15.891277596114593</v>
      </c>
      <c r="F257" s="116">
        <f>+'I) Dépenses thématiques'!O257/'K) Plafonnement aide'!C257</f>
        <v>-2.0223632071638806</v>
      </c>
      <c r="G257" s="141">
        <f t="shared" si="13"/>
        <v>50.325888491511904</v>
      </c>
      <c r="H257" s="116">
        <f t="shared" si="14"/>
        <v>52.348251698675782</v>
      </c>
      <c r="I257" s="141">
        <f t="shared" si="15"/>
        <v>0</v>
      </c>
      <c r="J257" s="58">
        <f t="shared" si="12"/>
        <v>0</v>
      </c>
      <c r="K257" s="37"/>
    </row>
    <row r="258" spans="1:11" x14ac:dyDescent="0.25">
      <c r="A258" s="50">
        <f>'A) Base RI'!A260</f>
        <v>5851</v>
      </c>
      <c r="B258" s="301" t="str">
        <f>'A) Base RI'!B260</f>
        <v>Allaman</v>
      </c>
      <c r="C258" s="100">
        <f>'B) D RI'!U260</f>
        <v>29511.189985337249</v>
      </c>
      <c r="D258" s="116">
        <f>'E) Fact soc'!G264/C258</f>
        <v>27.883861351719251</v>
      </c>
      <c r="E258" s="141">
        <f>'H) Péréquation directe'!I269/C258</f>
        <v>16.885007984673475</v>
      </c>
      <c r="F258" s="116">
        <f>+'I) Dépenses thématiques'!O258/'K) Plafonnement aide'!C258</f>
        <v>0</v>
      </c>
      <c r="G258" s="141">
        <f t="shared" si="13"/>
        <v>44.768869336392726</v>
      </c>
      <c r="H258" s="116">
        <f t="shared" si="14"/>
        <v>44.768869336392726</v>
      </c>
      <c r="I258" s="141">
        <f t="shared" si="15"/>
        <v>0</v>
      </c>
      <c r="J258" s="58">
        <f t="shared" si="12"/>
        <v>0</v>
      </c>
      <c r="K258" s="37"/>
    </row>
    <row r="259" spans="1:11" x14ac:dyDescent="0.25">
      <c r="A259" s="50">
        <f>'A) Base RI'!A261</f>
        <v>5852</v>
      </c>
      <c r="B259" s="301" t="str">
        <f>'A) Base RI'!B261</f>
        <v>Bursinel</v>
      </c>
      <c r="C259" s="100">
        <f>'B) D RI'!U261</f>
        <v>39767.165954198477</v>
      </c>
      <c r="D259" s="116">
        <f>'E) Fact soc'!G265/C259</f>
        <v>26.776648214528361</v>
      </c>
      <c r="E259" s="141">
        <f>'H) Péréquation directe'!I270/C259</f>
        <v>16.459007555567084</v>
      </c>
      <c r="F259" s="116">
        <f>+'I) Dépenses thématiques'!O259/'K) Plafonnement aide'!C259</f>
        <v>0</v>
      </c>
      <c r="G259" s="141">
        <f t="shared" si="13"/>
        <v>43.235655770095448</v>
      </c>
      <c r="H259" s="116">
        <f t="shared" si="14"/>
        <v>43.235655770095448</v>
      </c>
      <c r="I259" s="141">
        <f t="shared" si="15"/>
        <v>0</v>
      </c>
      <c r="J259" s="58">
        <f t="shared" si="12"/>
        <v>0</v>
      </c>
      <c r="K259" s="37"/>
    </row>
    <row r="260" spans="1:11" x14ac:dyDescent="0.25">
      <c r="A260" s="50">
        <f>'A) Base RI'!A262</f>
        <v>5853</v>
      </c>
      <c r="B260" s="301" t="str">
        <f>'A) Base RI'!B262</f>
        <v>Bursins</v>
      </c>
      <c r="C260" s="100">
        <f>'B) D RI'!U262</f>
        <v>36845.197464788725</v>
      </c>
      <c r="D260" s="116">
        <f>'E) Fact soc'!G266/C260</f>
        <v>18.844224638813081</v>
      </c>
      <c r="E260" s="141">
        <f>'H) Péréquation directe'!I271/C260</f>
        <v>16.942447259739293</v>
      </c>
      <c r="F260" s="116">
        <f>+'I) Dépenses thématiques'!O260/'K) Plafonnement aide'!C260</f>
        <v>-0.58957784768838728</v>
      </c>
      <c r="G260" s="141">
        <f t="shared" si="13"/>
        <v>35.197094050863981</v>
      </c>
      <c r="H260" s="116">
        <f t="shared" si="14"/>
        <v>35.78667189855237</v>
      </c>
      <c r="I260" s="141">
        <f t="shared" si="15"/>
        <v>0</v>
      </c>
      <c r="J260" s="58">
        <f t="shared" si="12"/>
        <v>0</v>
      </c>
      <c r="K260" s="37"/>
    </row>
    <row r="261" spans="1:11" x14ac:dyDescent="0.25">
      <c r="A261" s="50">
        <f>'A) Base RI'!A263</f>
        <v>5854</v>
      </c>
      <c r="B261" s="301" t="str">
        <f>'A) Base RI'!B263</f>
        <v>Burtigny</v>
      </c>
      <c r="C261" s="100">
        <f>'B) D RI'!U263</f>
        <v>15320.932833333329</v>
      </c>
      <c r="D261" s="116">
        <f>'E) Fact soc'!G267/C261</f>
        <v>21.96153092857476</v>
      </c>
      <c r="E261" s="141">
        <f>'H) Péréquation directe'!I272/C261</f>
        <v>12.619418358474711</v>
      </c>
      <c r="F261" s="116">
        <f>+'I) Dépenses thématiques'!O261/'K) Plafonnement aide'!C261</f>
        <v>-0.70718454344984538</v>
      </c>
      <c r="G261" s="141">
        <f t="shared" si="13"/>
        <v>33.873764743599622</v>
      </c>
      <c r="H261" s="116">
        <f t="shared" si="14"/>
        <v>34.580949287049471</v>
      </c>
      <c r="I261" s="141">
        <f t="shared" si="15"/>
        <v>0</v>
      </c>
      <c r="J261" s="58">
        <f t="shared" ref="J261:J313" si="16">-I261*C261</f>
        <v>0</v>
      </c>
      <c r="K261" s="37"/>
    </row>
    <row r="262" spans="1:11" x14ac:dyDescent="0.25">
      <c r="A262" s="50">
        <f>'A) Base RI'!A264</f>
        <v>5855</v>
      </c>
      <c r="B262" s="301" t="str">
        <f>'A) Base RI'!B264</f>
        <v>Dully</v>
      </c>
      <c r="C262" s="100">
        <f>'B) D RI'!U264</f>
        <v>91198.462040816317</v>
      </c>
      <c r="D262" s="116">
        <f>'E) Fact soc'!G268/C262</f>
        <v>30.866477530310771</v>
      </c>
      <c r="E262" s="141">
        <f>'H) Péréquation directe'!I273/C262</f>
        <v>15.329762836369516</v>
      </c>
      <c r="F262" s="116">
        <f>+'I) Dépenses thématiques'!O262/'K) Plafonnement aide'!C262</f>
        <v>0</v>
      </c>
      <c r="G262" s="141">
        <f t="shared" ref="G262:G313" si="17">SUM(D262:F262)</f>
        <v>46.196240366680286</v>
      </c>
      <c r="H262" s="116">
        <f t="shared" ref="H262:H313" si="18">G262-F262</f>
        <v>46.196240366680286</v>
      </c>
      <c r="I262" s="141">
        <f t="shared" ref="I262:I313" si="19">IF(H262&lt;I$4,H262-I$4,0)</f>
        <v>0</v>
      </c>
      <c r="J262" s="58">
        <f t="shared" si="16"/>
        <v>0</v>
      </c>
      <c r="K262" s="37"/>
    </row>
    <row r="263" spans="1:11" x14ac:dyDescent="0.25">
      <c r="A263" s="50">
        <f>'A) Base RI'!A265</f>
        <v>5856</v>
      </c>
      <c r="B263" s="301" t="str">
        <f>'A) Base RI'!B265</f>
        <v>Essertines-sur-Rolle</v>
      </c>
      <c r="C263" s="100">
        <f>'B) D RI'!U265</f>
        <v>37425.966018099534</v>
      </c>
      <c r="D263" s="116">
        <f>'E) Fact soc'!G269/C263</f>
        <v>19.491143702766262</v>
      </c>
      <c r="E263" s="141">
        <f>'H) Péréquation directe'!I274/C263</f>
        <v>17.043487374906917</v>
      </c>
      <c r="F263" s="116">
        <f>+'I) Dépenses thématiques'!O263/'K) Plafonnement aide'!C263</f>
        <v>0</v>
      </c>
      <c r="G263" s="141">
        <f t="shared" si="17"/>
        <v>36.534631077673183</v>
      </c>
      <c r="H263" s="116">
        <f t="shared" si="18"/>
        <v>36.534631077673183</v>
      </c>
      <c r="I263" s="141">
        <f t="shared" si="19"/>
        <v>0</v>
      </c>
      <c r="J263" s="58">
        <f t="shared" si="16"/>
        <v>0</v>
      </c>
      <c r="K263" s="37"/>
    </row>
    <row r="264" spans="1:11" x14ac:dyDescent="0.25">
      <c r="A264" s="50">
        <f>'A) Base RI'!A266</f>
        <v>5857</v>
      </c>
      <c r="B264" s="301" t="str">
        <f>'A) Base RI'!B266</f>
        <v>Gilly</v>
      </c>
      <c r="C264" s="100">
        <f>'B) D RI'!U266</f>
        <v>89905.642121212135</v>
      </c>
      <c r="D264" s="116">
        <f>'E) Fact soc'!G270/C264</f>
        <v>20.769139915286967</v>
      </c>
      <c r="E264" s="141">
        <f>'H) Péréquation directe'!I275/C264</f>
        <v>15.986789108657799</v>
      </c>
      <c r="F264" s="116">
        <f>+'I) Dépenses thématiques'!O264/'K) Plafonnement aide'!C264</f>
        <v>0</v>
      </c>
      <c r="G264" s="141">
        <f t="shared" si="17"/>
        <v>36.755929023944766</v>
      </c>
      <c r="H264" s="116">
        <f t="shared" si="18"/>
        <v>36.755929023944766</v>
      </c>
      <c r="I264" s="141">
        <f t="shared" si="19"/>
        <v>0</v>
      </c>
      <c r="J264" s="58">
        <f t="shared" si="16"/>
        <v>0</v>
      </c>
      <c r="K264" s="37"/>
    </row>
    <row r="265" spans="1:11" x14ac:dyDescent="0.25">
      <c r="A265" s="50">
        <f>'A) Base RI'!A267</f>
        <v>5858</v>
      </c>
      <c r="B265" s="301" t="str">
        <f>'A) Base RI'!B267</f>
        <v>Luins</v>
      </c>
      <c r="C265" s="100">
        <f>'B) D RI'!U267</f>
        <v>43824.152277777779</v>
      </c>
      <c r="D265" s="116">
        <f>'E) Fact soc'!G271/C265</f>
        <v>21.105334560238834</v>
      </c>
      <c r="E265" s="141">
        <f>'H) Péréquation directe'!I276/C265</f>
        <v>16.792658957371845</v>
      </c>
      <c r="F265" s="116">
        <f>+'I) Dépenses thématiques'!O265/'K) Plafonnement aide'!C265</f>
        <v>0</v>
      </c>
      <c r="G265" s="141">
        <f t="shared" si="17"/>
        <v>37.897993517610679</v>
      </c>
      <c r="H265" s="116">
        <f t="shared" si="18"/>
        <v>37.897993517610679</v>
      </c>
      <c r="I265" s="141">
        <f t="shared" si="19"/>
        <v>0</v>
      </c>
      <c r="J265" s="58">
        <f t="shared" si="16"/>
        <v>0</v>
      </c>
      <c r="K265" s="37"/>
    </row>
    <row r="266" spans="1:11" x14ac:dyDescent="0.25">
      <c r="A266" s="50">
        <f>'A) Base RI'!A268</f>
        <v>5859</v>
      </c>
      <c r="B266" s="301" t="str">
        <f>'A) Base RI'!B268</f>
        <v>Mont-sur-Rolle</v>
      </c>
      <c r="C266" s="100">
        <f>'B) D RI'!U268</f>
        <v>142920.65553846155</v>
      </c>
      <c r="D266" s="116">
        <f>'E) Fact soc'!G272/C266</f>
        <v>16.446916511666689</v>
      </c>
      <c r="E266" s="141">
        <f>'H) Péréquation directe'!I277/C266</f>
        <v>14.243295608634453</v>
      </c>
      <c r="F266" s="116">
        <f>+'I) Dépenses thématiques'!O266/'K) Plafonnement aide'!C266</f>
        <v>0</v>
      </c>
      <c r="G266" s="141">
        <f t="shared" si="17"/>
        <v>30.69021212030114</v>
      </c>
      <c r="H266" s="116">
        <f t="shared" si="18"/>
        <v>30.69021212030114</v>
      </c>
      <c r="I266" s="141">
        <f t="shared" si="19"/>
        <v>0</v>
      </c>
      <c r="J266" s="58">
        <f t="shared" si="16"/>
        <v>0</v>
      </c>
      <c r="K266" s="37"/>
    </row>
    <row r="267" spans="1:11" x14ac:dyDescent="0.25">
      <c r="A267" s="50">
        <f>'A) Base RI'!A269</f>
        <v>5860</v>
      </c>
      <c r="B267" s="301" t="str">
        <f>'A) Base RI'!B269</f>
        <v>Perroy</v>
      </c>
      <c r="C267" s="100">
        <f>'B) D RI'!U269</f>
        <v>95739.614192307679</v>
      </c>
      <c r="D267" s="116">
        <f>'E) Fact soc'!G273/C267</f>
        <v>22.447643077587347</v>
      </c>
      <c r="E267" s="141">
        <f>'H) Péréquation directe'!I278/C267</f>
        <v>15.596813690313182</v>
      </c>
      <c r="F267" s="116">
        <f>+'I) Dépenses thématiques'!O267/'K) Plafonnement aide'!C267</f>
        <v>0</v>
      </c>
      <c r="G267" s="141">
        <f t="shared" si="17"/>
        <v>38.044456767900527</v>
      </c>
      <c r="H267" s="116">
        <f t="shared" si="18"/>
        <v>38.044456767900527</v>
      </c>
      <c r="I267" s="141">
        <f t="shared" si="19"/>
        <v>0</v>
      </c>
      <c r="J267" s="58">
        <f t="shared" si="16"/>
        <v>0</v>
      </c>
      <c r="K267" s="37"/>
    </row>
    <row r="268" spans="1:11" x14ac:dyDescent="0.25">
      <c r="A268" s="50">
        <f>'A) Base RI'!A270</f>
        <v>5861</v>
      </c>
      <c r="B268" s="301" t="str">
        <f>'A) Base RI'!B270</f>
        <v>Rolle</v>
      </c>
      <c r="C268" s="100">
        <f>'B) D RI'!U270</f>
        <v>654027.21747899149</v>
      </c>
      <c r="D268" s="116">
        <f>'E) Fact soc'!G274/C268</f>
        <v>27.355047067133338</v>
      </c>
      <c r="E268" s="141">
        <f>'H) Péréquation directe'!I279/C268</f>
        <v>13.054261409324413</v>
      </c>
      <c r="F268" s="116">
        <f>+'I) Dépenses thématiques'!O268/'K) Plafonnement aide'!C268</f>
        <v>0</v>
      </c>
      <c r="G268" s="141">
        <f t="shared" si="17"/>
        <v>40.409308476457753</v>
      </c>
      <c r="H268" s="116">
        <f t="shared" si="18"/>
        <v>40.409308476457753</v>
      </c>
      <c r="I268" s="141">
        <f t="shared" si="19"/>
        <v>0</v>
      </c>
      <c r="J268" s="58">
        <f t="shared" si="16"/>
        <v>0</v>
      </c>
      <c r="K268" s="37"/>
    </row>
    <row r="269" spans="1:11" x14ac:dyDescent="0.25">
      <c r="A269" s="50">
        <f>'A) Base RI'!A271</f>
        <v>5862</v>
      </c>
      <c r="B269" s="301" t="str">
        <f>'A) Base RI'!B271</f>
        <v>Tartegnin</v>
      </c>
      <c r="C269" s="100">
        <f>'B) D RI'!U271</f>
        <v>12310.23827160494</v>
      </c>
      <c r="D269" s="116">
        <f>'E) Fact soc'!G275/C269</f>
        <v>16.619799895746915</v>
      </c>
      <c r="E269" s="141">
        <f>'H) Péréquation directe'!I280/C269</f>
        <v>16.985039298482594</v>
      </c>
      <c r="F269" s="116">
        <f>+'I) Dépenses thématiques'!O269/'K) Plafonnement aide'!C269</f>
        <v>0</v>
      </c>
      <c r="G269" s="141">
        <f t="shared" si="17"/>
        <v>33.604839194229513</v>
      </c>
      <c r="H269" s="116">
        <f t="shared" si="18"/>
        <v>33.604839194229513</v>
      </c>
      <c r="I269" s="141">
        <f t="shared" si="19"/>
        <v>0</v>
      </c>
      <c r="J269" s="58">
        <f t="shared" si="16"/>
        <v>0</v>
      </c>
      <c r="K269" s="37"/>
    </row>
    <row r="270" spans="1:11" x14ac:dyDescent="0.25">
      <c r="A270" s="50">
        <f>'A) Base RI'!A272</f>
        <v>5863</v>
      </c>
      <c r="B270" s="301" t="str">
        <f>'A) Base RI'!B272</f>
        <v>Vinzel</v>
      </c>
      <c r="C270" s="100">
        <f>'B) D RI'!U272</f>
        <v>22498.98940298508</v>
      </c>
      <c r="D270" s="116">
        <f>'E) Fact soc'!G276/C270</f>
        <v>18.632618914482521</v>
      </c>
      <c r="E270" s="141">
        <f>'H) Péréquation directe'!I281/C270</f>
        <v>16.993237896779718</v>
      </c>
      <c r="F270" s="116">
        <f>+'I) Dépenses thématiques'!O270/'K) Plafonnement aide'!C270</f>
        <v>0</v>
      </c>
      <c r="G270" s="141">
        <f t="shared" si="17"/>
        <v>35.625856811262238</v>
      </c>
      <c r="H270" s="116">
        <f t="shared" si="18"/>
        <v>35.625856811262238</v>
      </c>
      <c r="I270" s="141">
        <f t="shared" si="19"/>
        <v>0</v>
      </c>
      <c r="J270" s="58">
        <f t="shared" si="16"/>
        <v>0</v>
      </c>
      <c r="K270" s="37"/>
    </row>
    <row r="271" spans="1:11" x14ac:dyDescent="0.25">
      <c r="A271" s="50">
        <f>'A) Base RI'!A273</f>
        <v>5871</v>
      </c>
      <c r="B271" s="301" t="str">
        <f>'A) Base RI'!B273</f>
        <v>L'Abbaye</v>
      </c>
      <c r="C271" s="100">
        <f>'B) D RI'!U273</f>
        <v>44627.892122623205</v>
      </c>
      <c r="D271" s="116">
        <f>'E) Fact soc'!G277/C271</f>
        <v>20.888543834518408</v>
      </c>
      <c r="E271" s="141">
        <f>'H) Péréquation directe'!I282/C271</f>
        <v>1.2179094313722554</v>
      </c>
      <c r="F271" s="116">
        <f>+'I) Dépenses thématiques'!O271/'K) Plafonnement aide'!C271</f>
        <v>-7.8460564786795608</v>
      </c>
      <c r="G271" s="141">
        <f t="shared" si="17"/>
        <v>14.260396787211103</v>
      </c>
      <c r="H271" s="116">
        <f t="shared" si="18"/>
        <v>22.106453265890664</v>
      </c>
      <c r="I271" s="141">
        <f t="shared" si="19"/>
        <v>0</v>
      </c>
      <c r="J271" s="58">
        <f t="shared" si="16"/>
        <v>0</v>
      </c>
      <c r="K271" s="37"/>
    </row>
    <row r="272" spans="1:11" x14ac:dyDescent="0.25">
      <c r="A272" s="50">
        <f>'A) Base RI'!A274</f>
        <v>5872</v>
      </c>
      <c r="B272" s="301" t="str">
        <f>'A) Base RI'!B274</f>
        <v>Le Chenit</v>
      </c>
      <c r="C272" s="100">
        <f>'B) D RI'!U274</f>
        <v>195855.08877191509</v>
      </c>
      <c r="D272" s="116">
        <f>'E) Fact soc'!G278/C272</f>
        <v>27.26959538372013</v>
      </c>
      <c r="E272" s="141">
        <f>'H) Péréquation directe'!I283/C272</f>
        <v>9.7106226056133309</v>
      </c>
      <c r="F272" s="116">
        <f>+'I) Dépenses thématiques'!O272/'K) Plafonnement aide'!C272</f>
        <v>-7.7319060246950153</v>
      </c>
      <c r="G272" s="141">
        <f t="shared" si="17"/>
        <v>29.248311964638447</v>
      </c>
      <c r="H272" s="116">
        <f t="shared" si="18"/>
        <v>36.980217989333461</v>
      </c>
      <c r="I272" s="141">
        <f t="shared" si="19"/>
        <v>0</v>
      </c>
      <c r="J272" s="58">
        <f t="shared" si="16"/>
        <v>0</v>
      </c>
      <c r="K272" s="37"/>
    </row>
    <row r="273" spans="1:11" x14ac:dyDescent="0.25">
      <c r="A273" s="50">
        <f>'A) Base RI'!A275</f>
        <v>5873</v>
      </c>
      <c r="B273" s="301" t="str">
        <f>'A) Base RI'!B275</f>
        <v>Le Lieu</v>
      </c>
      <c r="C273" s="100">
        <f>'B) D RI'!U275</f>
        <v>31663.23595238095</v>
      </c>
      <c r="D273" s="116">
        <f>'E) Fact soc'!G279/C273</f>
        <v>23.68109598113373</v>
      </c>
      <c r="E273" s="141">
        <f>'H) Péréquation directe'!I284/C273</f>
        <v>11.44860598445657</v>
      </c>
      <c r="F273" s="116">
        <f>+'I) Dépenses thématiques'!O273/'K) Plafonnement aide'!C273</f>
        <v>-22.155420364439166</v>
      </c>
      <c r="G273" s="141">
        <f t="shared" si="17"/>
        <v>12.974281601151134</v>
      </c>
      <c r="H273" s="116">
        <f t="shared" si="18"/>
        <v>35.1297019655903</v>
      </c>
      <c r="I273" s="141">
        <f t="shared" si="19"/>
        <v>0</v>
      </c>
      <c r="J273" s="58">
        <f t="shared" si="16"/>
        <v>0</v>
      </c>
      <c r="K273" s="37"/>
    </row>
    <row r="274" spans="1:11" x14ac:dyDescent="0.25">
      <c r="A274" s="50">
        <f>'A) Base RI'!A276</f>
        <v>5881</v>
      </c>
      <c r="B274" s="301" t="str">
        <f>'A) Base RI'!B276</f>
        <v>Blonay</v>
      </c>
      <c r="C274" s="100">
        <f>'B) D RI'!U276</f>
        <v>333471.52885714278</v>
      </c>
      <c r="D274" s="116">
        <f>'E) Fact soc'!G280/C274</f>
        <v>16.725748195477074</v>
      </c>
      <c r="E274" s="141">
        <f>'H) Péréquation directe'!I285/C274</f>
        <v>11.477037080386291</v>
      </c>
      <c r="F274" s="116">
        <f>+'I) Dépenses thématiques'!O274/'K) Plafonnement aide'!C274</f>
        <v>-1.7309422338173646</v>
      </c>
      <c r="G274" s="141">
        <f t="shared" si="17"/>
        <v>26.471843042045997</v>
      </c>
      <c r="H274" s="116">
        <f t="shared" si="18"/>
        <v>28.202785275863363</v>
      </c>
      <c r="I274" s="141">
        <f t="shared" si="19"/>
        <v>0</v>
      </c>
      <c r="J274" s="58">
        <f t="shared" si="16"/>
        <v>0</v>
      </c>
      <c r="K274" s="37"/>
    </row>
    <row r="275" spans="1:11" x14ac:dyDescent="0.25">
      <c r="A275" s="50">
        <f>'A) Base RI'!A277</f>
        <v>5882</v>
      </c>
      <c r="B275" s="301" t="str">
        <f>'A) Base RI'!B277</f>
        <v>Chardonne</v>
      </c>
      <c r="C275" s="100">
        <f>'B) D RI'!U277</f>
        <v>161419.68117647059</v>
      </c>
      <c r="D275" s="116">
        <f>'E) Fact soc'!G281/C275</f>
        <v>20.485907501960206</v>
      </c>
      <c r="E275" s="141">
        <f>'H) Péréquation directe'!I286/C275</f>
        <v>14.158125012477401</v>
      </c>
      <c r="F275" s="116">
        <f>+'I) Dépenses thématiques'!O275/'K) Plafonnement aide'!C275</f>
        <v>-2.2012713092578648</v>
      </c>
      <c r="G275" s="141">
        <f t="shared" si="17"/>
        <v>32.442761205179742</v>
      </c>
      <c r="H275" s="116">
        <f t="shared" si="18"/>
        <v>34.644032514437605</v>
      </c>
      <c r="I275" s="141">
        <f t="shared" si="19"/>
        <v>0</v>
      </c>
      <c r="J275" s="58">
        <f t="shared" si="16"/>
        <v>0</v>
      </c>
      <c r="K275" s="37"/>
    </row>
    <row r="276" spans="1:11" x14ac:dyDescent="0.25">
      <c r="A276" s="50">
        <f>'A) Base RI'!A278</f>
        <v>5883</v>
      </c>
      <c r="B276" s="301" t="str">
        <f>'A) Base RI'!B278</f>
        <v>Corseaux</v>
      </c>
      <c r="C276" s="100">
        <f>'B) D RI'!U278</f>
        <v>156359.79318840581</v>
      </c>
      <c r="D276" s="116">
        <f>'E) Fact soc'!G282/C276</f>
        <v>30.000354829279406</v>
      </c>
      <c r="E276" s="141">
        <f>'H) Péréquation directe'!I287/C276</f>
        <v>14.827278626466176</v>
      </c>
      <c r="F276" s="116">
        <f>+'I) Dépenses thématiques'!O276/'K) Plafonnement aide'!C276</f>
        <v>0</v>
      </c>
      <c r="G276" s="141">
        <f t="shared" si="17"/>
        <v>44.827633455745584</v>
      </c>
      <c r="H276" s="116">
        <f t="shared" si="18"/>
        <v>44.827633455745584</v>
      </c>
      <c r="I276" s="141">
        <f t="shared" si="19"/>
        <v>0</v>
      </c>
      <c r="J276" s="58">
        <f t="shared" si="16"/>
        <v>0</v>
      </c>
      <c r="K276" s="37"/>
    </row>
    <row r="277" spans="1:11" x14ac:dyDescent="0.25">
      <c r="A277" s="50">
        <f>'A) Base RI'!A279</f>
        <v>5884</v>
      </c>
      <c r="B277" s="301" t="str">
        <f>'A) Base RI'!B279</f>
        <v>Corsier-sur-Vevey</v>
      </c>
      <c r="C277" s="100">
        <f>'B) D RI'!U279</f>
        <v>119111.03626262626</v>
      </c>
      <c r="D277" s="116">
        <f>'E) Fact soc'!G283/C277</f>
        <v>18.074882286032988</v>
      </c>
      <c r="E277" s="141">
        <f>'H) Péréquation directe'!I288/C277</f>
        <v>5.7929539497425289</v>
      </c>
      <c r="F277" s="116">
        <f>+'I) Dépenses thématiques'!O277/'K) Plafonnement aide'!C277</f>
        <v>-10.022963518188549</v>
      </c>
      <c r="G277" s="141">
        <f t="shared" si="17"/>
        <v>13.844872717586968</v>
      </c>
      <c r="H277" s="116">
        <f t="shared" si="18"/>
        <v>23.867836235775517</v>
      </c>
      <c r="I277" s="141">
        <f t="shared" si="19"/>
        <v>0</v>
      </c>
      <c r="J277" s="58">
        <f t="shared" si="16"/>
        <v>0</v>
      </c>
      <c r="K277" s="37"/>
    </row>
    <row r="278" spans="1:11" x14ac:dyDescent="0.25">
      <c r="A278" s="50">
        <f>'A) Base RI'!A280</f>
        <v>5885</v>
      </c>
      <c r="B278" s="301" t="str">
        <f>'A) Base RI'!B280</f>
        <v>Jongny</v>
      </c>
      <c r="C278" s="100">
        <f>'B) D RI'!U280</f>
        <v>83805.46166666667</v>
      </c>
      <c r="D278" s="116">
        <f>'E) Fact soc'!G284/C278</f>
        <v>22.164252850382152</v>
      </c>
      <c r="E278" s="141">
        <f>'H) Péréquation directe'!I289/C278</f>
        <v>15.553060754412558</v>
      </c>
      <c r="F278" s="116">
        <f>+'I) Dépenses thématiques'!O278/'K) Plafonnement aide'!C278</f>
        <v>-0.18306984637361476</v>
      </c>
      <c r="G278" s="141">
        <f t="shared" si="17"/>
        <v>37.534243758421098</v>
      </c>
      <c r="H278" s="116">
        <f t="shared" si="18"/>
        <v>37.717313604794711</v>
      </c>
      <c r="I278" s="141">
        <f t="shared" si="19"/>
        <v>0</v>
      </c>
      <c r="J278" s="58">
        <f t="shared" si="16"/>
        <v>0</v>
      </c>
      <c r="K278" s="37"/>
    </row>
    <row r="279" spans="1:11" x14ac:dyDescent="0.25">
      <c r="A279" s="50">
        <f>'A) Base RI'!A281</f>
        <v>5886</v>
      </c>
      <c r="B279" s="301" t="str">
        <f>'A) Base RI'!B281</f>
        <v>Montreux</v>
      </c>
      <c r="C279" s="100">
        <f>'B) D RI'!U281</f>
        <v>1120949.2064615386</v>
      </c>
      <c r="D279" s="116">
        <f>'E) Fact soc'!G285/C279</f>
        <v>25.332234553462236</v>
      </c>
      <c r="E279" s="141">
        <f>'H) Péréquation directe'!I290/C279</f>
        <v>-0.76954800465649231</v>
      </c>
      <c r="F279" s="116">
        <f>+'I) Dépenses thématiques'!O279/'K) Plafonnement aide'!C279</f>
        <v>-5.4804014299169062</v>
      </c>
      <c r="G279" s="141">
        <f t="shared" si="17"/>
        <v>19.082285118888837</v>
      </c>
      <c r="H279" s="116">
        <f t="shared" si="18"/>
        <v>24.562686548805743</v>
      </c>
      <c r="I279" s="141">
        <f t="shared" si="19"/>
        <v>0</v>
      </c>
      <c r="J279" s="58">
        <f t="shared" si="16"/>
        <v>0</v>
      </c>
      <c r="K279" s="37"/>
    </row>
    <row r="280" spans="1:11" x14ac:dyDescent="0.25">
      <c r="A280" s="50">
        <f>'A) Base RI'!A282</f>
        <v>5888</v>
      </c>
      <c r="B280" s="301" t="str">
        <f>'A) Base RI'!B282</f>
        <v>Saint-Légier-La Chiésaz</v>
      </c>
      <c r="C280" s="100">
        <f>'B) D RI'!U282</f>
        <v>318719.43035714288</v>
      </c>
      <c r="D280" s="116">
        <f>'E) Fact soc'!G286/C280</f>
        <v>19.89371694185639</v>
      </c>
      <c r="E280" s="141">
        <f>'H) Péréquation directe'!I291/C280</f>
        <v>12.660583520117424</v>
      </c>
      <c r="F280" s="116">
        <f>+'I) Dépenses thématiques'!O280/'K) Plafonnement aide'!C280</f>
        <v>-1.6640201992023445</v>
      </c>
      <c r="G280" s="141">
        <f t="shared" si="17"/>
        <v>30.890280262771466</v>
      </c>
      <c r="H280" s="116">
        <f t="shared" si="18"/>
        <v>32.55430046197381</v>
      </c>
      <c r="I280" s="141">
        <f t="shared" si="19"/>
        <v>0</v>
      </c>
      <c r="J280" s="58">
        <f t="shared" si="16"/>
        <v>0</v>
      </c>
      <c r="K280" s="37"/>
    </row>
    <row r="281" spans="1:11" x14ac:dyDescent="0.25">
      <c r="A281" s="50">
        <f>'A) Base RI'!A283</f>
        <v>5889</v>
      </c>
      <c r="B281" s="301" t="str">
        <f>'A) Base RI'!B283</f>
        <v>La Tour-de-Peilz</v>
      </c>
      <c r="C281" s="100">
        <f>'B) D RI'!U283</f>
        <v>645590.04875000007</v>
      </c>
      <c r="D281" s="116">
        <f>'E) Fact soc'!G287/C281</f>
        <v>20.995916898586824</v>
      </c>
      <c r="E281" s="141">
        <f>'H) Péréquation directe'!I292/C281</f>
        <v>8.7060064474743566</v>
      </c>
      <c r="F281" s="116">
        <f>+'I) Dépenses thématiques'!O281/'K) Plafonnement aide'!C281</f>
        <v>0</v>
      </c>
      <c r="G281" s="141">
        <f t="shared" si="17"/>
        <v>29.701923346061179</v>
      </c>
      <c r="H281" s="116">
        <f t="shared" si="18"/>
        <v>29.701923346061179</v>
      </c>
      <c r="I281" s="141">
        <f t="shared" si="19"/>
        <v>0</v>
      </c>
      <c r="J281" s="58">
        <f t="shared" si="16"/>
        <v>0</v>
      </c>
      <c r="K281" s="37"/>
    </row>
    <row r="282" spans="1:11" x14ac:dyDescent="0.25">
      <c r="A282" s="50">
        <f>'A) Base RI'!A284</f>
        <v>5890</v>
      </c>
      <c r="B282" s="301" t="str">
        <f>'A) Base RI'!B284</f>
        <v>Vevey</v>
      </c>
      <c r="C282" s="100">
        <f>'B) D RI'!U284</f>
        <v>923815.49078947364</v>
      </c>
      <c r="D282" s="116">
        <f>'E) Fact soc'!G288/C282</f>
        <v>18.757816148390258</v>
      </c>
      <c r="E282" s="141">
        <f>'H) Péréquation directe'!I293/C282</f>
        <v>2.8696949434492423</v>
      </c>
      <c r="F282" s="116">
        <f>+'I) Dépenses thématiques'!O282/'K) Plafonnement aide'!C282</f>
        <v>-3.1156549530591291</v>
      </c>
      <c r="G282" s="141">
        <f t="shared" si="17"/>
        <v>18.511856138780374</v>
      </c>
      <c r="H282" s="116">
        <f t="shared" si="18"/>
        <v>21.627511091839501</v>
      </c>
      <c r="I282" s="141">
        <f t="shared" si="19"/>
        <v>0</v>
      </c>
      <c r="J282" s="58">
        <f t="shared" si="16"/>
        <v>0</v>
      </c>
      <c r="K282" s="37"/>
    </row>
    <row r="283" spans="1:11" x14ac:dyDescent="0.25">
      <c r="A283" s="50">
        <f>'A) Base RI'!A285</f>
        <v>5891</v>
      </c>
      <c r="B283" s="301" t="str">
        <f>'A) Base RI'!B285</f>
        <v>Veytaux</v>
      </c>
      <c r="C283" s="100">
        <f>'B) D RI'!U285</f>
        <v>37468.229154929577</v>
      </c>
      <c r="D283" s="116">
        <f>'E) Fact soc'!G289/C283</f>
        <v>26.222172356109223</v>
      </c>
      <c r="E283" s="141">
        <f>'H) Péréquation directe'!I294/C283</f>
        <v>15.359702694259617</v>
      </c>
      <c r="F283" s="116">
        <f>+'I) Dépenses thématiques'!O283/'K) Plafonnement aide'!C283</f>
        <v>-11.71690697520536</v>
      </c>
      <c r="G283" s="141">
        <f t="shared" si="17"/>
        <v>29.864968075163475</v>
      </c>
      <c r="H283" s="116">
        <f t="shared" si="18"/>
        <v>41.581875050368836</v>
      </c>
      <c r="I283" s="141">
        <f t="shared" si="19"/>
        <v>0</v>
      </c>
      <c r="J283" s="58">
        <f t="shared" si="16"/>
        <v>0</v>
      </c>
      <c r="K283" s="37"/>
    </row>
    <row r="284" spans="1:11" x14ac:dyDescent="0.25">
      <c r="A284" s="50">
        <f>'A) Base RI'!A286</f>
        <v>5902</v>
      </c>
      <c r="B284" s="301" t="str">
        <f>'A) Base RI'!B286</f>
        <v>Belmont-sur-Yverdon</v>
      </c>
      <c r="C284" s="100">
        <f>'B) D RI'!U286</f>
        <v>10322.452500000001</v>
      </c>
      <c r="D284" s="116">
        <f>'E) Fact soc'!G290/C284</f>
        <v>14.692798763463033</v>
      </c>
      <c r="E284" s="141">
        <f>'H) Péréquation directe'!I295/C284</f>
        <v>-0.24526178151617434</v>
      </c>
      <c r="F284" s="116">
        <f>+'I) Dépenses thématiques'!O284/'K) Plafonnement aide'!C284</f>
        <v>-0.65354181209391093</v>
      </c>
      <c r="G284" s="141">
        <f t="shared" si="17"/>
        <v>13.793995169852948</v>
      </c>
      <c r="H284" s="116">
        <f t="shared" si="18"/>
        <v>14.447536981946859</v>
      </c>
      <c r="I284" s="141">
        <f t="shared" si="19"/>
        <v>0</v>
      </c>
      <c r="J284" s="58">
        <f t="shared" si="16"/>
        <v>0</v>
      </c>
      <c r="K284" s="37"/>
    </row>
    <row r="285" spans="1:11" x14ac:dyDescent="0.25">
      <c r="A285" s="50">
        <f>'A) Base RI'!A287</f>
        <v>5903</v>
      </c>
      <c r="B285" s="301" t="str">
        <f>'A) Base RI'!B287</f>
        <v>Bioley-Magnoux</v>
      </c>
      <c r="C285" s="100">
        <f>'B) D RI'!U287</f>
        <v>5492.9202895752896</v>
      </c>
      <c r="D285" s="116">
        <f>'E) Fact soc'!G291/C285</f>
        <v>17.493715563564109</v>
      </c>
      <c r="E285" s="141">
        <f>'H) Péréquation directe'!I296/C285</f>
        <v>-3.5004219392217202</v>
      </c>
      <c r="F285" s="116">
        <f>+'I) Dépenses thématiques'!O285/'K) Plafonnement aide'!C285</f>
        <v>-38.279955997924809</v>
      </c>
      <c r="G285" s="141">
        <f t="shared" si="17"/>
        <v>-24.28666237358242</v>
      </c>
      <c r="H285" s="116">
        <f t="shared" si="18"/>
        <v>13.993293624342389</v>
      </c>
      <c r="I285" s="141">
        <f t="shared" si="19"/>
        <v>0</v>
      </c>
      <c r="J285" s="58">
        <f t="shared" si="16"/>
        <v>0</v>
      </c>
      <c r="K285" s="37"/>
    </row>
    <row r="286" spans="1:11" x14ac:dyDescent="0.25">
      <c r="A286" s="50">
        <f>'A) Base RI'!A288</f>
        <v>5904</v>
      </c>
      <c r="B286" s="301" t="str">
        <f>'A) Base RI'!B288</f>
        <v>Chamblon</v>
      </c>
      <c r="C286" s="100">
        <f>'B) D RI'!U288</f>
        <v>20041.272272727278</v>
      </c>
      <c r="D286" s="116">
        <f>'E) Fact soc'!G292/C286</f>
        <v>16.352849427120166</v>
      </c>
      <c r="E286" s="141">
        <f>'H) Péréquation directe'!I297/C286</f>
        <v>12.497480553264893</v>
      </c>
      <c r="F286" s="116">
        <f>+'I) Dépenses thématiques'!O286/'K) Plafonnement aide'!C286</f>
        <v>0</v>
      </c>
      <c r="G286" s="141">
        <f t="shared" si="17"/>
        <v>28.850329980385059</v>
      </c>
      <c r="H286" s="116">
        <f t="shared" si="18"/>
        <v>28.850329980385059</v>
      </c>
      <c r="I286" s="141">
        <f t="shared" si="19"/>
        <v>0</v>
      </c>
      <c r="J286" s="58">
        <f t="shared" si="16"/>
        <v>0</v>
      </c>
      <c r="K286" s="37"/>
    </row>
    <row r="287" spans="1:11" x14ac:dyDescent="0.25">
      <c r="A287" s="50">
        <f>'A) Base RI'!A289</f>
        <v>5905</v>
      </c>
      <c r="B287" s="301" t="str">
        <f>'A) Base RI'!B289</f>
        <v>Champvent</v>
      </c>
      <c r="C287" s="100">
        <f>'B) D RI'!U289</f>
        <v>24102.36943661972</v>
      </c>
      <c r="D287" s="116">
        <f>'E) Fact soc'!G293/C287</f>
        <v>16.314205373793435</v>
      </c>
      <c r="E287" s="141">
        <f>'H) Péréquation directe'!I298/C287</f>
        <v>10.524024062994348</v>
      </c>
      <c r="F287" s="116">
        <f>+'I) Dépenses thématiques'!O287/'K) Plafonnement aide'!C287</f>
        <v>-0.84257739981391599</v>
      </c>
      <c r="G287" s="141">
        <f t="shared" si="17"/>
        <v>25.995652036973869</v>
      </c>
      <c r="H287" s="116">
        <f t="shared" si="18"/>
        <v>26.838229436787785</v>
      </c>
      <c r="I287" s="141">
        <f t="shared" si="19"/>
        <v>0</v>
      </c>
      <c r="J287" s="58">
        <f t="shared" si="16"/>
        <v>0</v>
      </c>
      <c r="K287" s="37"/>
    </row>
    <row r="288" spans="1:11" x14ac:dyDescent="0.25">
      <c r="A288" s="50">
        <f>'A) Base RI'!A290</f>
        <v>5907</v>
      </c>
      <c r="B288" s="301" t="str">
        <f>'A) Base RI'!B290</f>
        <v>Chavannes-le-Chêne</v>
      </c>
      <c r="C288" s="100">
        <f>'B) D RI'!U290</f>
        <v>8071.0708974358949</v>
      </c>
      <c r="D288" s="116">
        <f>'E) Fact soc'!G294/C288</f>
        <v>15.660033752505154</v>
      </c>
      <c r="E288" s="141">
        <f>'H) Péréquation directe'!I299/C288</f>
        <v>-2.2137940491046573</v>
      </c>
      <c r="F288" s="116">
        <f>+'I) Dépenses thématiques'!O288/'K) Plafonnement aide'!C288</f>
        <v>-6.9271419452392768</v>
      </c>
      <c r="G288" s="141">
        <f t="shared" si="17"/>
        <v>6.5190977581612204</v>
      </c>
      <c r="H288" s="116">
        <f t="shared" si="18"/>
        <v>13.446239703400497</v>
      </c>
      <c r="I288" s="141">
        <f t="shared" si="19"/>
        <v>0</v>
      </c>
      <c r="J288" s="58">
        <f t="shared" si="16"/>
        <v>0</v>
      </c>
      <c r="K288" s="37"/>
    </row>
    <row r="289" spans="1:11" x14ac:dyDescent="0.25">
      <c r="A289" s="50">
        <f>'A) Base RI'!A291</f>
        <v>5908</v>
      </c>
      <c r="B289" s="301" t="str">
        <f>'A) Base RI'!B291</f>
        <v>Chêne-Pâquier</v>
      </c>
      <c r="C289" s="100">
        <f>'B) D RI'!U291</f>
        <v>3125.58</v>
      </c>
      <c r="D289" s="116">
        <f>'E) Fact soc'!G295/C289</f>
        <v>27.428457475439501</v>
      </c>
      <c r="E289" s="141">
        <f>'H) Péréquation directe'!I300/C289</f>
        <v>-11.117562562035708</v>
      </c>
      <c r="F289" s="116">
        <f>+'I) Dépenses thématiques'!O289/'K) Plafonnement aide'!C289</f>
        <v>-3.7469054101437229</v>
      </c>
      <c r="G289" s="141">
        <f t="shared" si="17"/>
        <v>12.563989503260069</v>
      </c>
      <c r="H289" s="116">
        <f t="shared" si="18"/>
        <v>16.310894913403793</v>
      </c>
      <c r="I289" s="141">
        <f t="shared" si="19"/>
        <v>0</v>
      </c>
      <c r="J289" s="58">
        <f t="shared" si="16"/>
        <v>0</v>
      </c>
      <c r="K289" s="37"/>
    </row>
    <row r="290" spans="1:11" x14ac:dyDescent="0.25">
      <c r="A290" s="50">
        <f>'A) Base RI'!A292</f>
        <v>5909</v>
      </c>
      <c r="B290" s="301" t="str">
        <f>'A) Base RI'!B292</f>
        <v>Cheseaux-Noréaz</v>
      </c>
      <c r="C290" s="100">
        <f>'B) D RI'!U292</f>
        <v>32763.333428571434</v>
      </c>
      <c r="D290" s="116">
        <f>'E) Fact soc'!G296/C290</f>
        <v>17.356331885381223</v>
      </c>
      <c r="E290" s="141">
        <f>'H) Péréquation directe'!I301/C290</f>
        <v>16.782948658627053</v>
      </c>
      <c r="F290" s="116">
        <f>+'I) Dépenses thématiques'!O290/'K) Plafonnement aide'!C290</f>
        <v>-2.0526164823562438</v>
      </c>
      <c r="G290" s="141">
        <f t="shared" si="17"/>
        <v>32.08666406165203</v>
      </c>
      <c r="H290" s="116">
        <f t="shared" si="18"/>
        <v>34.139280544008272</v>
      </c>
      <c r="I290" s="141">
        <f t="shared" si="19"/>
        <v>0</v>
      </c>
      <c r="J290" s="58">
        <f t="shared" si="16"/>
        <v>0</v>
      </c>
      <c r="K290" s="37"/>
    </row>
    <row r="291" spans="1:11" x14ac:dyDescent="0.25">
      <c r="A291" s="50">
        <f>'A) Base RI'!A293</f>
        <v>5910</v>
      </c>
      <c r="B291" s="301" t="str">
        <f>'A) Base RI'!B293</f>
        <v>Cronay</v>
      </c>
      <c r="C291" s="100">
        <f>'B) D RI'!U293</f>
        <v>9653.2049367088639</v>
      </c>
      <c r="D291" s="116">
        <f>'E) Fact soc'!G297/C291</f>
        <v>16.07446901777579</v>
      </c>
      <c r="E291" s="141">
        <f>'H) Péréquation directe'!I302/C291</f>
        <v>-4.7572897736111432</v>
      </c>
      <c r="F291" s="116">
        <f>+'I) Dépenses thématiques'!O291/'K) Plafonnement aide'!C291</f>
        <v>-8.4619904064457678</v>
      </c>
      <c r="G291" s="141">
        <f t="shared" si="17"/>
        <v>2.8551888377188792</v>
      </c>
      <c r="H291" s="116">
        <f t="shared" si="18"/>
        <v>11.317179244164647</v>
      </c>
      <c r="I291" s="141">
        <f t="shared" si="19"/>
        <v>0</v>
      </c>
      <c r="J291" s="58">
        <f t="shared" si="16"/>
        <v>0</v>
      </c>
      <c r="K291" s="37"/>
    </row>
    <row r="292" spans="1:11" x14ac:dyDescent="0.25">
      <c r="A292" s="50">
        <f>'A) Base RI'!A294</f>
        <v>5911</v>
      </c>
      <c r="B292" s="301" t="str">
        <f>'A) Base RI'!B294</f>
        <v>Cuarny</v>
      </c>
      <c r="C292" s="100">
        <f>'B) D RI'!U294</f>
        <v>6896.824556962024</v>
      </c>
      <c r="D292" s="116">
        <f>'E) Fact soc'!G298/C292</f>
        <v>18.804891822566663</v>
      </c>
      <c r="E292" s="141">
        <f>'H) Péréquation directe'!I303/C292</f>
        <v>0.89867683147163047</v>
      </c>
      <c r="F292" s="116">
        <f>+'I) Dépenses thématiques'!O292/'K) Plafonnement aide'!C292</f>
        <v>-14.34705146749805</v>
      </c>
      <c r="G292" s="141">
        <f t="shared" si="17"/>
        <v>5.356517186540243</v>
      </c>
      <c r="H292" s="116">
        <f t="shared" si="18"/>
        <v>19.703568654038293</v>
      </c>
      <c r="I292" s="141">
        <f t="shared" si="19"/>
        <v>0</v>
      </c>
      <c r="J292" s="58">
        <f t="shared" si="16"/>
        <v>0</v>
      </c>
      <c r="K292" s="37"/>
    </row>
    <row r="293" spans="1:11" x14ac:dyDescent="0.25">
      <c r="A293" s="50">
        <f>'A) Base RI'!A295</f>
        <v>5912</v>
      </c>
      <c r="B293" s="301" t="str">
        <f>'A) Base RI'!B295</f>
        <v>Démoret</v>
      </c>
      <c r="C293" s="100">
        <f>'B) D RI'!U295</f>
        <v>3136.4120987654323</v>
      </c>
      <c r="D293" s="116">
        <f>'E) Fact soc'!G299/C293</f>
        <v>14.631093466199614</v>
      </c>
      <c r="E293" s="141">
        <f>'H) Péréquation directe'!I304/C293</f>
        <v>-12.231333429236038</v>
      </c>
      <c r="F293" s="116">
        <f>+'I) Dépenses thématiques'!O293/'K) Plafonnement aide'!C293</f>
        <v>-16.53127729158069</v>
      </c>
      <c r="G293" s="141">
        <f t="shared" si="17"/>
        <v>-14.131517254617114</v>
      </c>
      <c r="H293" s="116">
        <f t="shared" si="18"/>
        <v>2.3997600369635759</v>
      </c>
      <c r="I293" s="141">
        <f t="shared" si="19"/>
        <v>0</v>
      </c>
      <c r="J293" s="58">
        <f t="shared" si="16"/>
        <v>0</v>
      </c>
      <c r="K293" s="37"/>
    </row>
    <row r="294" spans="1:11" x14ac:dyDescent="0.25">
      <c r="A294" s="50">
        <f>'A) Base RI'!A296</f>
        <v>5913</v>
      </c>
      <c r="B294" s="301" t="str">
        <f>'A) Base RI'!B296</f>
        <v>Donneloye</v>
      </c>
      <c r="C294" s="100">
        <f>'B) D RI'!U296</f>
        <v>20372.909452054791</v>
      </c>
      <c r="D294" s="116">
        <f>'E) Fact soc'!G300/C294</f>
        <v>18.575251034322292</v>
      </c>
      <c r="E294" s="141">
        <f>'H) Péréquation directe'!I305/C294</f>
        <v>-1.6877971454204248</v>
      </c>
      <c r="F294" s="116">
        <f>+'I) Dépenses thématiques'!O294/'K) Plafonnement aide'!C294</f>
        <v>-1.861812537002475</v>
      </c>
      <c r="G294" s="141">
        <f t="shared" si="17"/>
        <v>15.025641351899392</v>
      </c>
      <c r="H294" s="116">
        <f t="shared" si="18"/>
        <v>16.887453888901867</v>
      </c>
      <c r="I294" s="141">
        <f t="shared" si="19"/>
        <v>0</v>
      </c>
      <c r="J294" s="58">
        <f t="shared" si="16"/>
        <v>0</v>
      </c>
      <c r="K294" s="37"/>
    </row>
    <row r="295" spans="1:11" x14ac:dyDescent="0.25">
      <c r="A295" s="50">
        <f>'A) Base RI'!A297</f>
        <v>5914</v>
      </c>
      <c r="B295" s="301" t="str">
        <f>'A) Base RI'!B297</f>
        <v>Ependes</v>
      </c>
      <c r="C295" s="100">
        <f>'B) D RI'!U297</f>
        <v>9355.5792000000001</v>
      </c>
      <c r="D295" s="116">
        <f>'E) Fact soc'!G301/C295</f>
        <v>16.65116294516891</v>
      </c>
      <c r="E295" s="141">
        <f>'H) Péréquation directe'!I306/C295</f>
        <v>-1.2549584969286025</v>
      </c>
      <c r="F295" s="116">
        <f>+'I) Dépenses thématiques'!O295/'K) Plafonnement aide'!C295</f>
        <v>-4.5616853266640494</v>
      </c>
      <c r="G295" s="141">
        <f t="shared" si="17"/>
        <v>10.834519121576259</v>
      </c>
      <c r="H295" s="116">
        <f t="shared" si="18"/>
        <v>15.396204448240308</v>
      </c>
      <c r="I295" s="141">
        <f t="shared" si="19"/>
        <v>0</v>
      </c>
      <c r="J295" s="58">
        <f t="shared" si="16"/>
        <v>0</v>
      </c>
      <c r="K295" s="37"/>
    </row>
    <row r="296" spans="1:11" x14ac:dyDescent="0.25">
      <c r="A296" s="50">
        <f>'A) Base RI'!A298</f>
        <v>5919</v>
      </c>
      <c r="B296" s="301" t="str">
        <f>'A) Base RI'!B298</f>
        <v>Mathod</v>
      </c>
      <c r="C296" s="100">
        <f>'B) D RI'!U298</f>
        <v>17162.928379629626</v>
      </c>
      <c r="D296" s="116">
        <f>'E) Fact soc'!G302/C296</f>
        <v>20.886993544850238</v>
      </c>
      <c r="E296" s="141">
        <f>'H) Péréquation directe'!I307/C296</f>
        <v>2.9886992702033806</v>
      </c>
      <c r="F296" s="116">
        <f>+'I) Dépenses thématiques'!O296/'K) Plafonnement aide'!C296</f>
        <v>-3.3530286861682184</v>
      </c>
      <c r="G296" s="141">
        <f t="shared" si="17"/>
        <v>20.522664128885399</v>
      </c>
      <c r="H296" s="116">
        <f t="shared" si="18"/>
        <v>23.875692815053618</v>
      </c>
      <c r="I296" s="141">
        <f t="shared" si="19"/>
        <v>0</v>
      </c>
      <c r="J296" s="58">
        <f t="shared" si="16"/>
        <v>0</v>
      </c>
      <c r="K296" s="37"/>
    </row>
    <row r="297" spans="1:11" x14ac:dyDescent="0.25">
      <c r="A297" s="50">
        <f>'A) Base RI'!A299</f>
        <v>5921</v>
      </c>
      <c r="B297" s="301" t="str">
        <f>'A) Base RI'!B299</f>
        <v>Molondin</v>
      </c>
      <c r="C297" s="100">
        <f>'B) D RI'!U299</f>
        <v>5558.427777777777</v>
      </c>
      <c r="D297" s="116">
        <f>'E) Fact soc'!G303/C297</f>
        <v>16.591521924686575</v>
      </c>
      <c r="E297" s="141">
        <f>'H) Péréquation directe'!I308/C297</f>
        <v>-8.8207322788940097</v>
      </c>
      <c r="F297" s="116">
        <f>+'I) Dépenses thématiques'!O297/'K) Plafonnement aide'!C297</f>
        <v>-6.6553847833422797</v>
      </c>
      <c r="G297" s="141">
        <f t="shared" si="17"/>
        <v>1.1154048624502853</v>
      </c>
      <c r="H297" s="116">
        <f t="shared" si="18"/>
        <v>7.7707896457925649</v>
      </c>
      <c r="I297" s="141">
        <f t="shared" si="19"/>
        <v>0</v>
      </c>
      <c r="J297" s="58">
        <f t="shared" si="16"/>
        <v>0</v>
      </c>
      <c r="K297" s="37"/>
    </row>
    <row r="298" spans="1:11" x14ac:dyDescent="0.25">
      <c r="A298" s="50">
        <f>'A) Base RI'!A300</f>
        <v>5922</v>
      </c>
      <c r="B298" s="301" t="str">
        <f>'A) Base RI'!B300</f>
        <v>Montagny-près-Yverdon</v>
      </c>
      <c r="C298" s="100">
        <f>'B) D RI'!U300</f>
        <v>39297.928807692319</v>
      </c>
      <c r="D298" s="116">
        <f>'E) Fact soc'!G304/C298</f>
        <v>20.791039227835167</v>
      </c>
      <c r="E298" s="141">
        <f>'H) Péréquation directe'!I309/C298</f>
        <v>17.105293253837235</v>
      </c>
      <c r="F298" s="116">
        <f>+'I) Dépenses thématiques'!O298/'K) Plafonnement aide'!C298</f>
        <v>-3.9020340989432665</v>
      </c>
      <c r="G298" s="141">
        <f t="shared" si="17"/>
        <v>33.994298382729134</v>
      </c>
      <c r="H298" s="116">
        <f t="shared" si="18"/>
        <v>37.896332481672403</v>
      </c>
      <c r="I298" s="141">
        <f t="shared" si="19"/>
        <v>0</v>
      </c>
      <c r="J298" s="58">
        <f t="shared" si="16"/>
        <v>0</v>
      </c>
      <c r="K298" s="37"/>
    </row>
    <row r="299" spans="1:11" x14ac:dyDescent="0.25">
      <c r="A299" s="50">
        <f>'A) Base RI'!A301</f>
        <v>5923</v>
      </c>
      <c r="B299" s="301" t="str">
        <f>'A) Base RI'!B301</f>
        <v>Oppens</v>
      </c>
      <c r="C299" s="100">
        <f>'B) D RI'!U301</f>
        <v>5148.3425925925922</v>
      </c>
      <c r="D299" s="116">
        <f>'E) Fact soc'!G305/C299</f>
        <v>17.86991735954177</v>
      </c>
      <c r="E299" s="141">
        <f>'H) Péréquation directe'!I310/C299</f>
        <v>-3.4614109029922711</v>
      </c>
      <c r="F299" s="116">
        <f>+'I) Dépenses thématiques'!O299/'K) Plafonnement aide'!C299</f>
        <v>-7.7086323605858089</v>
      </c>
      <c r="G299" s="141">
        <f t="shared" si="17"/>
        <v>6.6998740959636907</v>
      </c>
      <c r="H299" s="116">
        <f t="shared" si="18"/>
        <v>14.4085064565495</v>
      </c>
      <c r="I299" s="141">
        <f t="shared" si="19"/>
        <v>0</v>
      </c>
      <c r="J299" s="58">
        <f t="shared" si="16"/>
        <v>0</v>
      </c>
      <c r="K299" s="37"/>
    </row>
    <row r="300" spans="1:11" x14ac:dyDescent="0.25">
      <c r="A300" s="50">
        <f>'A) Base RI'!A302</f>
        <v>5924</v>
      </c>
      <c r="B300" s="301" t="str">
        <f>'A) Base RI'!B302</f>
        <v>Orges</v>
      </c>
      <c r="C300" s="100">
        <f>'B) D RI'!U302</f>
        <v>10554.565405405407</v>
      </c>
      <c r="D300" s="116">
        <f>'E) Fact soc'!G306/C300</f>
        <v>16.702349283971515</v>
      </c>
      <c r="E300" s="141">
        <f>'H) Péréquation directe'!I311/C300</f>
        <v>6.7624893643261794</v>
      </c>
      <c r="F300" s="116">
        <f>+'I) Dépenses thématiques'!O300/'K) Plafonnement aide'!C300</f>
        <v>0</v>
      </c>
      <c r="G300" s="141">
        <f t="shared" si="17"/>
        <v>23.464838648297693</v>
      </c>
      <c r="H300" s="116">
        <f t="shared" si="18"/>
        <v>23.464838648297693</v>
      </c>
      <c r="I300" s="141">
        <f t="shared" si="19"/>
        <v>0</v>
      </c>
      <c r="J300" s="58">
        <f t="shared" si="16"/>
        <v>0</v>
      </c>
      <c r="K300" s="37"/>
    </row>
    <row r="301" spans="1:11" x14ac:dyDescent="0.25">
      <c r="A301" s="50">
        <f>'A) Base RI'!A303</f>
        <v>5925</v>
      </c>
      <c r="B301" s="301" t="str">
        <f>'A) Base RI'!B303</f>
        <v>Orzens</v>
      </c>
      <c r="C301" s="100">
        <f>'B) D RI'!U303</f>
        <v>5593.0722784810123</v>
      </c>
      <c r="D301" s="116">
        <f>'E) Fact soc'!G307/C301</f>
        <v>19.13425000449492</v>
      </c>
      <c r="E301" s="141">
        <f>'H) Péréquation directe'!I312/C301</f>
        <v>1.1301139262396862</v>
      </c>
      <c r="F301" s="116">
        <f>+'I) Dépenses thématiques'!O301/'K) Plafonnement aide'!C301</f>
        <v>-2.7110762268824184</v>
      </c>
      <c r="G301" s="141">
        <f t="shared" si="17"/>
        <v>17.553287703852188</v>
      </c>
      <c r="H301" s="116">
        <f t="shared" si="18"/>
        <v>20.264363930734607</v>
      </c>
      <c r="I301" s="141">
        <f t="shared" si="19"/>
        <v>0</v>
      </c>
      <c r="J301" s="58">
        <f t="shared" si="16"/>
        <v>0</v>
      </c>
      <c r="K301" s="37"/>
    </row>
    <row r="302" spans="1:11" x14ac:dyDescent="0.25">
      <c r="A302" s="50">
        <f>'A) Base RI'!A304</f>
        <v>5926</v>
      </c>
      <c r="B302" s="301" t="str">
        <f>'A) Base RI'!B304</f>
        <v>Pomy</v>
      </c>
      <c r="C302" s="100">
        <f>'B) D RI'!U304</f>
        <v>26612.015633802817</v>
      </c>
      <c r="D302" s="116">
        <f>'E) Fact soc'!G308/C302</f>
        <v>15.695158300282742</v>
      </c>
      <c r="E302" s="141">
        <f>'H) Péréquation directe'!I313/C302</f>
        <v>9.6328206102444511</v>
      </c>
      <c r="F302" s="116">
        <f>+'I) Dépenses thématiques'!O302/'K) Plafonnement aide'!C302</f>
        <v>-0.4255128399108315</v>
      </c>
      <c r="G302" s="141">
        <f t="shared" si="17"/>
        <v>24.902466070616363</v>
      </c>
      <c r="H302" s="116">
        <f t="shared" si="18"/>
        <v>25.327978910527193</v>
      </c>
      <c r="I302" s="141">
        <f t="shared" si="19"/>
        <v>0</v>
      </c>
      <c r="J302" s="58">
        <f t="shared" si="16"/>
        <v>0</v>
      </c>
      <c r="K302" s="37"/>
    </row>
    <row r="303" spans="1:11" x14ac:dyDescent="0.25">
      <c r="A303" s="50">
        <f>'A) Base RI'!A305</f>
        <v>5928</v>
      </c>
      <c r="B303" s="301" t="str">
        <f>'A) Base RI'!B305</f>
        <v>Rovray</v>
      </c>
      <c r="C303" s="100">
        <f>'B) D RI'!U305</f>
        <v>4333.9980821917816</v>
      </c>
      <c r="D303" s="116">
        <f>'E) Fact soc'!G309/C303</f>
        <v>17.916646373689314</v>
      </c>
      <c r="E303" s="141">
        <f>'H) Péréquation directe'!I314/C303</f>
        <v>-3.6074277448504244</v>
      </c>
      <c r="F303" s="116">
        <f>+'I) Dépenses thématiques'!O303/'K) Plafonnement aide'!C303</f>
        <v>-2.087565963975313</v>
      </c>
      <c r="G303" s="141">
        <f t="shared" si="17"/>
        <v>12.221652664863576</v>
      </c>
      <c r="H303" s="116">
        <f t="shared" si="18"/>
        <v>14.30921862883889</v>
      </c>
      <c r="I303" s="141">
        <f t="shared" si="19"/>
        <v>0</v>
      </c>
      <c r="J303" s="58">
        <f t="shared" si="16"/>
        <v>0</v>
      </c>
      <c r="K303" s="37"/>
    </row>
    <row r="304" spans="1:11" x14ac:dyDescent="0.25">
      <c r="A304" s="50">
        <f>'A) Base RI'!A306</f>
        <v>5929</v>
      </c>
      <c r="B304" s="301" t="str">
        <f>'A) Base RI'!B306</f>
        <v>Suchy</v>
      </c>
      <c r="C304" s="100">
        <f>'B) D RI'!U306</f>
        <v>17148.792607142859</v>
      </c>
      <c r="D304" s="116">
        <f>'E) Fact soc'!G310/C304</f>
        <v>17.477582202652577</v>
      </c>
      <c r="E304" s="141">
        <f>'H) Péréquation directe'!I315/C304</f>
        <v>4.324695556884679</v>
      </c>
      <c r="F304" s="116">
        <f>+'I) Dépenses thématiques'!O304/'K) Plafonnement aide'!C304</f>
        <v>-0.89842470398979091</v>
      </c>
      <c r="G304" s="141">
        <f t="shared" si="17"/>
        <v>20.903853055547465</v>
      </c>
      <c r="H304" s="116">
        <f t="shared" si="18"/>
        <v>21.802277759537255</v>
      </c>
      <c r="I304" s="141">
        <f t="shared" si="19"/>
        <v>0</v>
      </c>
      <c r="J304" s="58">
        <f t="shared" si="16"/>
        <v>0</v>
      </c>
      <c r="K304" s="37"/>
    </row>
    <row r="305" spans="1:13" x14ac:dyDescent="0.25">
      <c r="A305" s="50">
        <f>'A) Base RI'!A307</f>
        <v>5930</v>
      </c>
      <c r="B305" s="301" t="str">
        <f>'A) Base RI'!B307</f>
        <v>Suscévaz</v>
      </c>
      <c r="C305" s="100">
        <f>'B) D RI'!U307</f>
        <v>5907.1765277777777</v>
      </c>
      <c r="D305" s="116">
        <f>'E) Fact soc'!G311/C305</f>
        <v>19.81977453165787</v>
      </c>
      <c r="E305" s="141">
        <f>'H) Péréquation directe'!I316/C305</f>
        <v>2.5183237907905704</v>
      </c>
      <c r="F305" s="116">
        <f>+'I) Dépenses thématiques'!O305/'K) Plafonnement aide'!C305</f>
        <v>-4.405289967861493</v>
      </c>
      <c r="G305" s="141">
        <f t="shared" si="17"/>
        <v>17.93280835458695</v>
      </c>
      <c r="H305" s="116">
        <f t="shared" si="18"/>
        <v>22.338098322448442</v>
      </c>
      <c r="I305" s="141">
        <f t="shared" si="19"/>
        <v>0</v>
      </c>
      <c r="J305" s="58">
        <f t="shared" si="16"/>
        <v>0</v>
      </c>
      <c r="K305" s="37"/>
    </row>
    <row r="306" spans="1:13" x14ac:dyDescent="0.25">
      <c r="A306" s="50">
        <f>'A) Base RI'!A308</f>
        <v>5931</v>
      </c>
      <c r="B306" s="301" t="str">
        <f>'A) Base RI'!B308</f>
        <v>Treycovagnes</v>
      </c>
      <c r="C306" s="100">
        <f>'B) D RI'!U308</f>
        <v>12973.060799999999</v>
      </c>
      <c r="D306" s="116">
        <f>'E) Fact soc'!G312/C306</f>
        <v>17.292134721783647</v>
      </c>
      <c r="E306" s="141">
        <f>'H) Péréquation directe'!I317/C306</f>
        <v>0.38225832205348009</v>
      </c>
      <c r="F306" s="116">
        <f>+'I) Dépenses thématiques'!O306/'K) Plafonnement aide'!C306</f>
        <v>-0.57177183167047496</v>
      </c>
      <c r="G306" s="141">
        <f t="shared" si="17"/>
        <v>17.102621212166653</v>
      </c>
      <c r="H306" s="116">
        <f t="shared" si="18"/>
        <v>17.674393043837128</v>
      </c>
      <c r="I306" s="141">
        <f t="shared" si="19"/>
        <v>0</v>
      </c>
      <c r="J306" s="58">
        <f t="shared" si="16"/>
        <v>0</v>
      </c>
      <c r="K306" s="37"/>
    </row>
    <row r="307" spans="1:13" x14ac:dyDescent="0.25">
      <c r="A307" s="50">
        <f>'A) Base RI'!A309</f>
        <v>5932</v>
      </c>
      <c r="B307" s="301" t="str">
        <f>'A) Base RI'!B309</f>
        <v>Ursins</v>
      </c>
      <c r="C307" s="100">
        <f>'B) D RI'!U309</f>
        <v>6683.323116883118</v>
      </c>
      <c r="D307" s="116">
        <f>'E) Fact soc'!G313/C307</f>
        <v>18.168839522539734</v>
      </c>
      <c r="E307" s="141">
        <f>'H) Péréquation directe'!I318/C307</f>
        <v>2.5779533874138312</v>
      </c>
      <c r="F307" s="116">
        <f>+'I) Dépenses thématiques'!O307/'K) Plafonnement aide'!C307</f>
        <v>-1.3770502261978841</v>
      </c>
      <c r="G307" s="141">
        <f t="shared" si="17"/>
        <v>19.369742683755682</v>
      </c>
      <c r="H307" s="116">
        <f t="shared" si="18"/>
        <v>20.746792909953566</v>
      </c>
      <c r="I307" s="141">
        <f t="shared" si="19"/>
        <v>0</v>
      </c>
      <c r="J307" s="58">
        <f t="shared" si="16"/>
        <v>0</v>
      </c>
      <c r="K307" s="37"/>
    </row>
    <row r="308" spans="1:13" x14ac:dyDescent="0.25">
      <c r="A308" s="50">
        <f>'A) Base RI'!A310</f>
        <v>5933</v>
      </c>
      <c r="B308" s="301" t="str">
        <f>'A) Base RI'!B310</f>
        <v>Valeyres-sous-Montagny</v>
      </c>
      <c r="C308" s="100">
        <f>'B) D RI'!U310</f>
        <v>22363.871527777774</v>
      </c>
      <c r="D308" s="116">
        <f>'E) Fact soc'!G314/C308</f>
        <v>16.726296210581324</v>
      </c>
      <c r="E308" s="141">
        <f>'H) Péréquation directe'!I319/C308</f>
        <v>7.0383155014775358</v>
      </c>
      <c r="F308" s="116">
        <f>+'I) Dépenses thématiques'!O308/'K) Plafonnement aide'!C308</f>
        <v>-6.0745168027462055</v>
      </c>
      <c r="G308" s="141">
        <f t="shared" si="17"/>
        <v>17.690094909312652</v>
      </c>
      <c r="H308" s="116">
        <f t="shared" si="18"/>
        <v>23.764611712058858</v>
      </c>
      <c r="I308" s="141">
        <f t="shared" si="19"/>
        <v>0</v>
      </c>
      <c r="J308" s="58">
        <f t="shared" si="16"/>
        <v>0</v>
      </c>
      <c r="K308" s="37"/>
    </row>
    <row r="309" spans="1:13" x14ac:dyDescent="0.25">
      <c r="A309" s="50">
        <f>'A) Base RI'!A311</f>
        <v>5934</v>
      </c>
      <c r="B309" s="301" t="str">
        <f>'A) Base RI'!B311</f>
        <v>Valeyres-sous-Ursins</v>
      </c>
      <c r="C309" s="100">
        <f>'B) D RI'!U311</f>
        <v>7624.9658227848104</v>
      </c>
      <c r="D309" s="116">
        <f>'E) Fact soc'!G315/C309</f>
        <v>14.815422161260791</v>
      </c>
      <c r="E309" s="141">
        <f>'H) Péréquation directe'!I320/C309</f>
        <v>6.7465029015885518</v>
      </c>
      <c r="F309" s="116">
        <f>+'I) Dépenses thématiques'!O309/'K) Plafonnement aide'!C309</f>
        <v>-0.81358046276687468</v>
      </c>
      <c r="G309" s="141">
        <f t="shared" si="17"/>
        <v>20.748344600082469</v>
      </c>
      <c r="H309" s="116">
        <f t="shared" si="18"/>
        <v>21.561925062849344</v>
      </c>
      <c r="I309" s="141">
        <f t="shared" si="19"/>
        <v>0</v>
      </c>
      <c r="J309" s="58">
        <f t="shared" si="16"/>
        <v>0</v>
      </c>
      <c r="K309" s="37"/>
    </row>
    <row r="310" spans="1:13" x14ac:dyDescent="0.25">
      <c r="A310" s="50">
        <f>'A) Base RI'!A312</f>
        <v>5935</v>
      </c>
      <c r="B310" s="301" t="str">
        <f>'A) Base RI'!B312</f>
        <v>Villars-Epeney</v>
      </c>
      <c r="C310" s="100">
        <f>'B) D RI'!U312</f>
        <v>5603.6660000000002</v>
      </c>
      <c r="D310" s="116">
        <f>'E) Fact soc'!G316/C310</f>
        <v>16.009949874513577</v>
      </c>
      <c r="E310" s="141">
        <f>'H) Péréquation directe'!I321/C310</f>
        <v>17.166834080507552</v>
      </c>
      <c r="F310" s="116">
        <f>+'I) Dépenses thématiques'!O310/'K) Plafonnement aide'!C310</f>
        <v>-1.1162087773516536</v>
      </c>
      <c r="G310" s="141">
        <f t="shared" si="17"/>
        <v>32.060575177669477</v>
      </c>
      <c r="H310" s="116">
        <f t="shared" si="18"/>
        <v>33.176783955021129</v>
      </c>
      <c r="I310" s="141">
        <f t="shared" si="19"/>
        <v>0</v>
      </c>
      <c r="J310" s="58">
        <f t="shared" si="16"/>
        <v>0</v>
      </c>
      <c r="K310" s="37"/>
    </row>
    <row r="311" spans="1:13" x14ac:dyDescent="0.25">
      <c r="A311" s="50">
        <f>'A) Base RI'!A313</f>
        <v>5937</v>
      </c>
      <c r="B311" s="301" t="str">
        <f>'A) Base RI'!B313</f>
        <v>Vugelles-La Mothe</v>
      </c>
      <c r="C311" s="100">
        <f>'B) D RI'!U313</f>
        <v>2433.2134081632657</v>
      </c>
      <c r="D311" s="116">
        <f>'E) Fact soc'!G317/C311</f>
        <v>18.443541634074233</v>
      </c>
      <c r="E311" s="141">
        <f>'H) Péréquation directe'!I322/C311</f>
        <v>-14.541876463032299</v>
      </c>
      <c r="F311" s="116">
        <f>+'I) Dépenses thématiques'!O311/'K) Plafonnement aide'!C311</f>
        <v>-13.468177806135564</v>
      </c>
      <c r="G311" s="141">
        <f t="shared" si="17"/>
        <v>-9.5665126350936305</v>
      </c>
      <c r="H311" s="116">
        <f t="shared" si="18"/>
        <v>3.9016651710419339</v>
      </c>
      <c r="I311" s="141">
        <f t="shared" si="19"/>
        <v>0</v>
      </c>
      <c r="J311" s="58">
        <f t="shared" si="16"/>
        <v>0</v>
      </c>
      <c r="K311" s="37"/>
    </row>
    <row r="312" spans="1:13" x14ac:dyDescent="0.25">
      <c r="A312" s="50">
        <f>'A) Base RI'!A314</f>
        <v>5938</v>
      </c>
      <c r="B312" s="301" t="str">
        <f>'A) Base RI'!B314</f>
        <v>Yverdon-les-Bains</v>
      </c>
      <c r="C312" s="100">
        <f>'B) D RI'!U314</f>
        <v>774658.89816993475</v>
      </c>
      <c r="D312" s="116">
        <f>'E) Fact soc'!G318/C312</f>
        <v>19.261982065652649</v>
      </c>
      <c r="E312" s="141">
        <f>'H) Péréquation directe'!I323/C312</f>
        <v>-31.787216068847499</v>
      </c>
      <c r="F312" s="116">
        <f>+'I) Dépenses thématiques'!O312/'K) Plafonnement aide'!C312</f>
        <v>-9.9401040835149423</v>
      </c>
      <c r="G312" s="141">
        <f t="shared" si="17"/>
        <v>-22.465338086709792</v>
      </c>
      <c r="H312" s="116">
        <f t="shared" si="18"/>
        <v>-12.52523400319485</v>
      </c>
      <c r="I312" s="141">
        <f t="shared" si="19"/>
        <v>-6.0252340031948499</v>
      </c>
      <c r="J312" s="58">
        <f t="shared" si="16"/>
        <v>4667501.1341309473</v>
      </c>
      <c r="K312" s="37"/>
    </row>
    <row r="313" spans="1:13" x14ac:dyDescent="0.25">
      <c r="A313" s="50">
        <f>'A) Base RI'!A315</f>
        <v>5939</v>
      </c>
      <c r="B313" s="301" t="str">
        <f>'A) Base RI'!B315</f>
        <v>Yvonand</v>
      </c>
      <c r="C313" s="100">
        <f>'B) D RI'!U315</f>
        <v>93821.233287671232</v>
      </c>
      <c r="D313" s="116">
        <f>'E) Fact soc'!G319/C313</f>
        <v>18.365465502492601</v>
      </c>
      <c r="E313" s="141">
        <f>'H) Péréquation directe'!I324/C313</f>
        <v>-5.4625708554879484</v>
      </c>
      <c r="F313" s="116">
        <f>+'I) Dépenses thématiques'!O313/'K) Plafonnement aide'!C313</f>
        <v>-2.3218710850941489</v>
      </c>
      <c r="G313" s="141">
        <f t="shared" si="17"/>
        <v>10.581023561910504</v>
      </c>
      <c r="H313" s="116">
        <f t="shared" si="18"/>
        <v>12.902894647004652</v>
      </c>
      <c r="I313" s="141">
        <f t="shared" si="19"/>
        <v>0</v>
      </c>
      <c r="J313" s="58">
        <f t="shared" si="16"/>
        <v>0</v>
      </c>
      <c r="K313" s="37"/>
    </row>
    <row r="314" spans="1:13" x14ac:dyDescent="0.25">
      <c r="A314" s="31"/>
      <c r="B314" s="308">
        <f>COUNTA(B5:B313)</f>
        <v>309</v>
      </c>
      <c r="C314" s="102">
        <f>'B) D RI'!U316</f>
        <v>37017775.996768594</v>
      </c>
      <c r="D314" s="317">
        <f>'E) Fact soc'!G320/C314</f>
        <v>21.341393228727789</v>
      </c>
      <c r="E314" s="115">
        <f>'H) Péréquation directe'!I325/C314</f>
        <v>4.0231600504360188</v>
      </c>
      <c r="F314" s="317">
        <f>'I) Dépenses thématiques'!P314</f>
        <v>-3.8962824567096486</v>
      </c>
      <c r="G314" s="115">
        <f t="shared" ref="G314" si="20">SUM(D314:F314)</f>
        <v>21.468270822454159</v>
      </c>
      <c r="H314" s="317">
        <f t="shared" ref="H314" si="21">G314-F314</f>
        <v>25.364553279163808</v>
      </c>
      <c r="I314" s="115"/>
      <c r="J314" s="38">
        <f>SUM(J5:J313)</f>
        <v>5423730.7749360707</v>
      </c>
      <c r="L314" s="12"/>
      <c r="M314" s="12"/>
    </row>
    <row r="315" spans="1:13" x14ac:dyDescent="0.25">
      <c r="I315" s="29"/>
    </row>
    <row r="316" spans="1:13" x14ac:dyDescent="0.25">
      <c r="I316" s="29"/>
    </row>
  </sheetData>
  <mergeCells count="9">
    <mergeCell ref="C3:C4"/>
    <mergeCell ref="B3:B4"/>
    <mergeCell ref="A3:A4"/>
    <mergeCell ref="J3:J4"/>
    <mergeCell ref="H3:H4"/>
    <mergeCell ref="G3:G4"/>
    <mergeCell ref="F3:F4"/>
    <mergeCell ref="E3:E4"/>
    <mergeCell ref="D3:D4"/>
  </mergeCells>
  <phoneticPr fontId="10" type="noConversion"/>
  <pageMargins left="0.78740157499999996" right="0.78740157499999996" top="0.984251969" bottom="0.984251969" header="0.4921259845" footer="0.4921259845"/>
  <pageSetup paperSize="9" orientation="portrait" horizontalDpi="4294967292" verticalDpi="4294967292"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5">
    <tabColor rgb="FF00B050"/>
  </sheetPr>
  <dimension ref="A1:V320"/>
  <sheetViews>
    <sheetView workbookViewId="0">
      <pane ySplit="5" topLeftCell="A6" activePane="bottomLeft" state="frozen"/>
      <selection pane="bottomLeft" activeCell="A6" sqref="A6"/>
    </sheetView>
  </sheetViews>
  <sheetFormatPr baseColWidth="10" defaultColWidth="10.75" defaultRowHeight="15" x14ac:dyDescent="0.25"/>
  <cols>
    <col min="1" max="1" width="7.25" style="13" customWidth="1"/>
    <col min="2" max="2" width="18" style="13" customWidth="1"/>
    <col min="3" max="3" width="11.125" style="13" customWidth="1"/>
    <col min="4" max="4" width="11.25" style="13" customWidth="1"/>
    <col min="5" max="6" width="10.125" style="13" customWidth="1"/>
    <col min="7" max="8" width="11" style="13" customWidth="1"/>
    <col min="9" max="9" width="8.625" style="13" bestFit="1" customWidth="1"/>
    <col min="10" max="10" width="12.125" style="13" bestFit="1" customWidth="1"/>
    <col min="11" max="11" width="10" style="13" customWidth="1"/>
    <col min="12" max="12" width="8.875" style="15" bestFit="1" customWidth="1"/>
    <col min="13" max="14" width="10.375" style="15" customWidth="1"/>
    <col min="15" max="15" width="6.75" style="15" customWidth="1"/>
    <col min="16" max="16" width="12.25" style="13" customWidth="1"/>
    <col min="17" max="17" width="12.625" style="13" customWidth="1"/>
    <col min="18" max="18" width="8.25" style="13" customWidth="1"/>
    <col min="19" max="19" width="8.125" style="13" customWidth="1"/>
    <col min="20" max="20" width="9.625" style="13" customWidth="1"/>
    <col min="21" max="21" width="11.25" style="6" bestFit="1" customWidth="1"/>
    <col min="22" max="16384" width="10.75" style="13"/>
  </cols>
  <sheetData>
    <row r="1" spans="1:22" s="44" customFormat="1" ht="21" x14ac:dyDescent="0.25">
      <c r="A1" s="52" t="s">
        <v>131</v>
      </c>
      <c r="B1" s="43"/>
      <c r="C1" s="73"/>
      <c r="D1" s="73"/>
      <c r="E1" s="73"/>
      <c r="F1" s="73"/>
      <c r="G1" s="73"/>
      <c r="H1" s="73"/>
      <c r="I1" s="73"/>
      <c r="J1" s="73"/>
      <c r="K1" s="73"/>
      <c r="L1" s="139"/>
      <c r="M1" s="139"/>
      <c r="N1" s="139"/>
      <c r="O1" s="139"/>
      <c r="P1" s="73"/>
      <c r="Q1" s="73"/>
      <c r="R1" s="73"/>
      <c r="S1" s="73"/>
      <c r="T1" s="73"/>
      <c r="U1" s="6"/>
    </row>
    <row r="2" spans="1:22" x14ac:dyDescent="0.25">
      <c r="C2" s="147"/>
      <c r="D2" s="147"/>
      <c r="E2" s="147"/>
      <c r="F2" s="147"/>
      <c r="G2" s="147"/>
      <c r="H2" s="147"/>
      <c r="I2" s="147"/>
    </row>
    <row r="3" spans="1:22" x14ac:dyDescent="0.25">
      <c r="C3" s="573">
        <f>Paramètres!B6</f>
        <v>2017</v>
      </c>
      <c r="D3" s="574"/>
      <c r="E3" s="574"/>
      <c r="F3" s="574"/>
      <c r="G3" s="574"/>
      <c r="H3" s="574"/>
      <c r="I3" s="575"/>
    </row>
    <row r="4" spans="1:22" ht="30" x14ac:dyDescent="0.25">
      <c r="A4" s="535" t="s">
        <v>50</v>
      </c>
      <c r="B4" s="535" t="s">
        <v>101</v>
      </c>
      <c r="C4" s="535" t="s">
        <v>98</v>
      </c>
      <c r="D4" s="576" t="s">
        <v>150</v>
      </c>
      <c r="E4" s="535" t="s">
        <v>451</v>
      </c>
      <c r="F4" s="535" t="s">
        <v>258</v>
      </c>
      <c r="G4" s="535" t="s">
        <v>259</v>
      </c>
      <c r="H4" s="535" t="s">
        <v>365</v>
      </c>
      <c r="I4" s="66" t="s">
        <v>376</v>
      </c>
      <c r="J4" s="66" t="s">
        <v>376</v>
      </c>
      <c r="K4" s="559" t="s">
        <v>470</v>
      </c>
      <c r="L4" s="566" t="s">
        <v>364</v>
      </c>
      <c r="M4" s="566" t="s">
        <v>268</v>
      </c>
      <c r="N4" s="566" t="s">
        <v>269</v>
      </c>
      <c r="O4" s="522" t="s">
        <v>130</v>
      </c>
      <c r="P4" s="118" t="s">
        <v>131</v>
      </c>
      <c r="Q4" s="559" t="s">
        <v>377</v>
      </c>
      <c r="R4" s="535" t="s">
        <v>132</v>
      </c>
      <c r="S4" s="535" t="s">
        <v>262</v>
      </c>
      <c r="T4" s="148"/>
    </row>
    <row r="5" spans="1:22" x14ac:dyDescent="0.25">
      <c r="A5" s="536"/>
      <c r="B5" s="536"/>
      <c r="C5" s="537"/>
      <c r="D5" s="577"/>
      <c r="E5" s="537"/>
      <c r="F5" s="536"/>
      <c r="G5" s="537"/>
      <c r="H5" s="536"/>
      <c r="I5" s="418">
        <f>Paramètres!B6</f>
        <v>2017</v>
      </c>
      <c r="J5" s="447">
        <f>Paramètres!B5</f>
        <v>2018</v>
      </c>
      <c r="K5" s="560"/>
      <c r="L5" s="578"/>
      <c r="M5" s="578"/>
      <c r="N5" s="578"/>
      <c r="O5" s="524"/>
      <c r="P5" s="123">
        <f>Paramètres!B50</f>
        <v>92.469503030152794</v>
      </c>
      <c r="Q5" s="560"/>
      <c r="R5" s="536"/>
      <c r="S5" s="536"/>
      <c r="T5" s="142"/>
    </row>
    <row r="6" spans="1:22" x14ac:dyDescent="0.25">
      <c r="A6" s="47">
        <f>'A) Base RI'!A7</f>
        <v>5401</v>
      </c>
      <c r="B6" s="441" t="str">
        <f>'A) Base RI'!B7</f>
        <v>Aigle</v>
      </c>
      <c r="C6" s="156">
        <v>5497131.1512782583</v>
      </c>
      <c r="D6" s="156">
        <v>-3073286.5037240135</v>
      </c>
      <c r="E6" s="156">
        <v>0</v>
      </c>
      <c r="F6" s="156">
        <v>0</v>
      </c>
      <c r="G6" s="156">
        <v>0</v>
      </c>
      <c r="H6" s="440">
        <f>SUM(C6:G6)</f>
        <v>2423844.6475542448</v>
      </c>
      <c r="I6" s="155">
        <v>280807.53491358022</v>
      </c>
      <c r="J6" s="442">
        <f>'B) D RI'!U7</f>
        <v>276325.40780246921</v>
      </c>
      <c r="K6" s="72">
        <f>H6/I6</f>
        <v>8.6316937624205625</v>
      </c>
      <c r="L6" s="92">
        <f>'B) D RI'!S7</f>
        <v>67.5</v>
      </c>
      <c r="M6" s="92">
        <f>L6-K6</f>
        <v>58.868306237579439</v>
      </c>
      <c r="N6" s="92">
        <f>'J) Plafonnement effort'!G5+'J) Plafonnement effort'!H5-'K) Plafonnement aide'!I5</f>
        <v>-0.4553726950335264</v>
      </c>
      <c r="O6" s="92">
        <f>M6+N6</f>
        <v>58.412933542545915</v>
      </c>
      <c r="P6" s="48">
        <f>IF(O6&gt;$P$5,$P$5-O6,0)</f>
        <v>0</v>
      </c>
      <c r="Q6" s="105">
        <f>P6*J6</f>
        <v>0</v>
      </c>
      <c r="R6" s="149">
        <f>O6+P6</f>
        <v>58.412933542545915</v>
      </c>
      <c r="S6" s="130">
        <f>R6-L6</f>
        <v>-9.0870664574540854</v>
      </c>
      <c r="T6" s="150">
        <f>+C6+D6+E6+F6+G6-H6</f>
        <v>0</v>
      </c>
      <c r="V6" s="12"/>
    </row>
    <row r="7" spans="1:22" x14ac:dyDescent="0.25">
      <c r="A7" s="50">
        <f>'A) Base RI'!A8</f>
        <v>5402</v>
      </c>
      <c r="B7" s="437" t="str">
        <f>'A) Base RI'!B8</f>
        <v>Bex</v>
      </c>
      <c r="C7" s="156">
        <v>3573781.1379599469</v>
      </c>
      <c r="D7" s="156">
        <v>-3422634.2376927491</v>
      </c>
      <c r="E7" s="156">
        <v>0</v>
      </c>
      <c r="F7" s="156">
        <v>0</v>
      </c>
      <c r="G7" s="156">
        <v>0</v>
      </c>
      <c r="H7" s="440">
        <f t="shared" ref="H7:H70" si="0">SUM(C7:G7)</f>
        <v>151146.90026719775</v>
      </c>
      <c r="I7" s="156">
        <v>178888.62591549297</v>
      </c>
      <c r="J7" s="443">
        <f>'B) D RI'!U8</f>
        <v>172586.81591549295</v>
      </c>
      <c r="K7" s="67">
        <f t="shared" ref="K7:K61" si="1">H7/I7</f>
        <v>0.84492180256669636</v>
      </c>
      <c r="L7" s="34">
        <f>'B) D RI'!S8</f>
        <v>71</v>
      </c>
      <c r="M7" s="34">
        <f t="shared" ref="M7:M60" si="2">L7-K7</f>
        <v>70.155078197433298</v>
      </c>
      <c r="N7" s="34">
        <f>'J) Plafonnement effort'!G6+'J) Plafonnement effort'!H6-'K) Plafonnement aide'!I6</f>
        <v>-13.811220685335735</v>
      </c>
      <c r="O7" s="34">
        <f t="shared" ref="O7:O60" si="3">M7+N7</f>
        <v>56.343857512097564</v>
      </c>
      <c r="P7" s="48">
        <f t="shared" ref="P7:P60" si="4">IF(O7&gt;$P$5,$P$5-O7,0)</f>
        <v>0</v>
      </c>
      <c r="Q7" s="58">
        <f t="shared" ref="Q7:Q62" si="5">P7*J7</f>
        <v>0</v>
      </c>
      <c r="R7" s="151">
        <f t="shared" ref="R7:R60" si="6">O7+P7</f>
        <v>56.343857512097564</v>
      </c>
      <c r="S7" s="131">
        <f t="shared" ref="S7:S60" si="7">R7-L7</f>
        <v>-14.656142487902436</v>
      </c>
      <c r="T7" s="150">
        <f t="shared" ref="T7:T70" si="8">+C7+D7+E7+F7+G7-H7</f>
        <v>0</v>
      </c>
      <c r="V7" s="12"/>
    </row>
    <row r="8" spans="1:22" x14ac:dyDescent="0.25">
      <c r="A8" s="50">
        <f>'A) Base RI'!A9</f>
        <v>5403</v>
      </c>
      <c r="B8" s="437" t="str">
        <f>'A) Base RI'!B9</f>
        <v>Chessel</v>
      </c>
      <c r="C8" s="156">
        <v>182730.78328490676</v>
      </c>
      <c r="D8" s="156">
        <v>-38147.120511408692</v>
      </c>
      <c r="E8" s="156">
        <v>0</v>
      </c>
      <c r="F8" s="156">
        <v>0</v>
      </c>
      <c r="G8" s="156">
        <v>0</v>
      </c>
      <c r="H8" s="440">
        <f t="shared" si="0"/>
        <v>144583.66277349807</v>
      </c>
      <c r="I8" s="156">
        <v>9797.3922972972978</v>
      </c>
      <c r="J8" s="443">
        <f>'B) D RI'!U9</f>
        <v>10175.556621621625</v>
      </c>
      <c r="K8" s="67">
        <f t="shared" si="1"/>
        <v>14.757361794462678</v>
      </c>
      <c r="L8" s="34">
        <f>'B) D RI'!S9</f>
        <v>74</v>
      </c>
      <c r="M8" s="34">
        <f t="shared" si="2"/>
        <v>59.242638205537318</v>
      </c>
      <c r="N8" s="34">
        <f>'J) Plafonnement effort'!G7+'J) Plafonnement effort'!H7-'K) Plafonnement aide'!I7</f>
        <v>9.3569032765614875</v>
      </c>
      <c r="O8" s="34">
        <f t="shared" si="3"/>
        <v>68.5995414820988</v>
      </c>
      <c r="P8" s="48">
        <f t="shared" si="4"/>
        <v>0</v>
      </c>
      <c r="Q8" s="58">
        <f t="shared" si="5"/>
        <v>0</v>
      </c>
      <c r="R8" s="151">
        <f t="shared" si="6"/>
        <v>68.5995414820988</v>
      </c>
      <c r="S8" s="131">
        <f t="shared" si="7"/>
        <v>-5.4004585179011997</v>
      </c>
      <c r="T8" s="150">
        <f t="shared" si="8"/>
        <v>0</v>
      </c>
      <c r="V8" s="12"/>
    </row>
    <row r="9" spans="1:22" x14ac:dyDescent="0.25">
      <c r="A9" s="50">
        <f>'A) Base RI'!A10</f>
        <v>5404</v>
      </c>
      <c r="B9" s="437" t="str">
        <f>'A) Base RI'!B10</f>
        <v>Corbeyrier</v>
      </c>
      <c r="C9" s="156">
        <v>362023.81767954293</v>
      </c>
      <c r="D9" s="156">
        <v>-7941.8379363017739</v>
      </c>
      <c r="E9" s="156">
        <v>0</v>
      </c>
      <c r="F9" s="156">
        <v>0</v>
      </c>
      <c r="G9" s="156">
        <v>0</v>
      </c>
      <c r="H9" s="440">
        <f t="shared" si="0"/>
        <v>354081.97974324116</v>
      </c>
      <c r="I9" s="156">
        <v>10965.354952380952</v>
      </c>
      <c r="J9" s="443">
        <f>'B) D RI'!U10</f>
        <v>12084.741666666667</v>
      </c>
      <c r="K9" s="67">
        <f t="shared" si="1"/>
        <v>32.290972912496358</v>
      </c>
      <c r="L9" s="34">
        <f>'B) D RI'!S10</f>
        <v>70</v>
      </c>
      <c r="M9" s="34">
        <f t="shared" si="2"/>
        <v>37.709027087503642</v>
      </c>
      <c r="N9" s="34">
        <f>'J) Plafonnement effort'!G8+'J) Plafonnement effort'!H8-'K) Plafonnement aide'!I8</f>
        <v>9.5804724144500053</v>
      </c>
      <c r="O9" s="34">
        <f t="shared" si="3"/>
        <v>47.289499501953649</v>
      </c>
      <c r="P9" s="48">
        <f t="shared" si="4"/>
        <v>0</v>
      </c>
      <c r="Q9" s="58">
        <f t="shared" si="5"/>
        <v>0</v>
      </c>
      <c r="R9" s="151">
        <f t="shared" si="6"/>
        <v>47.289499501953649</v>
      </c>
      <c r="S9" s="131">
        <f t="shared" si="7"/>
        <v>-22.710500498046351</v>
      </c>
      <c r="T9" s="150">
        <f t="shared" si="8"/>
        <v>0</v>
      </c>
      <c r="V9" s="12"/>
    </row>
    <row r="10" spans="1:22" x14ac:dyDescent="0.25">
      <c r="A10" s="50">
        <f>'A) Base RI'!A11</f>
        <v>5405</v>
      </c>
      <c r="B10" s="437" t="str">
        <f>'A) Base RI'!B11</f>
        <v>Gryon</v>
      </c>
      <c r="C10" s="156">
        <v>1374407.3026966406</v>
      </c>
      <c r="D10" s="156">
        <v>1068580.020088749</v>
      </c>
      <c r="E10" s="156">
        <v>0</v>
      </c>
      <c r="F10" s="156">
        <v>0</v>
      </c>
      <c r="G10" s="156">
        <v>0</v>
      </c>
      <c r="H10" s="440">
        <f t="shared" si="0"/>
        <v>2442987.3227853896</v>
      </c>
      <c r="I10" s="156">
        <v>69949.839511111102</v>
      </c>
      <c r="J10" s="443">
        <f>'B) D RI'!U11</f>
        <v>67578.882888888897</v>
      </c>
      <c r="K10" s="67">
        <f t="shared" si="1"/>
        <v>34.924845287133735</v>
      </c>
      <c r="L10" s="34">
        <f>'B) D RI'!S11</f>
        <v>75</v>
      </c>
      <c r="M10" s="34">
        <f t="shared" si="2"/>
        <v>40.075154712866265</v>
      </c>
      <c r="N10" s="34">
        <f>'J) Plafonnement effort'!G9+'J) Plafonnement effort'!H9-'K) Plafonnement aide'!I9</f>
        <v>32.085215120043529</v>
      </c>
      <c r="O10" s="34">
        <f t="shared" si="3"/>
        <v>72.160369832909794</v>
      </c>
      <c r="P10" s="48">
        <f t="shared" si="4"/>
        <v>0</v>
      </c>
      <c r="Q10" s="58">
        <f t="shared" si="5"/>
        <v>0</v>
      </c>
      <c r="R10" s="151">
        <f t="shared" si="6"/>
        <v>72.160369832909794</v>
      </c>
      <c r="S10" s="131">
        <f t="shared" si="7"/>
        <v>-2.8396301670902062</v>
      </c>
      <c r="T10" s="150">
        <f t="shared" si="8"/>
        <v>0</v>
      </c>
      <c r="V10" s="12"/>
    </row>
    <row r="11" spans="1:22" x14ac:dyDescent="0.25">
      <c r="A11" s="50">
        <f>'A) Base RI'!A12</f>
        <v>5406</v>
      </c>
      <c r="B11" s="437" t="str">
        <f>'A) Base RI'!B12</f>
        <v>Lavey-Morcles</v>
      </c>
      <c r="C11" s="156">
        <v>411162.64102558268</v>
      </c>
      <c r="D11" s="156">
        <v>-66720.032072790316</v>
      </c>
      <c r="E11" s="156">
        <v>0</v>
      </c>
      <c r="F11" s="156">
        <v>0</v>
      </c>
      <c r="G11" s="156">
        <v>0</v>
      </c>
      <c r="H11" s="440">
        <f t="shared" si="0"/>
        <v>344442.60895279236</v>
      </c>
      <c r="I11" s="156">
        <v>22205.009750812569</v>
      </c>
      <c r="J11" s="443">
        <f>'B) D RI'!U12</f>
        <v>21586.094615384616</v>
      </c>
      <c r="K11" s="67">
        <f t="shared" si="1"/>
        <v>15.511932344014749</v>
      </c>
      <c r="L11" s="34">
        <f>'B) D RI'!S12</f>
        <v>71</v>
      </c>
      <c r="M11" s="34">
        <f t="shared" si="2"/>
        <v>55.488067655985247</v>
      </c>
      <c r="N11" s="34">
        <f>'J) Plafonnement effort'!G10+'J) Plafonnement effort'!H10-'K) Plafonnement aide'!I10</f>
        <v>7.3366738833604597</v>
      </c>
      <c r="O11" s="34">
        <f t="shared" si="3"/>
        <v>62.824741539345709</v>
      </c>
      <c r="P11" s="48">
        <f t="shared" si="4"/>
        <v>0</v>
      </c>
      <c r="Q11" s="58">
        <f t="shared" si="5"/>
        <v>0</v>
      </c>
      <c r="R11" s="151">
        <f t="shared" si="6"/>
        <v>62.824741539345709</v>
      </c>
      <c r="S11" s="131">
        <f t="shared" si="7"/>
        <v>-8.1752584606542911</v>
      </c>
      <c r="T11" s="150">
        <f t="shared" si="8"/>
        <v>0</v>
      </c>
      <c r="V11" s="12"/>
    </row>
    <row r="12" spans="1:22" x14ac:dyDescent="0.25">
      <c r="A12" s="50">
        <f>'A) Base RI'!A13</f>
        <v>5407</v>
      </c>
      <c r="B12" s="437" t="str">
        <f>'A) Base RI'!B13</f>
        <v>Leysin</v>
      </c>
      <c r="C12" s="156">
        <v>1691342.5148461899</v>
      </c>
      <c r="D12" s="156">
        <v>-1841883.2430047849</v>
      </c>
      <c r="E12" s="156">
        <v>0</v>
      </c>
      <c r="F12" s="156">
        <v>0</v>
      </c>
      <c r="G12" s="156">
        <v>0</v>
      </c>
      <c r="H12" s="440">
        <f t="shared" si="0"/>
        <v>-150540.72815859504</v>
      </c>
      <c r="I12" s="156">
        <v>89269.724615384606</v>
      </c>
      <c r="J12" s="443">
        <f>'B) D RI'!U13</f>
        <v>89616.305299145315</v>
      </c>
      <c r="K12" s="67">
        <f t="shared" si="1"/>
        <v>-1.6863581556590921</v>
      </c>
      <c r="L12" s="34">
        <f>'B) D RI'!S13</f>
        <v>78</v>
      </c>
      <c r="M12" s="34">
        <f t="shared" si="2"/>
        <v>79.686358155659093</v>
      </c>
      <c r="N12" s="34">
        <f>'J) Plafonnement effort'!G11+'J) Plafonnement effort'!H11-'K) Plafonnement aide'!I11</f>
        <v>-20.934195989080887</v>
      </c>
      <c r="O12" s="34">
        <f t="shared" si="3"/>
        <v>58.752162166578202</v>
      </c>
      <c r="P12" s="48">
        <f t="shared" si="4"/>
        <v>0</v>
      </c>
      <c r="Q12" s="58">
        <f t="shared" si="5"/>
        <v>0</v>
      </c>
      <c r="R12" s="151">
        <f t="shared" si="6"/>
        <v>58.752162166578202</v>
      </c>
      <c r="S12" s="131">
        <f t="shared" si="7"/>
        <v>-19.247837833421798</v>
      </c>
      <c r="T12" s="150">
        <f t="shared" si="8"/>
        <v>0</v>
      </c>
      <c r="V12" s="12"/>
    </row>
    <row r="13" spans="1:22" x14ac:dyDescent="0.25">
      <c r="A13" s="50">
        <f>'A) Base RI'!A14</f>
        <v>5408</v>
      </c>
      <c r="B13" s="437" t="str">
        <f>'A) Base RI'!B14</f>
        <v>Noville</v>
      </c>
      <c r="C13" s="156">
        <v>658299.29600875045</v>
      </c>
      <c r="D13" s="156">
        <v>202386.50439302146</v>
      </c>
      <c r="E13" s="156">
        <v>0</v>
      </c>
      <c r="F13" s="156">
        <v>0</v>
      </c>
      <c r="G13" s="156">
        <v>0</v>
      </c>
      <c r="H13" s="440">
        <f t="shared" si="0"/>
        <v>860685.80040177191</v>
      </c>
      <c r="I13" s="156">
        <v>34371.486709129509</v>
      </c>
      <c r="J13" s="443">
        <f>'B) D RI'!U14</f>
        <v>38763.706581740975</v>
      </c>
      <c r="K13" s="67">
        <f t="shared" si="1"/>
        <v>25.040691654840835</v>
      </c>
      <c r="L13" s="34">
        <f>'B) D RI'!S14</f>
        <v>78.5</v>
      </c>
      <c r="M13" s="34">
        <f t="shared" si="2"/>
        <v>53.459308345159165</v>
      </c>
      <c r="N13" s="34">
        <f>'J) Plafonnement effort'!G12+'J) Plafonnement effort'!H12-'K) Plafonnement aide'!I12</f>
        <v>25.492561906190787</v>
      </c>
      <c r="O13" s="34">
        <f t="shared" si="3"/>
        <v>78.951870251349959</v>
      </c>
      <c r="P13" s="48">
        <f t="shared" si="4"/>
        <v>0</v>
      </c>
      <c r="Q13" s="58">
        <f t="shared" si="5"/>
        <v>0</v>
      </c>
      <c r="R13" s="151">
        <f t="shared" si="6"/>
        <v>78.951870251349959</v>
      </c>
      <c r="S13" s="131">
        <f t="shared" si="7"/>
        <v>0.45187025134995906</v>
      </c>
      <c r="T13" s="150">
        <f t="shared" si="8"/>
        <v>0</v>
      </c>
      <c r="V13" s="12"/>
    </row>
    <row r="14" spans="1:22" x14ac:dyDescent="0.25">
      <c r="A14" s="50">
        <f>'A) Base RI'!A15</f>
        <v>5409</v>
      </c>
      <c r="B14" s="437" t="str">
        <f>'A) Base RI'!B15</f>
        <v>Ollon</v>
      </c>
      <c r="C14" s="156">
        <v>7053387.2458765525</v>
      </c>
      <c r="D14" s="156">
        <v>3621157.896127725</v>
      </c>
      <c r="E14" s="156">
        <v>0</v>
      </c>
      <c r="F14" s="156">
        <v>0</v>
      </c>
      <c r="G14" s="156">
        <v>0</v>
      </c>
      <c r="H14" s="440">
        <f t="shared" si="0"/>
        <v>10674545.142004278</v>
      </c>
      <c r="I14" s="156">
        <v>372011.63303167425</v>
      </c>
      <c r="J14" s="443">
        <f>'B) D RI'!U15</f>
        <v>369055.23328054306</v>
      </c>
      <c r="K14" s="67">
        <f t="shared" si="1"/>
        <v>28.694116511930186</v>
      </c>
      <c r="L14" s="34">
        <f>'B) D RI'!S15</f>
        <v>68</v>
      </c>
      <c r="M14" s="34">
        <f t="shared" si="2"/>
        <v>39.30588348806981</v>
      </c>
      <c r="N14" s="34">
        <f>'J) Plafonnement effort'!G13+'J) Plafonnement effort'!H13-'K) Plafonnement aide'!I13</f>
        <v>24.682065091637426</v>
      </c>
      <c r="O14" s="34">
        <f t="shared" si="3"/>
        <v>63.987948579707236</v>
      </c>
      <c r="P14" s="48">
        <f t="shared" si="4"/>
        <v>0</v>
      </c>
      <c r="Q14" s="58">
        <f t="shared" si="5"/>
        <v>0</v>
      </c>
      <c r="R14" s="151">
        <f t="shared" si="6"/>
        <v>63.987948579707236</v>
      </c>
      <c r="S14" s="131">
        <f t="shared" si="7"/>
        <v>-4.0120514202927637</v>
      </c>
      <c r="T14" s="150">
        <f t="shared" si="8"/>
        <v>0</v>
      </c>
      <c r="V14" s="12"/>
    </row>
    <row r="15" spans="1:22" x14ac:dyDescent="0.25">
      <c r="A15" s="50">
        <f>'A) Base RI'!A16</f>
        <v>5410</v>
      </c>
      <c r="B15" s="437" t="str">
        <f>'A) Base RI'!B16</f>
        <v>Ormont-Dessous</v>
      </c>
      <c r="C15" s="156">
        <v>777342.23084215156</v>
      </c>
      <c r="D15" s="156">
        <v>282432.5004802008</v>
      </c>
      <c r="E15" s="156">
        <v>0</v>
      </c>
      <c r="F15" s="156">
        <v>0</v>
      </c>
      <c r="G15" s="156">
        <v>0</v>
      </c>
      <c r="H15" s="440">
        <f t="shared" si="0"/>
        <v>1059774.7313223523</v>
      </c>
      <c r="I15" s="156">
        <v>38315.886284501066</v>
      </c>
      <c r="J15" s="443">
        <f>'B) D RI'!U16</f>
        <v>43491.149554140131</v>
      </c>
      <c r="K15" s="67">
        <f t="shared" si="1"/>
        <v>27.658886015408068</v>
      </c>
      <c r="L15" s="34">
        <f>'B) D RI'!S16</f>
        <v>78.5</v>
      </c>
      <c r="M15" s="34">
        <f t="shared" si="2"/>
        <v>50.841113984591928</v>
      </c>
      <c r="N15" s="34">
        <f>'J) Plafonnement effort'!G14+'J) Plafonnement effort'!H14-'K) Plafonnement aide'!I14</f>
        <v>11.063108077706588</v>
      </c>
      <c r="O15" s="34">
        <f t="shared" si="3"/>
        <v>61.904222062298516</v>
      </c>
      <c r="P15" s="48">
        <f t="shared" si="4"/>
        <v>0</v>
      </c>
      <c r="Q15" s="58">
        <f t="shared" si="5"/>
        <v>0</v>
      </c>
      <c r="R15" s="151">
        <f t="shared" si="6"/>
        <v>61.904222062298516</v>
      </c>
      <c r="S15" s="131">
        <f t="shared" si="7"/>
        <v>-16.595777937701484</v>
      </c>
      <c r="T15" s="150">
        <f t="shared" si="8"/>
        <v>0</v>
      </c>
      <c r="V15" s="12"/>
    </row>
    <row r="16" spans="1:22" x14ac:dyDescent="0.25">
      <c r="A16" s="50">
        <f>'A) Base RI'!A17</f>
        <v>5411</v>
      </c>
      <c r="B16" s="437" t="str">
        <f>'A) Base RI'!B17</f>
        <v>Ormont-Dessus</v>
      </c>
      <c r="C16" s="156">
        <v>1462826.9739623754</v>
      </c>
      <c r="D16" s="156">
        <v>1217356.7866202951</v>
      </c>
      <c r="E16" s="156">
        <v>0</v>
      </c>
      <c r="F16" s="156">
        <v>0</v>
      </c>
      <c r="G16" s="156">
        <v>0</v>
      </c>
      <c r="H16" s="440">
        <f t="shared" si="0"/>
        <v>2680183.7605826706</v>
      </c>
      <c r="I16" s="156">
        <v>79923.40364035088</v>
      </c>
      <c r="J16" s="443">
        <f>'B) D RI'!U17</f>
        <v>72912.297236842089</v>
      </c>
      <c r="K16" s="67">
        <f t="shared" si="1"/>
        <v>33.534404673796047</v>
      </c>
      <c r="L16" s="34">
        <f>'B) D RI'!S17</f>
        <v>76</v>
      </c>
      <c r="M16" s="34">
        <f t="shared" si="2"/>
        <v>42.465595326203953</v>
      </c>
      <c r="N16" s="34">
        <f>'J) Plafonnement effort'!G15+'J) Plafonnement effort'!H15-'K) Plafonnement aide'!I15</f>
        <v>24.526321389160518</v>
      </c>
      <c r="O16" s="34">
        <f t="shared" si="3"/>
        <v>66.991916715364468</v>
      </c>
      <c r="P16" s="48">
        <f t="shared" si="4"/>
        <v>0</v>
      </c>
      <c r="Q16" s="58">
        <f t="shared" si="5"/>
        <v>0</v>
      </c>
      <c r="R16" s="151">
        <f t="shared" si="6"/>
        <v>66.991916715364468</v>
      </c>
      <c r="S16" s="131">
        <f t="shared" si="7"/>
        <v>-9.0080832846355321</v>
      </c>
      <c r="T16" s="150">
        <f t="shared" si="8"/>
        <v>0</v>
      </c>
      <c r="V16" s="12"/>
    </row>
    <row r="17" spans="1:22" x14ac:dyDescent="0.25">
      <c r="A17" s="50">
        <f>'A) Base RI'!A18</f>
        <v>5412</v>
      </c>
      <c r="B17" s="437" t="str">
        <f>'A) Base RI'!B18</f>
        <v>Rennaz</v>
      </c>
      <c r="C17" s="156">
        <v>549344.99699101911</v>
      </c>
      <c r="D17" s="156">
        <v>389420.09536922473</v>
      </c>
      <c r="E17" s="156">
        <v>0</v>
      </c>
      <c r="F17" s="156">
        <v>0</v>
      </c>
      <c r="G17" s="156">
        <v>0</v>
      </c>
      <c r="H17" s="440">
        <f t="shared" si="0"/>
        <v>938765.0923602439</v>
      </c>
      <c r="I17" s="156">
        <v>31498.582370370365</v>
      </c>
      <c r="J17" s="443">
        <f>'B) D RI'!U18</f>
        <v>28091.749629629627</v>
      </c>
      <c r="K17" s="67">
        <f t="shared" si="1"/>
        <v>29.803407700129007</v>
      </c>
      <c r="L17" s="34">
        <f>'B) D RI'!S18</f>
        <v>67.5</v>
      </c>
      <c r="M17" s="34">
        <f t="shared" si="2"/>
        <v>37.696592299870993</v>
      </c>
      <c r="N17" s="34">
        <f>'J) Plafonnement effort'!G16+'J) Plafonnement effort'!H16-'K) Plafonnement aide'!I16</f>
        <v>39.621070977512261</v>
      </c>
      <c r="O17" s="34">
        <f t="shared" si="3"/>
        <v>77.317663277383247</v>
      </c>
      <c r="P17" s="48">
        <f t="shared" si="4"/>
        <v>0</v>
      </c>
      <c r="Q17" s="58">
        <f t="shared" si="5"/>
        <v>0</v>
      </c>
      <c r="R17" s="151">
        <f t="shared" si="6"/>
        <v>77.317663277383247</v>
      </c>
      <c r="S17" s="131">
        <f t="shared" si="7"/>
        <v>9.8176632773832466</v>
      </c>
      <c r="T17" s="150">
        <f t="shared" si="8"/>
        <v>0</v>
      </c>
      <c r="V17" s="12"/>
    </row>
    <row r="18" spans="1:22" x14ac:dyDescent="0.25">
      <c r="A18" s="50">
        <f>'A) Base RI'!A19</f>
        <v>5413</v>
      </c>
      <c r="B18" s="437" t="str">
        <f>'A) Base RI'!B19</f>
        <v>Roche</v>
      </c>
      <c r="C18" s="156">
        <v>729387.24180311942</v>
      </c>
      <c r="D18" s="156">
        <v>-290886.75168191455</v>
      </c>
      <c r="E18" s="156">
        <v>0</v>
      </c>
      <c r="F18" s="156">
        <v>0</v>
      </c>
      <c r="G18" s="156">
        <v>0</v>
      </c>
      <c r="H18" s="440">
        <f t="shared" si="0"/>
        <v>438500.49012120487</v>
      </c>
      <c r="I18" s="156">
        <v>37711.950000000012</v>
      </c>
      <c r="J18" s="443">
        <f>'B) D RI'!U19</f>
        <v>39560.237499999996</v>
      </c>
      <c r="K18" s="67">
        <f t="shared" si="1"/>
        <v>11.627627055116607</v>
      </c>
      <c r="L18" s="34">
        <f>'B) D RI'!S19</f>
        <v>68</v>
      </c>
      <c r="M18" s="34">
        <f t="shared" si="2"/>
        <v>56.372372944883395</v>
      </c>
      <c r="N18" s="34">
        <f>'J) Plafonnement effort'!G17+'J) Plafonnement effort'!H17-'K) Plafonnement aide'!I17</f>
        <v>11.104656537650474</v>
      </c>
      <c r="O18" s="34">
        <f t="shared" si="3"/>
        <v>67.477029482533865</v>
      </c>
      <c r="P18" s="48">
        <f t="shared" si="4"/>
        <v>0</v>
      </c>
      <c r="Q18" s="58">
        <f t="shared" si="5"/>
        <v>0</v>
      </c>
      <c r="R18" s="151">
        <f t="shared" si="6"/>
        <v>67.477029482533865</v>
      </c>
      <c r="S18" s="131">
        <f t="shared" si="7"/>
        <v>-0.52297051746613477</v>
      </c>
      <c r="T18" s="150">
        <f t="shared" si="8"/>
        <v>0</v>
      </c>
      <c r="V18" s="12"/>
    </row>
    <row r="19" spans="1:22" x14ac:dyDescent="0.25">
      <c r="A19" s="50">
        <f>'A) Base RI'!A20</f>
        <v>5414</v>
      </c>
      <c r="B19" s="437" t="str">
        <f>'A) Base RI'!B20</f>
        <v>Villeneuve</v>
      </c>
      <c r="C19" s="156">
        <v>3496307.8479907103</v>
      </c>
      <c r="D19" s="156">
        <v>-671173.83381675696</v>
      </c>
      <c r="E19" s="156">
        <v>0</v>
      </c>
      <c r="F19" s="156">
        <v>0</v>
      </c>
      <c r="G19" s="156">
        <v>0</v>
      </c>
      <c r="H19" s="440">
        <f t="shared" si="0"/>
        <v>2825134.0141739533</v>
      </c>
      <c r="I19" s="156">
        <v>168706.05608695652</v>
      </c>
      <c r="J19" s="443">
        <f>'B) D RI'!U20</f>
        <v>165641.09797101447</v>
      </c>
      <c r="K19" s="67">
        <f t="shared" si="1"/>
        <v>16.745895670264431</v>
      </c>
      <c r="L19" s="34">
        <f>'B) D RI'!S20</f>
        <v>69</v>
      </c>
      <c r="M19" s="34">
        <f t="shared" si="2"/>
        <v>52.254104329735569</v>
      </c>
      <c r="N19" s="34">
        <f>'J) Plafonnement effort'!G18+'J) Plafonnement effort'!H18-'K) Plafonnement aide'!I18</f>
        <v>6.2995070994109099</v>
      </c>
      <c r="O19" s="34">
        <f t="shared" si="3"/>
        <v>58.553611429146478</v>
      </c>
      <c r="P19" s="48">
        <f t="shared" si="4"/>
        <v>0</v>
      </c>
      <c r="Q19" s="58">
        <f t="shared" si="5"/>
        <v>0</v>
      </c>
      <c r="R19" s="151">
        <f t="shared" si="6"/>
        <v>58.553611429146478</v>
      </c>
      <c r="S19" s="131">
        <f t="shared" si="7"/>
        <v>-10.446388570853522</v>
      </c>
      <c r="T19" s="150">
        <f t="shared" si="8"/>
        <v>0</v>
      </c>
      <c r="V19" s="12"/>
    </row>
    <row r="20" spans="1:22" x14ac:dyDescent="0.25">
      <c r="A20" s="50">
        <f>'A) Base RI'!A21</f>
        <v>5415</v>
      </c>
      <c r="B20" s="437" t="str">
        <f>'A) Base RI'!B21</f>
        <v>Yvorne</v>
      </c>
      <c r="C20" s="156">
        <v>651549.07372867852</v>
      </c>
      <c r="D20" s="156">
        <v>278495.36076718569</v>
      </c>
      <c r="E20" s="156">
        <v>0</v>
      </c>
      <c r="F20" s="156">
        <v>0</v>
      </c>
      <c r="G20" s="156">
        <v>0</v>
      </c>
      <c r="H20" s="440">
        <f t="shared" si="0"/>
        <v>930044.4344958642</v>
      </c>
      <c r="I20" s="156">
        <v>35013.467459207466</v>
      </c>
      <c r="J20" s="443">
        <f>'B) D RI'!U21</f>
        <v>34590.752587412586</v>
      </c>
      <c r="K20" s="67">
        <f t="shared" si="1"/>
        <v>26.562477297611697</v>
      </c>
      <c r="L20" s="34">
        <f>'B) D RI'!S21</f>
        <v>71.5</v>
      </c>
      <c r="M20" s="34">
        <f t="shared" si="2"/>
        <v>44.937522702388307</v>
      </c>
      <c r="N20" s="34">
        <f>'J) Plafonnement effort'!G19+'J) Plafonnement effort'!H19-'K) Plafonnement aide'!I19</f>
        <v>21.865382283371542</v>
      </c>
      <c r="O20" s="34">
        <f t="shared" si="3"/>
        <v>66.802904985759852</v>
      </c>
      <c r="P20" s="48">
        <f t="shared" si="4"/>
        <v>0</v>
      </c>
      <c r="Q20" s="58">
        <f t="shared" si="5"/>
        <v>0</v>
      </c>
      <c r="R20" s="151">
        <f t="shared" si="6"/>
        <v>66.802904985759852</v>
      </c>
      <c r="S20" s="131">
        <f t="shared" si="7"/>
        <v>-4.6970950142401477</v>
      </c>
      <c r="T20" s="150">
        <f t="shared" si="8"/>
        <v>0</v>
      </c>
      <c r="V20" s="12"/>
    </row>
    <row r="21" spans="1:22" x14ac:dyDescent="0.25">
      <c r="A21" s="50">
        <f>'A) Base RI'!A22</f>
        <v>5421</v>
      </c>
      <c r="B21" s="437" t="str">
        <f>'A) Base RI'!B22</f>
        <v>Apples</v>
      </c>
      <c r="C21" s="156">
        <v>1020687.3537507604</v>
      </c>
      <c r="D21" s="156">
        <v>731412.96397368354</v>
      </c>
      <c r="E21" s="156">
        <v>0</v>
      </c>
      <c r="F21" s="156">
        <v>0</v>
      </c>
      <c r="G21" s="156">
        <v>0</v>
      </c>
      <c r="H21" s="440">
        <f t="shared" si="0"/>
        <v>1752100.317724444</v>
      </c>
      <c r="I21" s="156">
        <v>59328.525131578965</v>
      </c>
      <c r="J21" s="443">
        <f>'B) D RI'!U22</f>
        <v>67631.915526315803</v>
      </c>
      <c r="K21" s="67">
        <f t="shared" si="1"/>
        <v>29.53217383777249</v>
      </c>
      <c r="L21" s="34">
        <f>'B) D RI'!S22</f>
        <v>76</v>
      </c>
      <c r="M21" s="34">
        <f t="shared" si="2"/>
        <v>46.46782616222751</v>
      </c>
      <c r="N21" s="34">
        <f>'J) Plafonnement effort'!G20+'J) Plafonnement effort'!H20-'K) Plafonnement aide'!I20</f>
        <v>29.059573245962472</v>
      </c>
      <c r="O21" s="34">
        <f t="shared" si="3"/>
        <v>75.527399408189979</v>
      </c>
      <c r="P21" s="48">
        <f t="shared" si="4"/>
        <v>0</v>
      </c>
      <c r="Q21" s="58">
        <f t="shared" si="5"/>
        <v>0</v>
      </c>
      <c r="R21" s="151">
        <f t="shared" si="6"/>
        <v>75.527399408189979</v>
      </c>
      <c r="S21" s="131">
        <f t="shared" si="7"/>
        <v>-0.47260059181002134</v>
      </c>
      <c r="T21" s="150">
        <f t="shared" si="8"/>
        <v>0</v>
      </c>
      <c r="V21" s="12"/>
    </row>
    <row r="22" spans="1:22" x14ac:dyDescent="0.25">
      <c r="A22" s="50">
        <f>'A) Base RI'!A23</f>
        <v>5422</v>
      </c>
      <c r="B22" s="437" t="str">
        <f>'A) Base RI'!B23</f>
        <v>Aubonne</v>
      </c>
      <c r="C22" s="156">
        <v>6655464.6521777082</v>
      </c>
      <c r="D22" s="156">
        <v>3570702.3772582328</v>
      </c>
      <c r="E22" s="156">
        <v>0</v>
      </c>
      <c r="F22" s="156">
        <v>0</v>
      </c>
      <c r="G22" s="156">
        <v>0</v>
      </c>
      <c r="H22" s="440">
        <f t="shared" si="0"/>
        <v>10226167.02943594</v>
      </c>
      <c r="I22" s="156">
        <v>265098.93749999994</v>
      </c>
      <c r="J22" s="443">
        <f>'B) D RI'!U23</f>
        <v>238709.58323529412</v>
      </c>
      <c r="K22" s="67">
        <f t="shared" si="1"/>
        <v>38.574907639665447</v>
      </c>
      <c r="L22" s="34">
        <f>'B) D RI'!S23</f>
        <v>68</v>
      </c>
      <c r="M22" s="34">
        <f t="shared" si="2"/>
        <v>29.425092360334553</v>
      </c>
      <c r="N22" s="34">
        <f>'J) Plafonnement effort'!G21+'J) Plafonnement effort'!H21-'K) Plafonnement aide'!I21</f>
        <v>40.631976723326588</v>
      </c>
      <c r="O22" s="34">
        <f t="shared" si="3"/>
        <v>70.057069083661133</v>
      </c>
      <c r="P22" s="48">
        <f t="shared" si="4"/>
        <v>0</v>
      </c>
      <c r="Q22" s="58">
        <f t="shared" si="5"/>
        <v>0</v>
      </c>
      <c r="R22" s="151">
        <f t="shared" si="6"/>
        <v>70.057069083661133</v>
      </c>
      <c r="S22" s="131">
        <f t="shared" si="7"/>
        <v>2.0570690836611334</v>
      </c>
      <c r="T22" s="150">
        <f t="shared" si="8"/>
        <v>0</v>
      </c>
      <c r="V22" s="12"/>
    </row>
    <row r="23" spans="1:22" x14ac:dyDescent="0.25">
      <c r="A23" s="50">
        <f>'A) Base RI'!A24</f>
        <v>5423</v>
      </c>
      <c r="B23" s="437" t="str">
        <f>'A) Base RI'!B24</f>
        <v>Ballens</v>
      </c>
      <c r="C23" s="156">
        <v>321126.77241594717</v>
      </c>
      <c r="D23" s="156">
        <v>126269.12688911002</v>
      </c>
      <c r="E23" s="156">
        <v>0</v>
      </c>
      <c r="F23" s="156">
        <v>0</v>
      </c>
      <c r="G23" s="156">
        <v>0</v>
      </c>
      <c r="H23" s="440">
        <f t="shared" si="0"/>
        <v>447395.89930505719</v>
      </c>
      <c r="I23" s="156">
        <v>16703.466521739134</v>
      </c>
      <c r="J23" s="443">
        <f>'B) D RI'!U24</f>
        <v>13821.516027397261</v>
      </c>
      <c r="K23" s="67">
        <f t="shared" si="1"/>
        <v>26.784613764022151</v>
      </c>
      <c r="L23" s="34">
        <f>'B) D RI'!S24</f>
        <v>73</v>
      </c>
      <c r="M23" s="34">
        <f t="shared" si="2"/>
        <v>46.215386235977846</v>
      </c>
      <c r="N23" s="34">
        <f>'J) Plafonnement effort'!G22+'J) Plafonnement effort'!H22-'K) Plafonnement aide'!I22</f>
        <v>9.2723619892746676</v>
      </c>
      <c r="O23" s="34">
        <f t="shared" si="3"/>
        <v>55.487748225252517</v>
      </c>
      <c r="P23" s="48">
        <f t="shared" si="4"/>
        <v>0</v>
      </c>
      <c r="Q23" s="58">
        <f t="shared" si="5"/>
        <v>0</v>
      </c>
      <c r="R23" s="151">
        <f t="shared" si="6"/>
        <v>55.487748225252517</v>
      </c>
      <c r="S23" s="131">
        <f t="shared" si="7"/>
        <v>-17.512251774747483</v>
      </c>
      <c r="T23" s="150">
        <f t="shared" si="8"/>
        <v>0</v>
      </c>
      <c r="V23" s="12"/>
    </row>
    <row r="24" spans="1:22" x14ac:dyDescent="0.25">
      <c r="A24" s="50">
        <f>'A) Base RI'!A25</f>
        <v>5424</v>
      </c>
      <c r="B24" s="437" t="str">
        <f>'A) Base RI'!B25</f>
        <v>Berolle</v>
      </c>
      <c r="C24" s="156">
        <v>190525.88456905133</v>
      </c>
      <c r="D24" s="156">
        <v>129600.36821996227</v>
      </c>
      <c r="E24" s="156">
        <v>0</v>
      </c>
      <c r="F24" s="156">
        <v>0</v>
      </c>
      <c r="G24" s="156">
        <v>0</v>
      </c>
      <c r="H24" s="440">
        <f t="shared" si="0"/>
        <v>320126.25278901361</v>
      </c>
      <c r="I24" s="156">
        <v>11342.941168831172</v>
      </c>
      <c r="J24" s="443">
        <f>'B) D RI'!U25</f>
        <v>9297.6342857142881</v>
      </c>
      <c r="K24" s="67">
        <f t="shared" si="1"/>
        <v>28.222508432704924</v>
      </c>
      <c r="L24" s="34">
        <f>'B) D RI'!S25</f>
        <v>77</v>
      </c>
      <c r="M24" s="34">
        <f t="shared" si="2"/>
        <v>48.777491567295073</v>
      </c>
      <c r="N24" s="34">
        <f>'J) Plafonnement effort'!G23+'J) Plafonnement effort'!H23-'K) Plafonnement aide'!I23</f>
        <v>15.586606586152771</v>
      </c>
      <c r="O24" s="34">
        <f t="shared" si="3"/>
        <v>64.364098153447841</v>
      </c>
      <c r="P24" s="48">
        <f t="shared" si="4"/>
        <v>0</v>
      </c>
      <c r="Q24" s="58">
        <f t="shared" si="5"/>
        <v>0</v>
      </c>
      <c r="R24" s="151">
        <f t="shared" si="6"/>
        <v>64.364098153447841</v>
      </c>
      <c r="S24" s="131">
        <f t="shared" si="7"/>
        <v>-12.635901846552159</v>
      </c>
      <c r="T24" s="150">
        <f t="shared" si="8"/>
        <v>0</v>
      </c>
      <c r="V24" s="12"/>
    </row>
    <row r="25" spans="1:22" x14ac:dyDescent="0.25">
      <c r="A25" s="50">
        <f>'A) Base RI'!A26</f>
        <v>5425</v>
      </c>
      <c r="B25" s="437" t="str">
        <f>'A) Base RI'!B26</f>
        <v>Bière</v>
      </c>
      <c r="C25" s="156">
        <v>700101.15772462368</v>
      </c>
      <c r="D25" s="156">
        <v>-67819.865432588384</v>
      </c>
      <c r="E25" s="156">
        <v>0</v>
      </c>
      <c r="F25" s="156">
        <v>0</v>
      </c>
      <c r="G25" s="156">
        <v>0</v>
      </c>
      <c r="H25" s="440">
        <f t="shared" si="0"/>
        <v>632281.2922920353</v>
      </c>
      <c r="I25" s="156">
        <v>41451.382114604457</v>
      </c>
      <c r="J25" s="443">
        <f>'B) D RI'!U26</f>
        <v>39425.527551724139</v>
      </c>
      <c r="K25" s="67">
        <f t="shared" si="1"/>
        <v>15.253563573439093</v>
      </c>
      <c r="L25" s="34">
        <f>'B) D RI'!S26</f>
        <v>70</v>
      </c>
      <c r="M25" s="34">
        <f t="shared" si="2"/>
        <v>54.746436426560905</v>
      </c>
      <c r="N25" s="34">
        <f>'J) Plafonnement effort'!G24+'J) Plafonnement effort'!H24-'K) Plafonnement aide'!I24</f>
        <v>1.8385641516526867</v>
      </c>
      <c r="O25" s="34">
        <f t="shared" si="3"/>
        <v>56.585000578213595</v>
      </c>
      <c r="P25" s="48">
        <f t="shared" si="4"/>
        <v>0</v>
      </c>
      <c r="Q25" s="58">
        <f t="shared" si="5"/>
        <v>0</v>
      </c>
      <c r="R25" s="151">
        <f t="shared" si="6"/>
        <v>56.585000578213595</v>
      </c>
      <c r="S25" s="131">
        <f t="shared" si="7"/>
        <v>-13.414999421786405</v>
      </c>
      <c r="T25" s="150">
        <f t="shared" si="8"/>
        <v>0</v>
      </c>
      <c r="V25" s="12"/>
    </row>
    <row r="26" spans="1:22" x14ac:dyDescent="0.25">
      <c r="A26" s="50">
        <f>'A) Base RI'!A27</f>
        <v>5426</v>
      </c>
      <c r="B26" s="437" t="str">
        <f>'A) Base RI'!B27</f>
        <v>Bougy-Villars</v>
      </c>
      <c r="C26" s="156">
        <v>1664729.7702949075</v>
      </c>
      <c r="D26" s="156">
        <v>725988.78250153351</v>
      </c>
      <c r="E26" s="156">
        <v>0</v>
      </c>
      <c r="F26" s="156">
        <v>0</v>
      </c>
      <c r="G26" s="156">
        <v>0</v>
      </c>
      <c r="H26" s="440">
        <f t="shared" si="0"/>
        <v>2390718.5527964411</v>
      </c>
      <c r="I26" s="156">
        <v>47933.807222222218</v>
      </c>
      <c r="J26" s="443">
        <f>'B) D RI'!U27</f>
        <v>50769.838510101006</v>
      </c>
      <c r="K26" s="67">
        <f t="shared" si="1"/>
        <v>49.875415522764875</v>
      </c>
      <c r="L26" s="34">
        <f>'B) D RI'!S27</f>
        <v>66</v>
      </c>
      <c r="M26" s="34">
        <f t="shared" si="2"/>
        <v>16.124584477235125</v>
      </c>
      <c r="N26" s="34">
        <f>'J) Plafonnement effort'!G25+'J) Plafonnement effort'!H25-'K) Plafonnement aide'!I25</f>
        <v>45</v>
      </c>
      <c r="O26" s="34">
        <f t="shared" si="3"/>
        <v>61.124584477235125</v>
      </c>
      <c r="P26" s="48">
        <f t="shared" si="4"/>
        <v>0</v>
      </c>
      <c r="Q26" s="58">
        <f t="shared" si="5"/>
        <v>0</v>
      </c>
      <c r="R26" s="151">
        <f t="shared" si="6"/>
        <v>61.124584477235125</v>
      </c>
      <c r="S26" s="131">
        <f t="shared" si="7"/>
        <v>-4.8754155227648752</v>
      </c>
      <c r="T26" s="150">
        <f t="shared" si="8"/>
        <v>0</v>
      </c>
      <c r="V26" s="12"/>
    </row>
    <row r="27" spans="1:22" x14ac:dyDescent="0.25">
      <c r="A27" s="50">
        <f>'A) Base RI'!A28</f>
        <v>5427</v>
      </c>
      <c r="B27" s="437" t="str">
        <f>'A) Base RI'!B28</f>
        <v>Féchy</v>
      </c>
      <c r="C27" s="156">
        <v>2124800.8098297333</v>
      </c>
      <c r="D27" s="156">
        <v>1235004.682922543</v>
      </c>
      <c r="E27" s="156">
        <v>0</v>
      </c>
      <c r="F27" s="156">
        <v>0</v>
      </c>
      <c r="G27" s="156">
        <v>0</v>
      </c>
      <c r="H27" s="440">
        <f t="shared" si="0"/>
        <v>3359805.4927522764</v>
      </c>
      <c r="I27" s="156">
        <v>79760.38769230769</v>
      </c>
      <c r="J27" s="443">
        <f>'B) D RI'!U28</f>
        <v>73025.207608173092</v>
      </c>
      <c r="K27" s="67">
        <f t="shared" si="1"/>
        <v>42.123735728484995</v>
      </c>
      <c r="L27" s="34">
        <f>'B) D RI'!S28</f>
        <v>64</v>
      </c>
      <c r="M27" s="34">
        <f t="shared" si="2"/>
        <v>21.876264271515005</v>
      </c>
      <c r="N27" s="34">
        <f>'J) Plafonnement effort'!G26+'J) Plafonnement effort'!H26-'K) Plafonnement aide'!I26</f>
        <v>42.134131002227285</v>
      </c>
      <c r="O27" s="34">
        <f t="shared" si="3"/>
        <v>64.01039527374229</v>
      </c>
      <c r="P27" s="48">
        <f t="shared" si="4"/>
        <v>0</v>
      </c>
      <c r="Q27" s="58">
        <f t="shared" si="5"/>
        <v>0</v>
      </c>
      <c r="R27" s="151">
        <f t="shared" si="6"/>
        <v>64.01039527374229</v>
      </c>
      <c r="S27" s="131">
        <f t="shared" si="7"/>
        <v>1.0395273742290101E-2</v>
      </c>
      <c r="T27" s="150">
        <f t="shared" si="8"/>
        <v>0</v>
      </c>
      <c r="V27" s="12"/>
    </row>
    <row r="28" spans="1:22" x14ac:dyDescent="0.25">
      <c r="A28" s="50">
        <f>'A) Base RI'!A29</f>
        <v>5428</v>
      </c>
      <c r="B28" s="437" t="str">
        <f>'A) Base RI'!B29</f>
        <v>Gimel</v>
      </c>
      <c r="C28" s="156">
        <v>1363282.8282484557</v>
      </c>
      <c r="D28" s="156">
        <v>148604.49115195684</v>
      </c>
      <c r="E28" s="156">
        <v>0</v>
      </c>
      <c r="F28" s="156">
        <v>0</v>
      </c>
      <c r="G28" s="156">
        <v>0</v>
      </c>
      <c r="H28" s="440">
        <f t="shared" si="0"/>
        <v>1511887.3194004125</v>
      </c>
      <c r="I28" s="156">
        <v>62694.643076923086</v>
      </c>
      <c r="J28" s="443">
        <f>'B) D RI'!U29</f>
        <v>59817.35356643358</v>
      </c>
      <c r="K28" s="67">
        <f t="shared" si="1"/>
        <v>24.115095727483524</v>
      </c>
      <c r="L28" s="34">
        <f>'B) D RI'!S29</f>
        <v>71.5</v>
      </c>
      <c r="M28" s="34">
        <f t="shared" si="2"/>
        <v>47.384904272516479</v>
      </c>
      <c r="N28" s="34">
        <f>'J) Plafonnement effort'!G27+'J) Plafonnement effort'!H27-'K) Plafonnement aide'!I27</f>
        <v>15.15249096928261</v>
      </c>
      <c r="O28" s="34">
        <f t="shared" si="3"/>
        <v>62.537395241799089</v>
      </c>
      <c r="P28" s="48">
        <f t="shared" si="4"/>
        <v>0</v>
      </c>
      <c r="Q28" s="58">
        <f t="shared" si="5"/>
        <v>0</v>
      </c>
      <c r="R28" s="151">
        <f t="shared" si="6"/>
        <v>62.537395241799089</v>
      </c>
      <c r="S28" s="131">
        <f t="shared" si="7"/>
        <v>-8.9626047582009107</v>
      </c>
      <c r="T28" s="150">
        <f t="shared" si="8"/>
        <v>0</v>
      </c>
      <c r="V28" s="12"/>
    </row>
    <row r="29" spans="1:22" x14ac:dyDescent="0.25">
      <c r="A29" s="50">
        <f>'A) Base RI'!A30</f>
        <v>5429</v>
      </c>
      <c r="B29" s="437" t="str">
        <f>'A) Base RI'!B30</f>
        <v>Longirod</v>
      </c>
      <c r="C29" s="156">
        <v>265190.3850463811</v>
      </c>
      <c r="D29" s="156">
        <v>69803.289511250332</v>
      </c>
      <c r="E29" s="156">
        <v>0</v>
      </c>
      <c r="F29" s="156">
        <v>0</v>
      </c>
      <c r="G29" s="156">
        <v>0</v>
      </c>
      <c r="H29" s="440">
        <f t="shared" si="0"/>
        <v>334993.67455763143</v>
      </c>
      <c r="I29" s="156">
        <v>14895.063209876542</v>
      </c>
      <c r="J29" s="443">
        <f>'B) D RI'!U30</f>
        <v>13793.381358024693</v>
      </c>
      <c r="K29" s="67">
        <f t="shared" si="1"/>
        <v>22.490248603678669</v>
      </c>
      <c r="L29" s="34">
        <f>'B) D RI'!S30</f>
        <v>81</v>
      </c>
      <c r="M29" s="34">
        <f t="shared" si="2"/>
        <v>58.509751396321334</v>
      </c>
      <c r="N29" s="34">
        <f>'J) Plafonnement effort'!G28+'J) Plafonnement effort'!H28-'K) Plafonnement aide'!I28</f>
        <v>9.229333141410919</v>
      </c>
      <c r="O29" s="34">
        <f t="shared" si="3"/>
        <v>67.739084537732253</v>
      </c>
      <c r="P29" s="48">
        <f t="shared" si="4"/>
        <v>0</v>
      </c>
      <c r="Q29" s="58">
        <f t="shared" si="5"/>
        <v>0</v>
      </c>
      <c r="R29" s="151">
        <f t="shared" si="6"/>
        <v>67.739084537732253</v>
      </c>
      <c r="S29" s="131">
        <f t="shared" si="7"/>
        <v>-13.260915462267747</v>
      </c>
      <c r="T29" s="150">
        <f t="shared" si="8"/>
        <v>0</v>
      </c>
      <c r="V29" s="12"/>
    </row>
    <row r="30" spans="1:22" x14ac:dyDescent="0.25">
      <c r="A30" s="50">
        <f>'A) Base RI'!A31</f>
        <v>5430</v>
      </c>
      <c r="B30" s="437" t="str">
        <f>'A) Base RI'!B31</f>
        <v>Marchissy</v>
      </c>
      <c r="C30" s="156">
        <v>256647.26314555519</v>
      </c>
      <c r="D30" s="156">
        <v>39501.617703080265</v>
      </c>
      <c r="E30" s="156">
        <v>0</v>
      </c>
      <c r="F30" s="156">
        <v>0</v>
      </c>
      <c r="G30" s="156">
        <v>0</v>
      </c>
      <c r="H30" s="440">
        <f t="shared" si="0"/>
        <v>296148.88084863545</v>
      </c>
      <c r="I30" s="156">
        <v>13624.129113924049</v>
      </c>
      <c r="J30" s="443">
        <f>'B) D RI'!U31</f>
        <v>13616.452025316456</v>
      </c>
      <c r="K30" s="67">
        <f t="shared" si="1"/>
        <v>21.737087073401792</v>
      </c>
      <c r="L30" s="34">
        <f>'B) D RI'!S31</f>
        <v>79</v>
      </c>
      <c r="M30" s="34">
        <f t="shared" si="2"/>
        <v>57.262912926598204</v>
      </c>
      <c r="N30" s="34">
        <f>'J) Plafonnement effort'!G29+'J) Plafonnement effort'!H29-'K) Plafonnement aide'!I29</f>
        <v>14.196927002680356</v>
      </c>
      <c r="O30" s="34">
        <f t="shared" si="3"/>
        <v>71.459839929278559</v>
      </c>
      <c r="P30" s="48">
        <f t="shared" si="4"/>
        <v>0</v>
      </c>
      <c r="Q30" s="58">
        <f t="shared" si="5"/>
        <v>0</v>
      </c>
      <c r="R30" s="151">
        <f t="shared" si="6"/>
        <v>71.459839929278559</v>
      </c>
      <c r="S30" s="131">
        <f t="shared" si="7"/>
        <v>-7.5401600707214413</v>
      </c>
      <c r="T30" s="150">
        <f t="shared" si="8"/>
        <v>0</v>
      </c>
      <c r="V30" s="12"/>
    </row>
    <row r="31" spans="1:22" x14ac:dyDescent="0.25">
      <c r="A31" s="50">
        <f>'A) Base RI'!A32</f>
        <v>5431</v>
      </c>
      <c r="B31" s="437" t="str">
        <f>'A) Base RI'!B32</f>
        <v>Mollens</v>
      </c>
      <c r="C31" s="156">
        <v>149269.32504075507</v>
      </c>
      <c r="D31" s="156">
        <v>38223.288461347329</v>
      </c>
      <c r="E31" s="156">
        <v>0</v>
      </c>
      <c r="F31" s="156">
        <v>0</v>
      </c>
      <c r="G31" s="156">
        <v>0</v>
      </c>
      <c r="H31" s="440">
        <f t="shared" si="0"/>
        <v>187492.61350210238</v>
      </c>
      <c r="I31" s="156">
        <v>8975.9641891891897</v>
      </c>
      <c r="J31" s="443">
        <f>'B) D RI'!U32</f>
        <v>8628.4962162162174</v>
      </c>
      <c r="K31" s="67">
        <f t="shared" si="1"/>
        <v>20.888297853050908</v>
      </c>
      <c r="L31" s="34">
        <f>'B) D RI'!S32</f>
        <v>74</v>
      </c>
      <c r="M31" s="34">
        <f t="shared" si="2"/>
        <v>53.111702146949092</v>
      </c>
      <c r="N31" s="34">
        <f>'J) Plafonnement effort'!G30+'J) Plafonnement effort'!H30-'K) Plafonnement aide'!I30</f>
        <v>19.58315151826972</v>
      </c>
      <c r="O31" s="34">
        <f t="shared" si="3"/>
        <v>72.694853665218815</v>
      </c>
      <c r="P31" s="48">
        <f t="shared" si="4"/>
        <v>0</v>
      </c>
      <c r="Q31" s="58">
        <f t="shared" si="5"/>
        <v>0</v>
      </c>
      <c r="R31" s="151">
        <f t="shared" si="6"/>
        <v>72.694853665218815</v>
      </c>
      <c r="S31" s="131">
        <f t="shared" si="7"/>
        <v>-1.3051463347811847</v>
      </c>
      <c r="T31" s="150">
        <f t="shared" si="8"/>
        <v>0</v>
      </c>
      <c r="V31" s="12"/>
    </row>
    <row r="32" spans="1:22" x14ac:dyDescent="0.25">
      <c r="A32" s="50">
        <f>'A) Base RI'!A33</f>
        <v>5432</v>
      </c>
      <c r="B32" s="437" t="str">
        <f>'A) Base RI'!B33</f>
        <v>Montherod</v>
      </c>
      <c r="C32" s="156">
        <v>330706.91573209071</v>
      </c>
      <c r="D32" s="156">
        <v>137878.10846937276</v>
      </c>
      <c r="E32" s="156">
        <v>0</v>
      </c>
      <c r="F32" s="156">
        <v>0</v>
      </c>
      <c r="G32" s="156">
        <v>0</v>
      </c>
      <c r="H32" s="440">
        <f t="shared" si="0"/>
        <v>468585.02420146344</v>
      </c>
      <c r="I32" s="156">
        <v>18019.761538461538</v>
      </c>
      <c r="J32" s="443">
        <f>'B) D RI'!U33</f>
        <v>18262.77307692308</v>
      </c>
      <c r="K32" s="67">
        <f t="shared" si="1"/>
        <v>26.003952560710164</v>
      </c>
      <c r="L32" s="34">
        <f>'B) D RI'!S33</f>
        <v>78</v>
      </c>
      <c r="M32" s="34">
        <f t="shared" si="2"/>
        <v>51.996047439289839</v>
      </c>
      <c r="N32" s="34">
        <f>'J) Plafonnement effort'!G31+'J) Plafonnement effort'!H31-'K) Plafonnement aide'!I31</f>
        <v>23.195415533826999</v>
      </c>
      <c r="O32" s="34">
        <f t="shared" si="3"/>
        <v>75.191462973116842</v>
      </c>
      <c r="P32" s="48">
        <f t="shared" si="4"/>
        <v>0</v>
      </c>
      <c r="Q32" s="58">
        <f t="shared" si="5"/>
        <v>0</v>
      </c>
      <c r="R32" s="151">
        <f t="shared" si="6"/>
        <v>75.191462973116842</v>
      </c>
      <c r="S32" s="131">
        <f t="shared" si="7"/>
        <v>-2.8085370268831582</v>
      </c>
      <c r="T32" s="150">
        <f t="shared" si="8"/>
        <v>0</v>
      </c>
      <c r="V32" s="12"/>
    </row>
    <row r="33" spans="1:22" x14ac:dyDescent="0.25">
      <c r="A33" s="50">
        <f>'A) Base RI'!A34</f>
        <v>5434</v>
      </c>
      <c r="B33" s="437" t="str">
        <f>'A) Base RI'!B34</f>
        <v>Saint-George</v>
      </c>
      <c r="C33" s="156">
        <v>784102.33948151662</v>
      </c>
      <c r="D33" s="156">
        <v>400156.53354745009</v>
      </c>
      <c r="E33" s="156">
        <v>0</v>
      </c>
      <c r="F33" s="156">
        <v>0</v>
      </c>
      <c r="G33" s="156">
        <v>0</v>
      </c>
      <c r="H33" s="440">
        <f t="shared" si="0"/>
        <v>1184258.8730289666</v>
      </c>
      <c r="I33" s="156">
        <v>37243.682394366202</v>
      </c>
      <c r="J33" s="443">
        <f>'B) D RI'!U34</f>
        <v>36787.196197183097</v>
      </c>
      <c r="K33" s="67">
        <f t="shared" si="1"/>
        <v>31.797577384778357</v>
      </c>
      <c r="L33" s="34">
        <f>'B) D RI'!S34</f>
        <v>71</v>
      </c>
      <c r="M33" s="34">
        <f t="shared" si="2"/>
        <v>39.202422615221643</v>
      </c>
      <c r="N33" s="34">
        <f>'J) Plafonnement effort'!G32+'J) Plafonnement effort'!H32-'K) Plafonnement aide'!I32</f>
        <v>27.415945774725216</v>
      </c>
      <c r="O33" s="34">
        <f t="shared" si="3"/>
        <v>66.618368389946852</v>
      </c>
      <c r="P33" s="48">
        <f t="shared" si="4"/>
        <v>0</v>
      </c>
      <c r="Q33" s="58">
        <f t="shared" si="5"/>
        <v>0</v>
      </c>
      <c r="R33" s="151">
        <f t="shared" si="6"/>
        <v>66.618368389946852</v>
      </c>
      <c r="S33" s="131">
        <f t="shared" si="7"/>
        <v>-4.3816316100531481</v>
      </c>
      <c r="T33" s="150">
        <f t="shared" si="8"/>
        <v>0</v>
      </c>
      <c r="V33" s="12"/>
    </row>
    <row r="34" spans="1:22" x14ac:dyDescent="0.25">
      <c r="A34" s="50">
        <f>'A) Base RI'!A35</f>
        <v>5435</v>
      </c>
      <c r="B34" s="437" t="str">
        <f>'A) Base RI'!B35</f>
        <v>Saint-Livres</v>
      </c>
      <c r="C34" s="156">
        <v>391560.41549274296</v>
      </c>
      <c r="D34" s="156">
        <v>318313.40483104181</v>
      </c>
      <c r="E34" s="156">
        <v>0</v>
      </c>
      <c r="F34" s="156">
        <v>0</v>
      </c>
      <c r="G34" s="156">
        <v>0</v>
      </c>
      <c r="H34" s="440">
        <f t="shared" si="0"/>
        <v>709873.82032378484</v>
      </c>
      <c r="I34" s="156">
        <v>25784.308260869562</v>
      </c>
      <c r="J34" s="443">
        <f>'B) D RI'!U35</f>
        <v>24145.271449275358</v>
      </c>
      <c r="K34" s="67">
        <f t="shared" si="1"/>
        <v>27.53123384741308</v>
      </c>
      <c r="L34" s="34">
        <f>'B) D RI'!S35</f>
        <v>69</v>
      </c>
      <c r="M34" s="34">
        <f t="shared" si="2"/>
        <v>41.468766152586923</v>
      </c>
      <c r="N34" s="34">
        <f>'J) Plafonnement effort'!G33+'J) Plafonnement effort'!H33-'K) Plafonnement aide'!I33</f>
        <v>26.080696492048673</v>
      </c>
      <c r="O34" s="34">
        <f t="shared" si="3"/>
        <v>67.549462644635597</v>
      </c>
      <c r="P34" s="48">
        <f t="shared" si="4"/>
        <v>0</v>
      </c>
      <c r="Q34" s="58">
        <f t="shared" si="5"/>
        <v>0</v>
      </c>
      <c r="R34" s="151">
        <f t="shared" si="6"/>
        <v>67.549462644635597</v>
      </c>
      <c r="S34" s="131">
        <f t="shared" si="7"/>
        <v>-1.4505373553644034</v>
      </c>
      <c r="T34" s="150">
        <f t="shared" si="8"/>
        <v>0</v>
      </c>
      <c r="V34" s="12"/>
    </row>
    <row r="35" spans="1:22" x14ac:dyDescent="0.25">
      <c r="A35" s="50">
        <f>'A) Base RI'!A36</f>
        <v>5436</v>
      </c>
      <c r="B35" s="437" t="str">
        <f>'A) Base RI'!B36</f>
        <v>Saint-Oyens</v>
      </c>
      <c r="C35" s="156">
        <v>256408.9173609456</v>
      </c>
      <c r="D35" s="156">
        <v>41393.597775749426</v>
      </c>
      <c r="E35" s="156">
        <v>0</v>
      </c>
      <c r="F35" s="156">
        <v>0</v>
      </c>
      <c r="G35" s="156">
        <v>0</v>
      </c>
      <c r="H35" s="440">
        <f t="shared" si="0"/>
        <v>297802.515136695</v>
      </c>
      <c r="I35" s="156">
        <v>11330.196234567902</v>
      </c>
      <c r="J35" s="443">
        <f>'B) D RI'!U36</f>
        <v>15077.325709876546</v>
      </c>
      <c r="K35" s="67">
        <f t="shared" si="1"/>
        <v>26.283967988843244</v>
      </c>
      <c r="L35" s="34">
        <f>'B) D RI'!S36</f>
        <v>81</v>
      </c>
      <c r="M35" s="34">
        <f t="shared" si="2"/>
        <v>54.716032011156756</v>
      </c>
      <c r="N35" s="34">
        <f>'J) Plafonnement effort'!G34+'J) Plafonnement effort'!H34-'K) Plafonnement aide'!I34</f>
        <v>17.530742615120765</v>
      </c>
      <c r="O35" s="34">
        <f t="shared" si="3"/>
        <v>72.246774626277528</v>
      </c>
      <c r="P35" s="48">
        <f t="shared" si="4"/>
        <v>0</v>
      </c>
      <c r="Q35" s="58">
        <f t="shared" si="5"/>
        <v>0</v>
      </c>
      <c r="R35" s="151">
        <f t="shared" si="6"/>
        <v>72.246774626277528</v>
      </c>
      <c r="S35" s="131">
        <f t="shared" si="7"/>
        <v>-8.7532253737224721</v>
      </c>
      <c r="T35" s="150">
        <f t="shared" si="8"/>
        <v>0</v>
      </c>
      <c r="V35" s="12"/>
    </row>
    <row r="36" spans="1:22" x14ac:dyDescent="0.25">
      <c r="A36" s="50">
        <f>'A) Base RI'!A37</f>
        <v>5437</v>
      </c>
      <c r="B36" s="437" t="str">
        <f>'A) Base RI'!B37</f>
        <v>Saubraz</v>
      </c>
      <c r="C36" s="156">
        <v>171681.94120820408</v>
      </c>
      <c r="D36" s="156">
        <v>-82817.365267852612</v>
      </c>
      <c r="E36" s="156">
        <v>0</v>
      </c>
      <c r="F36" s="156">
        <v>0</v>
      </c>
      <c r="G36" s="156">
        <v>0</v>
      </c>
      <c r="H36" s="440">
        <f t="shared" si="0"/>
        <v>88864.575940351468</v>
      </c>
      <c r="I36" s="156">
        <v>9948.7022499999985</v>
      </c>
      <c r="J36" s="443">
        <f>'B) D RI'!U37</f>
        <v>11422.239624999998</v>
      </c>
      <c r="K36" s="67">
        <f t="shared" si="1"/>
        <v>8.9322781712912835</v>
      </c>
      <c r="L36" s="34">
        <f>'B) D RI'!S37</f>
        <v>80</v>
      </c>
      <c r="M36" s="34">
        <f t="shared" si="2"/>
        <v>71.067721828708713</v>
      </c>
      <c r="N36" s="34">
        <f>'J) Plafonnement effort'!G35+'J) Plafonnement effort'!H35-'K) Plafonnement aide'!I35</f>
        <v>13.697934642884276</v>
      </c>
      <c r="O36" s="34">
        <f>M36+N36</f>
        <v>84.76565647159299</v>
      </c>
      <c r="P36" s="48">
        <f t="shared" si="4"/>
        <v>0</v>
      </c>
      <c r="Q36" s="58">
        <f t="shared" si="5"/>
        <v>0</v>
      </c>
      <c r="R36" s="151">
        <f t="shared" si="6"/>
        <v>84.76565647159299</v>
      </c>
      <c r="S36" s="131">
        <f t="shared" si="7"/>
        <v>4.7656564715929903</v>
      </c>
      <c r="T36" s="150">
        <f t="shared" si="8"/>
        <v>0</v>
      </c>
      <c r="V36" s="12"/>
    </row>
    <row r="37" spans="1:22" x14ac:dyDescent="0.25">
      <c r="A37" s="50">
        <f>'A) Base RI'!A38</f>
        <v>5451</v>
      </c>
      <c r="B37" s="437" t="str">
        <f>'A) Base RI'!B38</f>
        <v>Avenches</v>
      </c>
      <c r="C37" s="156">
        <v>1918546.5524765793</v>
      </c>
      <c r="D37" s="156">
        <v>-1254541.770183075</v>
      </c>
      <c r="E37" s="156">
        <v>0</v>
      </c>
      <c r="F37" s="156">
        <v>0</v>
      </c>
      <c r="G37" s="156">
        <v>0</v>
      </c>
      <c r="H37" s="440">
        <f t="shared" si="0"/>
        <v>664004.78229350434</v>
      </c>
      <c r="I37" s="156">
        <v>97584.0206372549</v>
      </c>
      <c r="J37" s="443">
        <f>'B) D RI'!U38</f>
        <v>150757.73362745097</v>
      </c>
      <c r="K37" s="67">
        <f t="shared" si="1"/>
        <v>6.804441730903692</v>
      </c>
      <c r="L37" s="34">
        <f>'B) D RI'!S38</f>
        <v>68</v>
      </c>
      <c r="M37" s="34">
        <f t="shared" si="2"/>
        <v>61.19555826909631</v>
      </c>
      <c r="N37" s="34">
        <f>'J) Plafonnement effort'!G36+'J) Plafonnement effort'!H36-'K) Plafonnement aide'!I36</f>
        <v>15.836488954132552</v>
      </c>
      <c r="O37" s="34">
        <f t="shared" si="3"/>
        <v>77.032047223228858</v>
      </c>
      <c r="P37" s="48">
        <f t="shared" si="4"/>
        <v>0</v>
      </c>
      <c r="Q37" s="58">
        <f t="shared" si="5"/>
        <v>0</v>
      </c>
      <c r="R37" s="151">
        <f t="shared" si="6"/>
        <v>77.032047223228858</v>
      </c>
      <c r="S37" s="131">
        <f t="shared" si="7"/>
        <v>9.032047223228858</v>
      </c>
      <c r="T37" s="150">
        <f t="shared" si="8"/>
        <v>0</v>
      </c>
      <c r="V37" s="12"/>
    </row>
    <row r="38" spans="1:22" x14ac:dyDescent="0.25">
      <c r="A38" s="50">
        <f>'A) Base RI'!A39</f>
        <v>5456</v>
      </c>
      <c r="B38" s="437" t="str">
        <f>'A) Base RI'!B39</f>
        <v>Cudrefin</v>
      </c>
      <c r="C38" s="156">
        <v>1027971.7545347136</v>
      </c>
      <c r="D38" s="156">
        <v>519940.16430820734</v>
      </c>
      <c r="E38" s="156">
        <v>0</v>
      </c>
      <c r="F38" s="156">
        <v>0</v>
      </c>
      <c r="G38" s="156">
        <v>0</v>
      </c>
      <c r="H38" s="440">
        <f t="shared" si="0"/>
        <v>1547911.918842921</v>
      </c>
      <c r="I38" s="156">
        <v>55901.49875706216</v>
      </c>
      <c r="J38" s="443">
        <f>'B) D RI'!U39</f>
        <v>59376.955254237291</v>
      </c>
      <c r="K38" s="67">
        <f t="shared" si="1"/>
        <v>27.689989593478831</v>
      </c>
      <c r="L38" s="34">
        <f>'B) D RI'!S39</f>
        <v>59</v>
      </c>
      <c r="M38" s="34">
        <f t="shared" si="2"/>
        <v>31.310010406521169</v>
      </c>
      <c r="N38" s="34">
        <f>'J) Plafonnement effort'!G37+'J) Plafonnement effort'!H37-'K) Plafonnement aide'!I37</f>
        <v>24.738123250589766</v>
      </c>
      <c r="O38" s="34">
        <f t="shared" si="3"/>
        <v>56.048133657110938</v>
      </c>
      <c r="P38" s="48">
        <f t="shared" si="4"/>
        <v>0</v>
      </c>
      <c r="Q38" s="58">
        <f t="shared" si="5"/>
        <v>0</v>
      </c>
      <c r="R38" s="151">
        <f t="shared" si="6"/>
        <v>56.048133657110938</v>
      </c>
      <c r="S38" s="131">
        <f t="shared" si="7"/>
        <v>-2.9518663428890619</v>
      </c>
      <c r="T38" s="150">
        <f t="shared" si="8"/>
        <v>0</v>
      </c>
      <c r="V38" s="12"/>
    </row>
    <row r="39" spans="1:22" x14ac:dyDescent="0.25">
      <c r="A39" s="50">
        <f>'A) Base RI'!A40</f>
        <v>5458</v>
      </c>
      <c r="B39" s="437" t="str">
        <f>'A) Base RI'!B40</f>
        <v>Faoug</v>
      </c>
      <c r="C39" s="156">
        <v>652223.01801633672</v>
      </c>
      <c r="D39" s="156">
        <v>470600.14237907785</v>
      </c>
      <c r="E39" s="156">
        <v>0</v>
      </c>
      <c r="F39" s="156">
        <v>0</v>
      </c>
      <c r="G39" s="156">
        <v>0</v>
      </c>
      <c r="H39" s="440">
        <f t="shared" si="0"/>
        <v>1122823.1603954146</v>
      </c>
      <c r="I39" s="156">
        <v>34800.236562500002</v>
      </c>
      <c r="J39" s="443">
        <f>'B) D RI'!U40</f>
        <v>30529.72296875</v>
      </c>
      <c r="K39" s="67">
        <f t="shared" si="1"/>
        <v>32.264814015814622</v>
      </c>
      <c r="L39" s="34">
        <f>'B) D RI'!S40</f>
        <v>64</v>
      </c>
      <c r="M39" s="34">
        <f t="shared" si="2"/>
        <v>31.735185984185378</v>
      </c>
      <c r="N39" s="34">
        <f>'J) Plafonnement effort'!G38+'J) Plafonnement effort'!H38-'K) Plafonnement aide'!I38</f>
        <v>26.490549576767318</v>
      </c>
      <c r="O39" s="34">
        <f t="shared" si="3"/>
        <v>58.2257355609527</v>
      </c>
      <c r="P39" s="48">
        <f t="shared" si="4"/>
        <v>0</v>
      </c>
      <c r="Q39" s="58">
        <f t="shared" si="5"/>
        <v>0</v>
      </c>
      <c r="R39" s="151">
        <f t="shared" si="6"/>
        <v>58.2257355609527</v>
      </c>
      <c r="S39" s="131">
        <f t="shared" si="7"/>
        <v>-5.7742644390473004</v>
      </c>
      <c r="T39" s="150">
        <f t="shared" si="8"/>
        <v>0</v>
      </c>
      <c r="V39" s="12"/>
    </row>
    <row r="40" spans="1:22" x14ac:dyDescent="0.25">
      <c r="A40" s="50">
        <f>'A) Base RI'!A41</f>
        <v>5464</v>
      </c>
      <c r="B40" s="437" t="str">
        <f>'A) Base RI'!B41</f>
        <v>Vully-les-Lacs</v>
      </c>
      <c r="C40" s="156">
        <v>1786695.463595578</v>
      </c>
      <c r="D40" s="156">
        <v>304335.07716056611</v>
      </c>
      <c r="E40" s="156">
        <v>0</v>
      </c>
      <c r="F40" s="156">
        <v>0</v>
      </c>
      <c r="G40" s="156">
        <v>0</v>
      </c>
      <c r="H40" s="440">
        <f t="shared" si="0"/>
        <v>2091030.5407561441</v>
      </c>
      <c r="I40" s="156">
        <v>98954.06119402984</v>
      </c>
      <c r="J40" s="443">
        <f>'B) D RI'!U41</f>
        <v>103962.98910447762</v>
      </c>
      <c r="K40" s="67">
        <f t="shared" si="1"/>
        <v>21.131326147959065</v>
      </c>
      <c r="L40" s="34">
        <f>'B) D RI'!S41</f>
        <v>67</v>
      </c>
      <c r="M40" s="34">
        <f t="shared" si="2"/>
        <v>45.868673852040935</v>
      </c>
      <c r="N40" s="34">
        <f>'J) Plafonnement effort'!G39+'J) Plafonnement effort'!H39-'K) Plafonnement aide'!I39</f>
        <v>16.930794116991613</v>
      </c>
      <c r="O40" s="34">
        <f t="shared" si="3"/>
        <v>62.799467969032548</v>
      </c>
      <c r="P40" s="48">
        <f t="shared" si="4"/>
        <v>0</v>
      </c>
      <c r="Q40" s="58">
        <f t="shared" si="5"/>
        <v>0</v>
      </c>
      <c r="R40" s="151">
        <f t="shared" si="6"/>
        <v>62.799467969032548</v>
      </c>
      <c r="S40" s="131">
        <f t="shared" si="7"/>
        <v>-4.2005320309674516</v>
      </c>
      <c r="T40" s="150">
        <f t="shared" si="8"/>
        <v>0</v>
      </c>
      <c r="V40" s="12"/>
    </row>
    <row r="41" spans="1:22" x14ac:dyDescent="0.25">
      <c r="A41" s="50">
        <f>'A) Base RI'!A42</f>
        <v>5471</v>
      </c>
      <c r="B41" s="437" t="str">
        <f>'A) Base RI'!B42</f>
        <v>Bettens</v>
      </c>
      <c r="C41" s="156">
        <v>395879.93978429388</v>
      </c>
      <c r="D41" s="156">
        <v>172169.69797533739</v>
      </c>
      <c r="E41" s="156">
        <v>0</v>
      </c>
      <c r="F41" s="156">
        <v>0</v>
      </c>
      <c r="G41" s="156">
        <v>0</v>
      </c>
      <c r="H41" s="440">
        <f t="shared" si="0"/>
        <v>568049.63775963127</v>
      </c>
      <c r="I41" s="156">
        <v>19215.411857142855</v>
      </c>
      <c r="J41" s="443">
        <f>'B) D RI'!U42</f>
        <v>18585.086968253971</v>
      </c>
      <c r="K41" s="67">
        <f t="shared" si="1"/>
        <v>29.562189037778694</v>
      </c>
      <c r="L41" s="34">
        <f>'B) D RI'!S42</f>
        <v>70</v>
      </c>
      <c r="M41" s="34">
        <f t="shared" si="2"/>
        <v>40.437810962221306</v>
      </c>
      <c r="N41" s="34">
        <f>'J) Plafonnement effort'!G40+'J) Plafonnement effort'!H40-'K) Plafonnement aide'!I40</f>
        <v>22.116133668933511</v>
      </c>
      <c r="O41" s="34">
        <f t="shared" si="3"/>
        <v>62.55394463115482</v>
      </c>
      <c r="P41" s="48">
        <f t="shared" si="4"/>
        <v>0</v>
      </c>
      <c r="Q41" s="58">
        <f t="shared" si="5"/>
        <v>0</v>
      </c>
      <c r="R41" s="151">
        <f t="shared" si="6"/>
        <v>62.55394463115482</v>
      </c>
      <c r="S41" s="131">
        <f t="shared" si="7"/>
        <v>-7.4460553688451796</v>
      </c>
      <c r="T41" s="150">
        <f t="shared" si="8"/>
        <v>0</v>
      </c>
      <c r="V41" s="12"/>
    </row>
    <row r="42" spans="1:22" x14ac:dyDescent="0.25">
      <c r="A42" s="50">
        <f>'A) Base RI'!A43</f>
        <v>5472</v>
      </c>
      <c r="B42" s="437" t="str">
        <f>'A) Base RI'!B43</f>
        <v>Bournens</v>
      </c>
      <c r="C42" s="156">
        <v>252600.00851148245</v>
      </c>
      <c r="D42" s="156">
        <v>146095.4748375889</v>
      </c>
      <c r="E42" s="156">
        <v>0</v>
      </c>
      <c r="F42" s="156">
        <v>0</v>
      </c>
      <c r="G42" s="156">
        <v>0</v>
      </c>
      <c r="H42" s="440">
        <f t="shared" si="0"/>
        <v>398695.48334907135</v>
      </c>
      <c r="I42" s="156">
        <v>15134.969000000003</v>
      </c>
      <c r="J42" s="443">
        <f>'B) D RI'!U43</f>
        <v>16542.658815789473</v>
      </c>
      <c r="K42" s="67">
        <f t="shared" si="1"/>
        <v>26.342669307685483</v>
      </c>
      <c r="L42" s="34">
        <f>'B) D RI'!S43</f>
        <v>76</v>
      </c>
      <c r="M42" s="34">
        <f t="shared" si="2"/>
        <v>49.657330692314517</v>
      </c>
      <c r="N42" s="34">
        <f>'J) Plafonnement effort'!G41+'J) Plafonnement effort'!H41-'K) Plafonnement aide'!I41</f>
        <v>28.761627489341233</v>
      </c>
      <c r="O42" s="34">
        <f t="shared" si="3"/>
        <v>78.418958181655753</v>
      </c>
      <c r="P42" s="48">
        <f t="shared" si="4"/>
        <v>0</v>
      </c>
      <c r="Q42" s="58">
        <f t="shared" si="5"/>
        <v>0</v>
      </c>
      <c r="R42" s="151">
        <f t="shared" si="6"/>
        <v>78.418958181655753</v>
      </c>
      <c r="S42" s="131">
        <f t="shared" si="7"/>
        <v>2.4189581816557535</v>
      </c>
      <c r="T42" s="150">
        <f t="shared" si="8"/>
        <v>0</v>
      </c>
      <c r="V42" s="12"/>
    </row>
    <row r="43" spans="1:22" x14ac:dyDescent="0.25">
      <c r="A43" s="50">
        <f>'A) Base RI'!A44</f>
        <v>5473</v>
      </c>
      <c r="B43" s="437" t="str">
        <f>'A) Base RI'!B44</f>
        <v>Boussens</v>
      </c>
      <c r="C43" s="156">
        <v>546557.41745165014</v>
      </c>
      <c r="D43" s="156">
        <v>315826.18252981722</v>
      </c>
      <c r="E43" s="156">
        <v>0</v>
      </c>
      <c r="F43" s="156">
        <v>0</v>
      </c>
      <c r="G43" s="156">
        <v>0</v>
      </c>
      <c r="H43" s="440">
        <f t="shared" si="0"/>
        <v>862383.59998146736</v>
      </c>
      <c r="I43" s="156">
        <v>33278.780724637691</v>
      </c>
      <c r="J43" s="443">
        <f>'B) D RI'!U44</f>
        <v>36720.844927536244</v>
      </c>
      <c r="K43" s="67">
        <f t="shared" si="1"/>
        <v>25.913918154549702</v>
      </c>
      <c r="L43" s="34">
        <f>'B) D RI'!S44</f>
        <v>69</v>
      </c>
      <c r="M43" s="34">
        <f t="shared" si="2"/>
        <v>43.086081845450295</v>
      </c>
      <c r="N43" s="34">
        <f>'J) Plafonnement effort'!G42+'J) Plafonnement effort'!H42-'K) Plafonnement aide'!I42</f>
        <v>28.525925991206801</v>
      </c>
      <c r="O43" s="34">
        <f t="shared" si="3"/>
        <v>71.612007836657099</v>
      </c>
      <c r="P43" s="48">
        <f t="shared" si="4"/>
        <v>0</v>
      </c>
      <c r="Q43" s="58">
        <f t="shared" si="5"/>
        <v>0</v>
      </c>
      <c r="R43" s="151">
        <f t="shared" si="6"/>
        <v>71.612007836657099</v>
      </c>
      <c r="S43" s="131">
        <f t="shared" si="7"/>
        <v>2.6120078366570993</v>
      </c>
      <c r="T43" s="150">
        <f t="shared" si="8"/>
        <v>0</v>
      </c>
      <c r="V43" s="12"/>
    </row>
    <row r="44" spans="1:22" x14ac:dyDescent="0.25">
      <c r="A44" s="50">
        <f>'A) Base RI'!A45</f>
        <v>5474</v>
      </c>
      <c r="B44" s="437" t="str">
        <f>'A) Base RI'!B45</f>
        <v>La Chaux (Cossonay)</v>
      </c>
      <c r="C44" s="156">
        <v>309292.38778300624</v>
      </c>
      <c r="D44" s="156">
        <v>79375.91369778465</v>
      </c>
      <c r="E44" s="156">
        <v>0</v>
      </c>
      <c r="F44" s="156">
        <v>0</v>
      </c>
      <c r="G44" s="156">
        <v>0</v>
      </c>
      <c r="H44" s="440">
        <f t="shared" si="0"/>
        <v>388668.30148079089</v>
      </c>
      <c r="I44" s="156">
        <v>13413.30380952381</v>
      </c>
      <c r="J44" s="443">
        <f>'B) D RI'!U45</f>
        <v>12985.393549783552</v>
      </c>
      <c r="K44" s="67">
        <f t="shared" si="1"/>
        <v>28.976328800129455</v>
      </c>
      <c r="L44" s="34">
        <f>'B) D RI'!S45</f>
        <v>77</v>
      </c>
      <c r="M44" s="34">
        <f t="shared" si="2"/>
        <v>48.023671199870549</v>
      </c>
      <c r="N44" s="34">
        <f>'J) Plafonnement effort'!G43+'J) Plafonnement effort'!H43-'K) Plafonnement aide'!I43</f>
        <v>13.204070069020082</v>
      </c>
      <c r="O44" s="34">
        <f t="shared" si="3"/>
        <v>61.227741268890632</v>
      </c>
      <c r="P44" s="48">
        <f t="shared" si="4"/>
        <v>0</v>
      </c>
      <c r="Q44" s="58">
        <f t="shared" si="5"/>
        <v>0</v>
      </c>
      <c r="R44" s="151">
        <f t="shared" si="6"/>
        <v>61.227741268890632</v>
      </c>
      <c r="S44" s="131">
        <f t="shared" si="7"/>
        <v>-15.772258731109368</v>
      </c>
      <c r="T44" s="150">
        <f t="shared" si="8"/>
        <v>0</v>
      </c>
      <c r="V44" s="12"/>
    </row>
    <row r="45" spans="1:22" x14ac:dyDescent="0.25">
      <c r="A45" s="50">
        <f>'A) Base RI'!A46</f>
        <v>5475</v>
      </c>
      <c r="B45" s="437" t="str">
        <f>'A) Base RI'!B46</f>
        <v>Chavannes-le-Veyron</v>
      </c>
      <c r="C45" s="156">
        <v>59553.717440961795</v>
      </c>
      <c r="D45" s="156">
        <v>-3611.4268440877495</v>
      </c>
      <c r="E45" s="156">
        <v>0</v>
      </c>
      <c r="F45" s="156">
        <v>0</v>
      </c>
      <c r="G45" s="156">
        <v>0</v>
      </c>
      <c r="H45" s="440">
        <f t="shared" si="0"/>
        <v>55942.290596874045</v>
      </c>
      <c r="I45" s="156">
        <v>3783.0914285714284</v>
      </c>
      <c r="J45" s="443">
        <f>'B) D RI'!U46</f>
        <v>4956.4012987012984</v>
      </c>
      <c r="K45" s="67">
        <f t="shared" si="1"/>
        <v>14.787454031476839</v>
      </c>
      <c r="L45" s="34">
        <f>'B) D RI'!S46</f>
        <v>77</v>
      </c>
      <c r="M45" s="34">
        <f t="shared" si="2"/>
        <v>62.212545968523159</v>
      </c>
      <c r="N45" s="34">
        <f>'J) Plafonnement effort'!G44+'J) Plafonnement effort'!H44-'K) Plafonnement aide'!I44</f>
        <v>21.325625907312663</v>
      </c>
      <c r="O45" s="34">
        <f t="shared" si="3"/>
        <v>83.538171875835815</v>
      </c>
      <c r="P45" s="48">
        <f t="shared" si="4"/>
        <v>0</v>
      </c>
      <c r="Q45" s="58">
        <f t="shared" si="5"/>
        <v>0</v>
      </c>
      <c r="R45" s="151">
        <f t="shared" si="6"/>
        <v>83.538171875835815</v>
      </c>
      <c r="S45" s="131">
        <f t="shared" si="7"/>
        <v>6.5381718758358147</v>
      </c>
      <c r="T45" s="150">
        <f t="shared" si="8"/>
        <v>0</v>
      </c>
      <c r="V45" s="12"/>
    </row>
    <row r="46" spans="1:22" x14ac:dyDescent="0.25">
      <c r="A46" s="50">
        <f>'A) Base RI'!A47</f>
        <v>5476</v>
      </c>
      <c r="B46" s="437" t="str">
        <f>'A) Base RI'!B47</f>
        <v>Chevilly</v>
      </c>
      <c r="C46" s="156">
        <v>153699.78945996077</v>
      </c>
      <c r="D46" s="156">
        <v>86239.345563469673</v>
      </c>
      <c r="E46" s="156">
        <v>0</v>
      </c>
      <c r="F46" s="156">
        <v>0</v>
      </c>
      <c r="G46" s="156">
        <v>0</v>
      </c>
      <c r="H46" s="440">
        <f t="shared" si="0"/>
        <v>239939.13502343046</v>
      </c>
      <c r="I46" s="156">
        <v>10089.483198198201</v>
      </c>
      <c r="J46" s="443">
        <f>'B) D RI'!U47</f>
        <v>10630.648108108109</v>
      </c>
      <c r="K46" s="67">
        <f t="shared" si="1"/>
        <v>23.781112502003992</v>
      </c>
      <c r="L46" s="34">
        <f>'B) D RI'!S47</f>
        <v>74</v>
      </c>
      <c r="M46" s="34">
        <f t="shared" si="2"/>
        <v>50.218887497996008</v>
      </c>
      <c r="N46" s="34">
        <f>'J) Plafonnement effort'!G45+'J) Plafonnement effort'!H45-'K) Plafonnement aide'!I45</f>
        <v>21.078475850554913</v>
      </c>
      <c r="O46" s="34">
        <f t="shared" si="3"/>
        <v>71.297363348550917</v>
      </c>
      <c r="P46" s="48">
        <f t="shared" si="4"/>
        <v>0</v>
      </c>
      <c r="Q46" s="58">
        <f t="shared" si="5"/>
        <v>0</v>
      </c>
      <c r="R46" s="151">
        <f t="shared" si="6"/>
        <v>71.297363348550917</v>
      </c>
      <c r="S46" s="131">
        <f t="shared" si="7"/>
        <v>-2.7026366514490832</v>
      </c>
      <c r="T46" s="150">
        <f t="shared" si="8"/>
        <v>0</v>
      </c>
      <c r="V46" s="12"/>
    </row>
    <row r="47" spans="1:22" x14ac:dyDescent="0.25">
      <c r="A47" s="50">
        <f>'A) Base RI'!A48</f>
        <v>5477</v>
      </c>
      <c r="B47" s="437" t="str">
        <f>'A) Base RI'!B48</f>
        <v>Cossonay</v>
      </c>
      <c r="C47" s="156">
        <v>2480317.1199492486</v>
      </c>
      <c r="D47" s="156">
        <v>248417.64880334679</v>
      </c>
      <c r="E47" s="156">
        <v>0</v>
      </c>
      <c r="F47" s="156">
        <v>0</v>
      </c>
      <c r="G47" s="156">
        <v>0</v>
      </c>
      <c r="H47" s="440">
        <f t="shared" si="0"/>
        <v>2728734.7687525954</v>
      </c>
      <c r="I47" s="156">
        <v>126013.2271830986</v>
      </c>
      <c r="J47" s="443">
        <f>'B) D RI'!U48</f>
        <v>133477.09521126762</v>
      </c>
      <c r="K47" s="67">
        <f t="shared" si="1"/>
        <v>21.654351925990387</v>
      </c>
      <c r="L47" s="34">
        <f>'B) D RI'!S48</f>
        <v>71</v>
      </c>
      <c r="M47" s="34">
        <f t="shared" si="2"/>
        <v>49.345648074009617</v>
      </c>
      <c r="N47" s="34">
        <f>'J) Plafonnement effort'!G46+'J) Plafonnement effort'!H46-'K) Plafonnement aide'!I46</f>
        <v>17.211594963893617</v>
      </c>
      <c r="O47" s="34">
        <f t="shared" si="3"/>
        <v>66.557243037903234</v>
      </c>
      <c r="P47" s="48">
        <f t="shared" si="4"/>
        <v>0</v>
      </c>
      <c r="Q47" s="58">
        <f t="shared" si="5"/>
        <v>0</v>
      </c>
      <c r="R47" s="151">
        <f t="shared" si="6"/>
        <v>66.557243037903234</v>
      </c>
      <c r="S47" s="131">
        <f t="shared" si="7"/>
        <v>-4.442756962096766</v>
      </c>
      <c r="T47" s="150">
        <f t="shared" si="8"/>
        <v>0</v>
      </c>
      <c r="V47" s="12"/>
    </row>
    <row r="48" spans="1:22" x14ac:dyDescent="0.25">
      <c r="A48" s="50">
        <f>'A) Base RI'!A49</f>
        <v>5478</v>
      </c>
      <c r="B48" s="437" t="str">
        <f>'A) Base RI'!B49</f>
        <v>Cottens</v>
      </c>
      <c r="C48" s="156">
        <v>296068.04944612284</v>
      </c>
      <c r="D48" s="156">
        <v>173460.88083062705</v>
      </c>
      <c r="E48" s="156">
        <v>0</v>
      </c>
      <c r="F48" s="156">
        <v>0</v>
      </c>
      <c r="G48" s="156">
        <v>0</v>
      </c>
      <c r="H48" s="440">
        <f t="shared" si="0"/>
        <v>469528.93027674989</v>
      </c>
      <c r="I48" s="156">
        <v>17030.362972972973</v>
      </c>
      <c r="J48" s="443">
        <f>'B) D RI'!U49</f>
        <v>14377.418378378377</v>
      </c>
      <c r="K48" s="67">
        <f t="shared" si="1"/>
        <v>27.570107050676953</v>
      </c>
      <c r="L48" s="34">
        <f>'B) D RI'!S49</f>
        <v>74</v>
      </c>
      <c r="M48" s="34">
        <f t="shared" si="2"/>
        <v>46.429892949323047</v>
      </c>
      <c r="N48" s="34">
        <f>'J) Plafonnement effort'!G47+'J) Plafonnement effort'!H47-'K) Plafonnement aide'!I47</f>
        <v>18.398699012516815</v>
      </c>
      <c r="O48" s="34">
        <f t="shared" si="3"/>
        <v>64.828591961839862</v>
      </c>
      <c r="P48" s="48">
        <f t="shared" si="4"/>
        <v>0</v>
      </c>
      <c r="Q48" s="58">
        <f t="shared" si="5"/>
        <v>0</v>
      </c>
      <c r="R48" s="151">
        <f t="shared" si="6"/>
        <v>64.828591961839862</v>
      </c>
      <c r="S48" s="131">
        <f t="shared" si="7"/>
        <v>-9.1714080381601377</v>
      </c>
      <c r="T48" s="150">
        <f t="shared" si="8"/>
        <v>0</v>
      </c>
      <c r="V48" s="12"/>
    </row>
    <row r="49" spans="1:22" x14ac:dyDescent="0.25">
      <c r="A49" s="50">
        <f>'A) Base RI'!A50</f>
        <v>5479</v>
      </c>
      <c r="B49" s="437" t="str">
        <f>'A) Base RI'!B50</f>
        <v>Cuarnens</v>
      </c>
      <c r="C49" s="156">
        <v>357375.52190909226</v>
      </c>
      <c r="D49" s="156">
        <v>272549.79084622517</v>
      </c>
      <c r="E49" s="156">
        <v>0</v>
      </c>
      <c r="F49" s="156">
        <v>0</v>
      </c>
      <c r="G49" s="156">
        <v>0</v>
      </c>
      <c r="H49" s="440">
        <f t="shared" si="0"/>
        <v>629925.31275531743</v>
      </c>
      <c r="I49" s="156">
        <v>19628.392987012987</v>
      </c>
      <c r="J49" s="443">
        <f>'B) D RI'!U50</f>
        <v>16455.372077922078</v>
      </c>
      <c r="K49" s="67">
        <f t="shared" si="1"/>
        <v>32.092556592488435</v>
      </c>
      <c r="L49" s="34">
        <f>'B) D RI'!S50</f>
        <v>77</v>
      </c>
      <c r="M49" s="34">
        <f t="shared" si="2"/>
        <v>44.907443407511565</v>
      </c>
      <c r="N49" s="34">
        <f>'J) Plafonnement effort'!G48+'J) Plafonnement effort'!H48-'K) Plafonnement aide'!I48</f>
        <v>18.798297670334374</v>
      </c>
      <c r="O49" s="34">
        <f t="shared" si="3"/>
        <v>63.705741077845943</v>
      </c>
      <c r="P49" s="48">
        <f t="shared" si="4"/>
        <v>0</v>
      </c>
      <c r="Q49" s="58">
        <f t="shared" si="5"/>
        <v>0</v>
      </c>
      <c r="R49" s="151">
        <f t="shared" si="6"/>
        <v>63.705741077845943</v>
      </c>
      <c r="S49" s="131">
        <f t="shared" si="7"/>
        <v>-13.294258922154057</v>
      </c>
      <c r="T49" s="150">
        <f t="shared" si="8"/>
        <v>0</v>
      </c>
      <c r="V49" s="12"/>
    </row>
    <row r="50" spans="1:22" x14ac:dyDescent="0.25">
      <c r="A50" s="50">
        <f>'A) Base RI'!A51</f>
        <v>5480</v>
      </c>
      <c r="B50" s="437" t="str">
        <f>'A) Base RI'!B51</f>
        <v>Daillens</v>
      </c>
      <c r="C50" s="156">
        <v>704341.26490540081</v>
      </c>
      <c r="D50" s="156">
        <v>616453.45148613455</v>
      </c>
      <c r="E50" s="156">
        <v>0</v>
      </c>
      <c r="F50" s="156">
        <v>0</v>
      </c>
      <c r="G50" s="156">
        <v>0</v>
      </c>
      <c r="H50" s="440">
        <f t="shared" si="0"/>
        <v>1320794.7163915355</v>
      </c>
      <c r="I50" s="156">
        <v>41809.315211267603</v>
      </c>
      <c r="J50" s="443">
        <f>'B) D RI'!U51</f>
        <v>41472.794507042257</v>
      </c>
      <c r="K50" s="67">
        <f t="shared" si="1"/>
        <v>31.590919624428135</v>
      </c>
      <c r="L50" s="34">
        <f>'B) D RI'!S51</f>
        <v>71</v>
      </c>
      <c r="M50" s="34">
        <f t="shared" si="2"/>
        <v>39.409080375571861</v>
      </c>
      <c r="N50" s="34">
        <f>'J) Plafonnement effort'!G49+'J) Plafonnement effort'!H49-'K) Plafonnement aide'!I49</f>
        <v>29.898899960840652</v>
      </c>
      <c r="O50" s="34">
        <f t="shared" si="3"/>
        <v>69.307980336412513</v>
      </c>
      <c r="P50" s="48">
        <f t="shared" si="4"/>
        <v>0</v>
      </c>
      <c r="Q50" s="58">
        <f t="shared" si="5"/>
        <v>0</v>
      </c>
      <c r="R50" s="151">
        <f t="shared" si="6"/>
        <v>69.307980336412513</v>
      </c>
      <c r="S50" s="131">
        <f t="shared" si="7"/>
        <v>-1.6920196635874873</v>
      </c>
      <c r="T50" s="150">
        <f t="shared" si="8"/>
        <v>0</v>
      </c>
      <c r="V50" s="12"/>
    </row>
    <row r="51" spans="1:22" x14ac:dyDescent="0.25">
      <c r="A51" s="50">
        <f>'A) Base RI'!A52</f>
        <v>5481</v>
      </c>
      <c r="B51" s="437" t="str">
        <f>'A) Base RI'!B52</f>
        <v>Dizy</v>
      </c>
      <c r="C51" s="156">
        <v>136104.74972420218</v>
      </c>
      <c r="D51" s="156">
        <v>90004.225936056057</v>
      </c>
      <c r="E51" s="156">
        <v>0</v>
      </c>
      <c r="F51" s="156">
        <v>0</v>
      </c>
      <c r="G51" s="156">
        <v>0</v>
      </c>
      <c r="H51" s="440">
        <f t="shared" si="0"/>
        <v>226108.97566025823</v>
      </c>
      <c r="I51" s="156">
        <v>8477.634430379745</v>
      </c>
      <c r="J51" s="443">
        <f>'B) D RI'!U52</f>
        <v>11087.272784810126</v>
      </c>
      <c r="K51" s="67">
        <f t="shared" si="1"/>
        <v>26.671234471964599</v>
      </c>
      <c r="L51" s="34">
        <f>'B) D RI'!S52</f>
        <v>79</v>
      </c>
      <c r="M51" s="34">
        <f t="shared" si="2"/>
        <v>52.328765528035404</v>
      </c>
      <c r="N51" s="34">
        <f>'J) Plafonnement effort'!G50+'J) Plafonnement effort'!H50-'K) Plafonnement aide'!I50</f>
        <v>33.120479087328391</v>
      </c>
      <c r="O51" s="34">
        <f t="shared" si="3"/>
        <v>85.449244615363796</v>
      </c>
      <c r="P51" s="48">
        <f t="shared" si="4"/>
        <v>0</v>
      </c>
      <c r="Q51" s="58">
        <f t="shared" si="5"/>
        <v>0</v>
      </c>
      <c r="R51" s="151">
        <f t="shared" si="6"/>
        <v>85.449244615363796</v>
      </c>
      <c r="S51" s="131">
        <f t="shared" si="7"/>
        <v>6.4492446153637957</v>
      </c>
      <c r="T51" s="150">
        <f t="shared" si="8"/>
        <v>0</v>
      </c>
      <c r="V51" s="12"/>
    </row>
    <row r="52" spans="1:22" x14ac:dyDescent="0.25">
      <c r="A52" s="50">
        <f>'A) Base RI'!A53</f>
        <v>5482</v>
      </c>
      <c r="B52" s="437" t="str">
        <f>'A) Base RI'!B53</f>
        <v>Eclépens</v>
      </c>
      <c r="C52" s="156">
        <v>1021837.5612571582</v>
      </c>
      <c r="D52" s="156">
        <v>800960.16520596331</v>
      </c>
      <c r="E52" s="156">
        <v>0</v>
      </c>
      <c r="F52" s="156">
        <v>0</v>
      </c>
      <c r="G52" s="156">
        <v>0</v>
      </c>
      <c r="H52" s="440">
        <f t="shared" si="0"/>
        <v>1822797.7264631214</v>
      </c>
      <c r="I52" s="156">
        <v>50368.719782608692</v>
      </c>
      <c r="J52" s="443">
        <f>'B) D RI'!U53</f>
        <v>49011.702173913051</v>
      </c>
      <c r="K52" s="67">
        <f t="shared" si="1"/>
        <v>36.18908192088886</v>
      </c>
      <c r="L52" s="34">
        <f>'B) D RI'!S53</f>
        <v>46</v>
      </c>
      <c r="M52" s="34">
        <f t="shared" si="2"/>
        <v>9.8109180791111399</v>
      </c>
      <c r="N52" s="34">
        <f>'J) Plafonnement effort'!G51+'J) Plafonnement effort'!H51-'K) Plafonnement aide'!I51</f>
        <v>29.808355526901593</v>
      </c>
      <c r="O52" s="34">
        <f t="shared" si="3"/>
        <v>39.619273606012733</v>
      </c>
      <c r="P52" s="48">
        <f t="shared" si="4"/>
        <v>0</v>
      </c>
      <c r="Q52" s="58">
        <f t="shared" si="5"/>
        <v>0</v>
      </c>
      <c r="R52" s="151">
        <f t="shared" si="6"/>
        <v>39.619273606012733</v>
      </c>
      <c r="S52" s="131">
        <f t="shared" si="7"/>
        <v>-6.3807263939872669</v>
      </c>
      <c r="T52" s="150">
        <f t="shared" si="8"/>
        <v>0</v>
      </c>
      <c r="V52" s="12"/>
    </row>
    <row r="53" spans="1:22" x14ac:dyDescent="0.25">
      <c r="A53" s="50">
        <f>'A) Base RI'!A54</f>
        <v>5483</v>
      </c>
      <c r="B53" s="437" t="str">
        <f>'A) Base RI'!B54</f>
        <v>Ferreyres</v>
      </c>
      <c r="C53" s="156">
        <v>197865.15766695878</v>
      </c>
      <c r="D53" s="156">
        <v>147111.85683074335</v>
      </c>
      <c r="E53" s="156">
        <v>0</v>
      </c>
      <c r="F53" s="156">
        <v>0</v>
      </c>
      <c r="G53" s="156">
        <v>0</v>
      </c>
      <c r="H53" s="440">
        <f t="shared" si="0"/>
        <v>344977.01449770213</v>
      </c>
      <c r="I53" s="156">
        <v>12305.209605263159</v>
      </c>
      <c r="J53" s="443">
        <f>'B) D RI'!U54</f>
        <v>8858.2019736842121</v>
      </c>
      <c r="K53" s="67">
        <f t="shared" si="1"/>
        <v>28.035037643743124</v>
      </c>
      <c r="L53" s="34">
        <f>'B) D RI'!S54</f>
        <v>76</v>
      </c>
      <c r="M53" s="34">
        <f t="shared" si="2"/>
        <v>47.964962356256876</v>
      </c>
      <c r="N53" s="34">
        <f>'J) Plafonnement effort'!G52+'J) Plafonnement effort'!H52-'K) Plafonnement aide'!I52</f>
        <v>16.240888024272721</v>
      </c>
      <c r="O53" s="34">
        <f t="shared" si="3"/>
        <v>64.205850380529597</v>
      </c>
      <c r="P53" s="48">
        <f t="shared" si="4"/>
        <v>0</v>
      </c>
      <c r="Q53" s="58">
        <f t="shared" si="5"/>
        <v>0</v>
      </c>
      <c r="R53" s="151">
        <f t="shared" si="6"/>
        <v>64.205850380529597</v>
      </c>
      <c r="S53" s="131">
        <f t="shared" si="7"/>
        <v>-11.794149619470403</v>
      </c>
      <c r="T53" s="150">
        <f t="shared" si="8"/>
        <v>0</v>
      </c>
      <c r="V53" s="12"/>
    </row>
    <row r="54" spans="1:22" x14ac:dyDescent="0.25">
      <c r="A54" s="50">
        <f>'A) Base RI'!A55</f>
        <v>5484</v>
      </c>
      <c r="B54" s="437" t="str">
        <f>'A) Base RI'!B55</f>
        <v>Gollion</v>
      </c>
      <c r="C54" s="156">
        <v>697463.40215374832</v>
      </c>
      <c r="D54" s="156">
        <v>414055.27122891671</v>
      </c>
      <c r="E54" s="156">
        <v>0</v>
      </c>
      <c r="F54" s="156">
        <v>0</v>
      </c>
      <c r="G54" s="156">
        <v>0</v>
      </c>
      <c r="H54" s="440">
        <f t="shared" si="0"/>
        <v>1111518.673382665</v>
      </c>
      <c r="I54" s="156">
        <v>34769.525540540541</v>
      </c>
      <c r="J54" s="443">
        <f>'B) D RI'!U55</f>
        <v>32194.381081081083</v>
      </c>
      <c r="K54" s="67">
        <f t="shared" si="1"/>
        <v>31.968186396062766</v>
      </c>
      <c r="L54" s="34">
        <f>'B) D RI'!S55</f>
        <v>74</v>
      </c>
      <c r="M54" s="34">
        <f t="shared" si="2"/>
        <v>42.031813603937238</v>
      </c>
      <c r="N54" s="34">
        <f>'J) Plafonnement effort'!G53+'J) Plafonnement effort'!H53-'K) Plafonnement aide'!I53</f>
        <v>26.176782751035212</v>
      </c>
      <c r="O54" s="34">
        <f t="shared" si="3"/>
        <v>68.208596354972457</v>
      </c>
      <c r="P54" s="48">
        <f t="shared" si="4"/>
        <v>0</v>
      </c>
      <c r="Q54" s="58">
        <f t="shared" si="5"/>
        <v>0</v>
      </c>
      <c r="R54" s="151">
        <f t="shared" si="6"/>
        <v>68.208596354972457</v>
      </c>
      <c r="S54" s="131">
        <f t="shared" si="7"/>
        <v>-5.7914036450275432</v>
      </c>
      <c r="T54" s="150">
        <f t="shared" si="8"/>
        <v>0</v>
      </c>
      <c r="V54" s="12"/>
    </row>
    <row r="55" spans="1:22" x14ac:dyDescent="0.25">
      <c r="A55" s="50">
        <f>'A) Base RI'!A56</f>
        <v>5485</v>
      </c>
      <c r="B55" s="437" t="str">
        <f>'A) Base RI'!B56</f>
        <v>Grancy</v>
      </c>
      <c r="C55" s="156">
        <v>312648.05628744751</v>
      </c>
      <c r="D55" s="156">
        <v>286831.41193967819</v>
      </c>
      <c r="E55" s="156">
        <v>0</v>
      </c>
      <c r="F55" s="156">
        <v>0</v>
      </c>
      <c r="G55" s="156">
        <v>0</v>
      </c>
      <c r="H55" s="440">
        <f t="shared" si="0"/>
        <v>599479.4682271257</v>
      </c>
      <c r="I55" s="156">
        <v>17864.595714285719</v>
      </c>
      <c r="J55" s="443">
        <f>'B) D RI'!U56</f>
        <v>18697.252714285714</v>
      </c>
      <c r="K55" s="67">
        <f t="shared" si="1"/>
        <v>33.55684493591658</v>
      </c>
      <c r="L55" s="34">
        <f>'B) D RI'!S56</f>
        <v>70</v>
      </c>
      <c r="M55" s="34">
        <f t="shared" si="2"/>
        <v>36.44315506408342</v>
      </c>
      <c r="N55" s="34">
        <f>'J) Plafonnement effort'!G54+'J) Plafonnement effort'!H54-'K) Plafonnement aide'!I54</f>
        <v>9.093163840473558</v>
      </c>
      <c r="O55" s="34">
        <f t="shared" si="3"/>
        <v>45.536318904556978</v>
      </c>
      <c r="P55" s="48">
        <f t="shared" si="4"/>
        <v>0</v>
      </c>
      <c r="Q55" s="58">
        <f t="shared" si="5"/>
        <v>0</v>
      </c>
      <c r="R55" s="151">
        <f t="shared" si="6"/>
        <v>45.536318904556978</v>
      </c>
      <c r="S55" s="131">
        <f t="shared" si="7"/>
        <v>-24.463681095443022</v>
      </c>
      <c r="T55" s="150">
        <f t="shared" si="8"/>
        <v>0</v>
      </c>
      <c r="V55" s="12"/>
    </row>
    <row r="56" spans="1:22" x14ac:dyDescent="0.25">
      <c r="A56" s="50">
        <f>'A) Base RI'!A57</f>
        <v>5486</v>
      </c>
      <c r="B56" s="437" t="str">
        <f>'A) Base RI'!B57</f>
        <v>L'Isle</v>
      </c>
      <c r="C56" s="156">
        <v>500658.10288932425</v>
      </c>
      <c r="D56" s="156">
        <v>-48210.314866031753</v>
      </c>
      <c r="E56" s="156">
        <v>0</v>
      </c>
      <c r="F56" s="156">
        <v>0</v>
      </c>
      <c r="G56" s="156">
        <v>0</v>
      </c>
      <c r="H56" s="440">
        <f t="shared" si="0"/>
        <v>452447.78802329249</v>
      </c>
      <c r="I56" s="156">
        <v>26187.199605263158</v>
      </c>
      <c r="J56" s="443">
        <f>'B) D RI'!U57</f>
        <v>31254.420526315782</v>
      </c>
      <c r="K56" s="67">
        <f t="shared" si="1"/>
        <v>17.27744069023549</v>
      </c>
      <c r="L56" s="34">
        <f>'B) D RI'!S57</f>
        <v>76</v>
      </c>
      <c r="M56" s="34">
        <f t="shared" si="2"/>
        <v>58.722559309764506</v>
      </c>
      <c r="N56" s="34">
        <f>'J) Plafonnement effort'!G55+'J) Plafonnement effort'!H55-'K) Plafonnement aide'!I55</f>
        <v>13.265132640384008</v>
      </c>
      <c r="O56" s="34">
        <f t="shared" si="3"/>
        <v>71.987691950148516</v>
      </c>
      <c r="P56" s="48">
        <f t="shared" si="4"/>
        <v>0</v>
      </c>
      <c r="Q56" s="58">
        <f t="shared" si="5"/>
        <v>0</v>
      </c>
      <c r="R56" s="151">
        <f t="shared" si="6"/>
        <v>71.987691950148516</v>
      </c>
      <c r="S56" s="131">
        <f t="shared" si="7"/>
        <v>-4.0123080498514838</v>
      </c>
      <c r="T56" s="150">
        <f t="shared" si="8"/>
        <v>0</v>
      </c>
      <c r="V56" s="12"/>
    </row>
    <row r="57" spans="1:22" x14ac:dyDescent="0.25">
      <c r="A57" s="50">
        <f>'A) Base RI'!A58</f>
        <v>5487</v>
      </c>
      <c r="B57" s="437" t="str">
        <f>'A) Base RI'!B58</f>
        <v>Lussery-Villars</v>
      </c>
      <c r="C57" s="156">
        <v>260939.56711144111</v>
      </c>
      <c r="D57" s="156">
        <v>92936.374811409158</v>
      </c>
      <c r="E57" s="156">
        <v>0</v>
      </c>
      <c r="F57" s="156">
        <v>0</v>
      </c>
      <c r="G57" s="156">
        <v>0</v>
      </c>
      <c r="H57" s="440">
        <f t="shared" si="0"/>
        <v>353875.94192285027</v>
      </c>
      <c r="I57" s="156">
        <v>14370.481805555557</v>
      </c>
      <c r="J57" s="443">
        <f>'B) D RI'!U58</f>
        <v>14791.264800000001</v>
      </c>
      <c r="K57" s="67">
        <f t="shared" si="1"/>
        <v>24.625196754784074</v>
      </c>
      <c r="L57" s="34">
        <f>'B) D RI'!S58</f>
        <v>75</v>
      </c>
      <c r="M57" s="34">
        <f t="shared" si="2"/>
        <v>50.374803245215929</v>
      </c>
      <c r="N57" s="34">
        <f>'J) Plafonnement effort'!G56+'J) Plafonnement effort'!H56-'K) Plafonnement aide'!I56</f>
        <v>21.006519018891183</v>
      </c>
      <c r="O57" s="34">
        <f t="shared" si="3"/>
        <v>71.381322264107112</v>
      </c>
      <c r="P57" s="48">
        <f t="shared" si="4"/>
        <v>0</v>
      </c>
      <c r="Q57" s="58">
        <f t="shared" si="5"/>
        <v>0</v>
      </c>
      <c r="R57" s="151">
        <f t="shared" si="6"/>
        <v>71.381322264107112</v>
      </c>
      <c r="S57" s="131">
        <f t="shared" si="7"/>
        <v>-3.6186777358928879</v>
      </c>
      <c r="T57" s="150">
        <f t="shared" si="8"/>
        <v>0</v>
      </c>
      <c r="V57" s="12"/>
    </row>
    <row r="58" spans="1:22" x14ac:dyDescent="0.25">
      <c r="A58" s="50">
        <f>'A) Base RI'!A59</f>
        <v>5488</v>
      </c>
      <c r="B58" s="437" t="str">
        <f>'A) Base RI'!B59</f>
        <v>Mauraz</v>
      </c>
      <c r="C58" s="156">
        <v>24548.8426655433</v>
      </c>
      <c r="D58" s="156">
        <v>1411.9721033689057</v>
      </c>
      <c r="E58" s="156">
        <v>0</v>
      </c>
      <c r="F58" s="156">
        <v>0</v>
      </c>
      <c r="G58" s="156">
        <v>0</v>
      </c>
      <c r="H58" s="440">
        <f t="shared" si="0"/>
        <v>25960.814768912205</v>
      </c>
      <c r="I58" s="156">
        <v>1634.9372972972974</v>
      </c>
      <c r="J58" s="443">
        <f>'B) D RI'!U59</f>
        <v>1908.9349999999995</v>
      </c>
      <c r="K58" s="67">
        <f t="shared" si="1"/>
        <v>15.878783126317954</v>
      </c>
      <c r="L58" s="34">
        <f>'B) D RI'!S59</f>
        <v>78</v>
      </c>
      <c r="M58" s="34">
        <f t="shared" si="2"/>
        <v>62.121216873682044</v>
      </c>
      <c r="N58" s="34">
        <f>'J) Plafonnement effort'!G57+'J) Plafonnement effort'!H57-'K) Plafonnement aide'!I57</f>
        <v>24.340474395014073</v>
      </c>
      <c r="O58" s="34">
        <f t="shared" si="3"/>
        <v>86.461691268696114</v>
      </c>
      <c r="P58" s="48">
        <f t="shared" si="4"/>
        <v>0</v>
      </c>
      <c r="Q58" s="58">
        <f t="shared" si="5"/>
        <v>0</v>
      </c>
      <c r="R58" s="151">
        <f t="shared" si="6"/>
        <v>86.461691268696114</v>
      </c>
      <c r="S58" s="131">
        <f t="shared" si="7"/>
        <v>8.4616912686961143</v>
      </c>
      <c r="T58" s="150">
        <f t="shared" si="8"/>
        <v>0</v>
      </c>
      <c r="V58" s="12"/>
    </row>
    <row r="59" spans="1:22" x14ac:dyDescent="0.25">
      <c r="A59" s="50">
        <f>'A) Base RI'!A60</f>
        <v>5489</v>
      </c>
      <c r="B59" s="437" t="str">
        <f>'A) Base RI'!B60</f>
        <v>Mex</v>
      </c>
      <c r="C59" s="156">
        <v>1380579.3613424839</v>
      </c>
      <c r="D59" s="156">
        <v>905383.59273455967</v>
      </c>
      <c r="E59" s="156">
        <v>0</v>
      </c>
      <c r="F59" s="156">
        <v>0</v>
      </c>
      <c r="G59" s="156">
        <v>0</v>
      </c>
      <c r="H59" s="440">
        <f t="shared" si="0"/>
        <v>2285962.9540770436</v>
      </c>
      <c r="I59" s="156">
        <v>57398.642786885255</v>
      </c>
      <c r="J59" s="443">
        <f>'B) D RI'!U60</f>
        <v>70574.798032786901</v>
      </c>
      <c r="K59" s="67">
        <f t="shared" si="1"/>
        <v>39.826080253579661</v>
      </c>
      <c r="L59" s="34">
        <f>'B) D RI'!S60</f>
        <v>61</v>
      </c>
      <c r="M59" s="34">
        <f t="shared" si="2"/>
        <v>21.173919746420339</v>
      </c>
      <c r="N59" s="34">
        <f>'J) Plafonnement effort'!G58+'J) Plafonnement effort'!H58-'K) Plafonnement aide'!I58</f>
        <v>42.177345441258694</v>
      </c>
      <c r="O59" s="34">
        <f t="shared" si="3"/>
        <v>63.351265187679033</v>
      </c>
      <c r="P59" s="48">
        <f t="shared" si="4"/>
        <v>0</v>
      </c>
      <c r="Q59" s="58">
        <f t="shared" si="5"/>
        <v>0</v>
      </c>
      <c r="R59" s="151">
        <f t="shared" si="6"/>
        <v>63.351265187679033</v>
      </c>
      <c r="S59" s="131">
        <f t="shared" si="7"/>
        <v>2.3512651876790329</v>
      </c>
      <c r="T59" s="150">
        <f t="shared" si="8"/>
        <v>0</v>
      </c>
      <c r="V59" s="12"/>
    </row>
    <row r="60" spans="1:22" x14ac:dyDescent="0.25">
      <c r="A60" s="50">
        <f>'A) Base RI'!A61</f>
        <v>5490</v>
      </c>
      <c r="B60" s="437" t="str">
        <f>'A) Base RI'!B61</f>
        <v>Moiry</v>
      </c>
      <c r="C60" s="156">
        <v>129195.99371135344</v>
      </c>
      <c r="D60" s="156">
        <v>-36308.973848773749</v>
      </c>
      <c r="E60" s="156">
        <v>0</v>
      </c>
      <c r="F60" s="156">
        <v>0</v>
      </c>
      <c r="G60" s="156">
        <v>0</v>
      </c>
      <c r="H60" s="440">
        <f t="shared" si="0"/>
        <v>92887.019862579691</v>
      </c>
      <c r="I60" s="156">
        <v>8164.7235802469131</v>
      </c>
      <c r="J60" s="443">
        <f>'B) D RI'!U61</f>
        <v>9296.4079999999994</v>
      </c>
      <c r="K60" s="67">
        <f t="shared" si="1"/>
        <v>11.376627628558449</v>
      </c>
      <c r="L60" s="34">
        <f>'B) D RI'!S61</f>
        <v>80</v>
      </c>
      <c r="M60" s="34">
        <f t="shared" si="2"/>
        <v>68.623372371441548</v>
      </c>
      <c r="N60" s="34">
        <f>'J) Plafonnement effort'!G59+'J) Plafonnement effort'!H59-'K) Plafonnement aide'!I59</f>
        <v>14.732526739663776</v>
      </c>
      <c r="O60" s="34">
        <f t="shared" si="3"/>
        <v>83.355899111105316</v>
      </c>
      <c r="P60" s="48">
        <f t="shared" si="4"/>
        <v>0</v>
      </c>
      <c r="Q60" s="58">
        <f t="shared" si="5"/>
        <v>0</v>
      </c>
      <c r="R60" s="151">
        <f t="shared" si="6"/>
        <v>83.355899111105316</v>
      </c>
      <c r="S60" s="131">
        <f t="shared" si="7"/>
        <v>3.355899111105316</v>
      </c>
      <c r="T60" s="150">
        <f t="shared" si="8"/>
        <v>0</v>
      </c>
      <c r="V60" s="12"/>
    </row>
    <row r="61" spans="1:22" x14ac:dyDescent="0.25">
      <c r="A61" s="50">
        <f>'A) Base RI'!A62</f>
        <v>5491</v>
      </c>
      <c r="B61" s="437" t="str">
        <f>'A) Base RI'!B62</f>
        <v>Mont-la-Ville</v>
      </c>
      <c r="C61" s="156">
        <v>181958.40853453299</v>
      </c>
      <c r="D61" s="156">
        <v>-33046.802065969736</v>
      </c>
      <c r="E61" s="156">
        <v>0</v>
      </c>
      <c r="F61" s="156">
        <v>0</v>
      </c>
      <c r="G61" s="156">
        <v>0</v>
      </c>
      <c r="H61" s="440">
        <f t="shared" si="0"/>
        <v>148911.60646856326</v>
      </c>
      <c r="I61" s="156">
        <v>10538.480394736844</v>
      </c>
      <c r="J61" s="443">
        <f>'B) D RI'!U62</f>
        <v>12324.548552631581</v>
      </c>
      <c r="K61" s="67">
        <f t="shared" si="1"/>
        <v>14.130273140986541</v>
      </c>
      <c r="L61" s="34">
        <f>'B) D RI'!S62</f>
        <v>76</v>
      </c>
      <c r="M61" s="34">
        <f t="shared" ref="M61:M114" si="9">L61-K61</f>
        <v>61.869726859013461</v>
      </c>
      <c r="N61" s="34">
        <f>'J) Plafonnement effort'!G60+'J) Plafonnement effort'!H60-'K) Plafonnement aide'!I60</f>
        <v>4.8957858338992271</v>
      </c>
      <c r="O61" s="34">
        <f t="shared" ref="O61:O114" si="10">M61+N61</f>
        <v>66.765512692912694</v>
      </c>
      <c r="P61" s="48">
        <f t="shared" ref="P61:P114" si="11">IF(O61&gt;$P$5,$P$5-O61,0)</f>
        <v>0</v>
      </c>
      <c r="Q61" s="58">
        <f t="shared" si="5"/>
        <v>0</v>
      </c>
      <c r="R61" s="151">
        <f t="shared" ref="R61:R114" si="12">O61+P61</f>
        <v>66.765512692912694</v>
      </c>
      <c r="S61" s="131">
        <f t="shared" ref="S61:S114" si="13">R61-L61</f>
        <v>-9.2344873070873064</v>
      </c>
      <c r="T61" s="150">
        <f t="shared" si="8"/>
        <v>0</v>
      </c>
      <c r="V61" s="12"/>
    </row>
    <row r="62" spans="1:22" x14ac:dyDescent="0.25">
      <c r="A62" s="50">
        <f>'A) Base RI'!A63</f>
        <v>5492</v>
      </c>
      <c r="B62" s="437" t="str">
        <f>'A) Base RI'!B63</f>
        <v>Montricher</v>
      </c>
      <c r="C62" s="156">
        <v>8769645.6939990465</v>
      </c>
      <c r="D62" s="156">
        <v>2857352.6973659601</v>
      </c>
      <c r="E62" s="156">
        <v>0</v>
      </c>
      <c r="F62" s="156">
        <v>0</v>
      </c>
      <c r="G62" s="156">
        <v>0</v>
      </c>
      <c r="H62" s="440">
        <f t="shared" si="0"/>
        <v>11626998.391365007</v>
      </c>
      <c r="I62" s="156">
        <v>223685.74057291666</v>
      </c>
      <c r="J62" s="443">
        <f>'B) D RI'!U63</f>
        <v>236409.63453124999</v>
      </c>
      <c r="K62" s="67">
        <f t="shared" ref="K62:K116" si="14">H62/I62</f>
        <v>51.979166671891001</v>
      </c>
      <c r="L62" s="34">
        <f>'B) D RI'!S63</f>
        <v>64</v>
      </c>
      <c r="M62" s="34">
        <f t="shared" si="9"/>
        <v>12.020833328108999</v>
      </c>
      <c r="N62" s="34">
        <f>'J) Plafonnement effort'!G61+'J) Plafonnement effort'!H61-'K) Plafonnement aide'!I61</f>
        <v>45</v>
      </c>
      <c r="O62" s="34">
        <f t="shared" si="10"/>
        <v>57.020833328108999</v>
      </c>
      <c r="P62" s="48">
        <f t="shared" si="11"/>
        <v>0</v>
      </c>
      <c r="Q62" s="58">
        <f t="shared" si="5"/>
        <v>0</v>
      </c>
      <c r="R62" s="151">
        <f t="shared" si="12"/>
        <v>57.020833328108999</v>
      </c>
      <c r="S62" s="131">
        <f t="shared" si="13"/>
        <v>-6.9791666718910008</v>
      </c>
      <c r="T62" s="150">
        <f t="shared" si="8"/>
        <v>0</v>
      </c>
      <c r="V62" s="12"/>
    </row>
    <row r="63" spans="1:22" x14ac:dyDescent="0.25">
      <c r="A63" s="50">
        <f>'A) Base RI'!A64</f>
        <v>5493</v>
      </c>
      <c r="B63" s="437" t="str">
        <f>'A) Base RI'!B64</f>
        <v>Orny</v>
      </c>
      <c r="C63" s="156">
        <v>204141.31735366752</v>
      </c>
      <c r="D63" s="156">
        <v>20062.703460636258</v>
      </c>
      <c r="E63" s="156">
        <v>0</v>
      </c>
      <c r="F63" s="156">
        <v>0</v>
      </c>
      <c r="G63" s="156">
        <v>0</v>
      </c>
      <c r="H63" s="440">
        <f t="shared" si="0"/>
        <v>224204.02081430377</v>
      </c>
      <c r="I63" s="156">
        <v>9903.4061011591148</v>
      </c>
      <c r="J63" s="443">
        <f>'B) D RI'!U64</f>
        <v>10717.748314014751</v>
      </c>
      <c r="K63" s="67">
        <f t="shared" si="14"/>
        <v>22.639081799146101</v>
      </c>
      <c r="L63" s="34">
        <f>'B) D RI'!S64</f>
        <v>73</v>
      </c>
      <c r="M63" s="34">
        <f t="shared" si="9"/>
        <v>50.360918200853902</v>
      </c>
      <c r="N63" s="34">
        <f>'J) Plafonnement effort'!G62+'J) Plafonnement effort'!H62-'K) Plafonnement aide'!I62</f>
        <v>-37.832470348321991</v>
      </c>
      <c r="O63" s="34">
        <f t="shared" si="10"/>
        <v>12.528447852531912</v>
      </c>
      <c r="P63" s="48">
        <f t="shared" si="11"/>
        <v>0</v>
      </c>
      <c r="Q63" s="58">
        <f t="shared" ref="Q63:Q117" si="15">P63*J63</f>
        <v>0</v>
      </c>
      <c r="R63" s="151">
        <f t="shared" si="12"/>
        <v>12.528447852531912</v>
      </c>
      <c r="S63" s="131">
        <f t="shared" si="13"/>
        <v>-60.471552147468088</v>
      </c>
      <c r="T63" s="150">
        <f t="shared" si="8"/>
        <v>0</v>
      </c>
      <c r="V63" s="12"/>
    </row>
    <row r="64" spans="1:22" x14ac:dyDescent="0.25">
      <c r="A64" s="50">
        <f>'A) Base RI'!A65</f>
        <v>5494</v>
      </c>
      <c r="B64" s="437" t="str">
        <f>'A) Base RI'!B65</f>
        <v>Pampigny</v>
      </c>
      <c r="C64" s="156">
        <v>588231.47171167308</v>
      </c>
      <c r="D64" s="156">
        <v>252487.41139912297</v>
      </c>
      <c r="E64" s="156">
        <v>0</v>
      </c>
      <c r="F64" s="156">
        <v>0</v>
      </c>
      <c r="G64" s="156">
        <v>0</v>
      </c>
      <c r="H64" s="440">
        <f t="shared" si="0"/>
        <v>840718.8831107961</v>
      </c>
      <c r="I64" s="156">
        <v>37200.871473015875</v>
      </c>
      <c r="J64" s="443">
        <f>'B) D RI'!U65</f>
        <v>37813.321536507938</v>
      </c>
      <c r="K64" s="67">
        <f t="shared" si="14"/>
        <v>22.599440545918991</v>
      </c>
      <c r="L64" s="34">
        <f>'B) D RI'!S65</f>
        <v>75</v>
      </c>
      <c r="M64" s="34">
        <f t="shared" si="9"/>
        <v>52.400559454081005</v>
      </c>
      <c r="N64" s="34">
        <f>'J) Plafonnement effort'!G63+'J) Plafonnement effort'!H63-'K) Plafonnement aide'!I63</f>
        <v>21.586052513066363</v>
      </c>
      <c r="O64" s="34">
        <f t="shared" si="10"/>
        <v>73.986611967147368</v>
      </c>
      <c r="P64" s="48">
        <f t="shared" si="11"/>
        <v>0</v>
      </c>
      <c r="Q64" s="58">
        <f t="shared" si="15"/>
        <v>0</v>
      </c>
      <c r="R64" s="151">
        <f t="shared" si="12"/>
        <v>73.986611967147368</v>
      </c>
      <c r="S64" s="131">
        <f t="shared" si="13"/>
        <v>-1.0133880328526317</v>
      </c>
      <c r="T64" s="150">
        <f t="shared" si="8"/>
        <v>0</v>
      </c>
      <c r="V64" s="12"/>
    </row>
    <row r="65" spans="1:22" x14ac:dyDescent="0.25">
      <c r="A65" s="50">
        <f>'A) Base RI'!A66</f>
        <v>5495</v>
      </c>
      <c r="B65" s="437" t="str">
        <f>'A) Base RI'!B66</f>
        <v>Penthalaz</v>
      </c>
      <c r="C65" s="156">
        <v>1783780.8777724958</v>
      </c>
      <c r="D65" s="156">
        <v>-363303.07274893555</v>
      </c>
      <c r="E65" s="156">
        <v>0</v>
      </c>
      <c r="F65" s="156">
        <v>0</v>
      </c>
      <c r="G65" s="156">
        <v>0</v>
      </c>
      <c r="H65" s="440">
        <f t="shared" si="0"/>
        <v>1420477.8050235603</v>
      </c>
      <c r="I65" s="156">
        <v>93529.013513513521</v>
      </c>
      <c r="J65" s="443">
        <f>'B) D RI'!U66</f>
        <v>92917.674594594588</v>
      </c>
      <c r="K65" s="67">
        <f t="shared" si="14"/>
        <v>15.187563213401399</v>
      </c>
      <c r="L65" s="34">
        <f>'B) D RI'!S66</f>
        <v>74</v>
      </c>
      <c r="M65" s="34">
        <f t="shared" si="9"/>
        <v>58.812436786598603</v>
      </c>
      <c r="N65" s="34">
        <f>'J) Plafonnement effort'!G64+'J) Plafonnement effort'!H64-'K) Plafonnement aide'!I64</f>
        <v>7.8775904809176254</v>
      </c>
      <c r="O65" s="34">
        <f t="shared" si="10"/>
        <v>66.690027267516228</v>
      </c>
      <c r="P65" s="48">
        <f t="shared" si="11"/>
        <v>0</v>
      </c>
      <c r="Q65" s="58">
        <f t="shared" si="15"/>
        <v>0</v>
      </c>
      <c r="R65" s="151">
        <f t="shared" si="12"/>
        <v>66.690027267516228</v>
      </c>
      <c r="S65" s="131">
        <f t="shared" si="13"/>
        <v>-7.3099727324837716</v>
      </c>
      <c r="T65" s="150">
        <f t="shared" si="8"/>
        <v>0</v>
      </c>
      <c r="V65" s="12"/>
    </row>
    <row r="66" spans="1:22" x14ac:dyDescent="0.25">
      <c r="A66" s="50">
        <f>'A) Base RI'!A67</f>
        <v>5496</v>
      </c>
      <c r="B66" s="437" t="str">
        <f>'A) Base RI'!B67</f>
        <v>Penthaz</v>
      </c>
      <c r="C66" s="156">
        <v>976561.4911146129</v>
      </c>
      <c r="D66" s="156">
        <v>234441.37989810179</v>
      </c>
      <c r="E66" s="156">
        <v>0</v>
      </c>
      <c r="F66" s="156">
        <v>0</v>
      </c>
      <c r="G66" s="156">
        <v>0</v>
      </c>
      <c r="H66" s="440">
        <f t="shared" si="0"/>
        <v>1211002.8710127147</v>
      </c>
      <c r="I66" s="156">
        <v>55364.179859154945</v>
      </c>
      <c r="J66" s="443">
        <f>'B) D RI'!U67</f>
        <v>57442.135633802813</v>
      </c>
      <c r="K66" s="67">
        <f t="shared" si="14"/>
        <v>21.873400348266244</v>
      </c>
      <c r="L66" s="34">
        <f>'B) D RI'!S67</f>
        <v>71</v>
      </c>
      <c r="M66" s="34">
        <f t="shared" si="9"/>
        <v>49.126599651733756</v>
      </c>
      <c r="N66" s="34">
        <f>'J) Plafonnement effort'!G65+'J) Plafonnement effort'!H65-'K) Plafonnement aide'!I65</f>
        <v>20.428576102658631</v>
      </c>
      <c r="O66" s="34">
        <f t="shared" si="10"/>
        <v>69.555175754392394</v>
      </c>
      <c r="P66" s="48">
        <f t="shared" si="11"/>
        <v>0</v>
      </c>
      <c r="Q66" s="58">
        <f t="shared" si="15"/>
        <v>0</v>
      </c>
      <c r="R66" s="151">
        <f t="shared" si="12"/>
        <v>69.555175754392394</v>
      </c>
      <c r="S66" s="131">
        <f t="shared" si="13"/>
        <v>-1.4448242456076059</v>
      </c>
      <c r="T66" s="150">
        <f t="shared" si="8"/>
        <v>0</v>
      </c>
      <c r="V66" s="12"/>
    </row>
    <row r="67" spans="1:22" x14ac:dyDescent="0.25">
      <c r="A67" s="50">
        <f>'A) Base RI'!A68</f>
        <v>5497</v>
      </c>
      <c r="B67" s="437" t="str">
        <f>'A) Base RI'!B68</f>
        <v>Pompaples</v>
      </c>
      <c r="C67" s="156">
        <v>578348.44832383166</v>
      </c>
      <c r="D67" s="156">
        <v>32532.335258142673</v>
      </c>
      <c r="E67" s="156">
        <v>0</v>
      </c>
      <c r="F67" s="156">
        <v>0</v>
      </c>
      <c r="G67" s="156">
        <v>0</v>
      </c>
      <c r="H67" s="440">
        <f t="shared" si="0"/>
        <v>610880.78358197433</v>
      </c>
      <c r="I67" s="156">
        <v>21756.171818181818</v>
      </c>
      <c r="J67" s="443">
        <f>'B) D RI'!U68</f>
        <v>22516.582121212119</v>
      </c>
      <c r="K67" s="67">
        <f t="shared" si="14"/>
        <v>28.078505202438972</v>
      </c>
      <c r="L67" s="34">
        <f>'B) D RI'!S68</f>
        <v>66</v>
      </c>
      <c r="M67" s="34">
        <f t="shared" si="9"/>
        <v>37.921494797561024</v>
      </c>
      <c r="N67" s="34">
        <f>'J) Plafonnement effort'!G66+'J) Plafonnement effort'!H66-'K) Plafonnement aide'!I66</f>
        <v>15.966583080211553</v>
      </c>
      <c r="O67" s="34">
        <f t="shared" si="10"/>
        <v>53.888077877772574</v>
      </c>
      <c r="P67" s="48">
        <f t="shared" si="11"/>
        <v>0</v>
      </c>
      <c r="Q67" s="58">
        <f t="shared" si="15"/>
        <v>0</v>
      </c>
      <c r="R67" s="151">
        <f t="shared" si="12"/>
        <v>53.888077877772574</v>
      </c>
      <c r="S67" s="131">
        <f t="shared" si="13"/>
        <v>-12.111922122227426</v>
      </c>
      <c r="T67" s="150">
        <f t="shared" si="8"/>
        <v>0</v>
      </c>
      <c r="V67" s="12"/>
    </row>
    <row r="68" spans="1:22" x14ac:dyDescent="0.25">
      <c r="A68" s="50">
        <f>'A) Base RI'!A69</f>
        <v>5498</v>
      </c>
      <c r="B68" s="437" t="str">
        <f>'A) Base RI'!B69</f>
        <v>La Sarraz</v>
      </c>
      <c r="C68" s="156">
        <v>1510592.0026750276</v>
      </c>
      <c r="D68" s="156">
        <v>-104742.70032659243</v>
      </c>
      <c r="E68" s="156">
        <v>0</v>
      </c>
      <c r="F68" s="156">
        <v>0</v>
      </c>
      <c r="G68" s="156">
        <v>0</v>
      </c>
      <c r="H68" s="440">
        <f t="shared" si="0"/>
        <v>1405849.3023484352</v>
      </c>
      <c r="I68" s="156">
        <v>71866.729696969705</v>
      </c>
      <c r="J68" s="443">
        <f>'B) D RI'!U69</f>
        <v>78201.916969696991</v>
      </c>
      <c r="K68" s="67">
        <f t="shared" si="14"/>
        <v>19.561893358391032</v>
      </c>
      <c r="L68" s="34">
        <f>'B) D RI'!S69</f>
        <v>66</v>
      </c>
      <c r="M68" s="34">
        <f t="shared" si="9"/>
        <v>46.438106641608968</v>
      </c>
      <c r="N68" s="34">
        <f>'J) Plafonnement effort'!G67+'J) Plafonnement effort'!H67-'K) Plafonnement aide'!I67</f>
        <v>11.386847760611648</v>
      </c>
      <c r="O68" s="34">
        <f t="shared" si="10"/>
        <v>57.824954402220612</v>
      </c>
      <c r="P68" s="48">
        <f t="shared" si="11"/>
        <v>0</v>
      </c>
      <c r="Q68" s="58">
        <f t="shared" si="15"/>
        <v>0</v>
      </c>
      <c r="R68" s="151">
        <f t="shared" si="12"/>
        <v>57.824954402220612</v>
      </c>
      <c r="S68" s="131">
        <f t="shared" si="13"/>
        <v>-8.1750455977793877</v>
      </c>
      <c r="T68" s="150">
        <f t="shared" si="8"/>
        <v>0</v>
      </c>
      <c r="V68" s="12"/>
    </row>
    <row r="69" spans="1:22" x14ac:dyDescent="0.25">
      <c r="A69" s="50">
        <f>'A) Base RI'!A70</f>
        <v>5499</v>
      </c>
      <c r="B69" s="437" t="str">
        <f>'A) Base RI'!B70</f>
        <v>Senarclens</v>
      </c>
      <c r="C69" s="156">
        <v>481464.42373190937</v>
      </c>
      <c r="D69" s="156">
        <v>280241.93487286271</v>
      </c>
      <c r="E69" s="156">
        <v>0</v>
      </c>
      <c r="F69" s="156">
        <v>0</v>
      </c>
      <c r="G69" s="156">
        <v>0</v>
      </c>
      <c r="H69" s="440">
        <f t="shared" si="0"/>
        <v>761706.35860477202</v>
      </c>
      <c r="I69" s="156">
        <v>20247.622335766424</v>
      </c>
      <c r="J69" s="443">
        <f>'B) D RI'!U70</f>
        <v>23886.663649635037</v>
      </c>
      <c r="K69" s="67">
        <f t="shared" si="14"/>
        <v>37.619545938451026</v>
      </c>
      <c r="L69" s="34">
        <f>'B) D RI'!S70</f>
        <v>68.5</v>
      </c>
      <c r="M69" s="34">
        <f t="shared" si="9"/>
        <v>30.880454061548974</v>
      </c>
      <c r="N69" s="34">
        <f>'J) Plafonnement effort'!G68+'J) Plafonnement effort'!H68-'K) Plafonnement aide'!I68</f>
        <v>33.507539338820251</v>
      </c>
      <c r="O69" s="34">
        <f t="shared" si="10"/>
        <v>64.387993400369226</v>
      </c>
      <c r="P69" s="48">
        <f t="shared" si="11"/>
        <v>0</v>
      </c>
      <c r="Q69" s="58">
        <f t="shared" si="15"/>
        <v>0</v>
      </c>
      <c r="R69" s="151">
        <f t="shared" si="12"/>
        <v>64.387993400369226</v>
      </c>
      <c r="S69" s="131">
        <f t="shared" si="13"/>
        <v>-4.1120065996307744</v>
      </c>
      <c r="T69" s="150">
        <f t="shared" si="8"/>
        <v>0</v>
      </c>
      <c r="V69" s="12"/>
    </row>
    <row r="70" spans="1:22" x14ac:dyDescent="0.25">
      <c r="A70" s="50">
        <f>'A) Base RI'!A71</f>
        <v>5500</v>
      </c>
      <c r="B70" s="437" t="str">
        <f>'A) Base RI'!B71</f>
        <v>Sévery</v>
      </c>
      <c r="C70" s="156">
        <v>150841.165834532</v>
      </c>
      <c r="D70" s="156">
        <v>109364.82745640835</v>
      </c>
      <c r="E70" s="156">
        <v>0</v>
      </c>
      <c r="F70" s="156">
        <v>0</v>
      </c>
      <c r="G70" s="156">
        <v>0</v>
      </c>
      <c r="H70" s="440">
        <f t="shared" si="0"/>
        <v>260205.99329094036</v>
      </c>
      <c r="I70" s="156">
        <v>8952.9604888888862</v>
      </c>
      <c r="J70" s="443">
        <f>'B) D RI'!U71</f>
        <v>6331.5331555555558</v>
      </c>
      <c r="K70" s="67">
        <f t="shared" si="14"/>
        <v>29.063681629542568</v>
      </c>
      <c r="L70" s="34">
        <f>'B) D RI'!S71</f>
        <v>75</v>
      </c>
      <c r="M70" s="34">
        <f t="shared" si="9"/>
        <v>45.936318370457428</v>
      </c>
      <c r="N70" s="34">
        <f>'J) Plafonnement effort'!G69+'J) Plafonnement effort'!H69-'K) Plafonnement aide'!I69</f>
        <v>16.50596313244036</v>
      </c>
      <c r="O70" s="34">
        <f t="shared" si="10"/>
        <v>62.442281502897785</v>
      </c>
      <c r="P70" s="48">
        <f t="shared" si="11"/>
        <v>0</v>
      </c>
      <c r="Q70" s="58">
        <f t="shared" si="15"/>
        <v>0</v>
      </c>
      <c r="R70" s="151">
        <f t="shared" si="12"/>
        <v>62.442281502897785</v>
      </c>
      <c r="S70" s="131">
        <f t="shared" si="13"/>
        <v>-12.557718497102215</v>
      </c>
      <c r="T70" s="150">
        <f t="shared" si="8"/>
        <v>0</v>
      </c>
      <c r="V70" s="12"/>
    </row>
    <row r="71" spans="1:22" x14ac:dyDescent="0.25">
      <c r="A71" s="50">
        <f>'A) Base RI'!A72</f>
        <v>5501</v>
      </c>
      <c r="B71" s="437" t="str">
        <f>'A) Base RI'!B72</f>
        <v>Sullens</v>
      </c>
      <c r="C71" s="156">
        <v>608677.21567754634</v>
      </c>
      <c r="D71" s="156">
        <v>333116.28887906519</v>
      </c>
      <c r="E71" s="156">
        <v>0</v>
      </c>
      <c r="F71" s="156">
        <v>0</v>
      </c>
      <c r="G71" s="156">
        <v>0</v>
      </c>
      <c r="H71" s="440">
        <f t="shared" ref="H71:H134" si="16">SUM(C71:G71)</f>
        <v>941793.50455661153</v>
      </c>
      <c r="I71" s="156">
        <v>34510.891142857145</v>
      </c>
      <c r="J71" s="443">
        <f>'B) D RI'!U72</f>
        <v>37812.339142857141</v>
      </c>
      <c r="K71" s="67">
        <f t="shared" si="14"/>
        <v>27.289747478790858</v>
      </c>
      <c r="L71" s="34">
        <f>'B) D RI'!S72</f>
        <v>70</v>
      </c>
      <c r="M71" s="34">
        <f t="shared" si="9"/>
        <v>42.710252521209142</v>
      </c>
      <c r="N71" s="34">
        <f>'J) Plafonnement effort'!G70+'J) Plafonnement effort'!H70-'K) Plafonnement aide'!I70</f>
        <v>28.273788531674558</v>
      </c>
      <c r="O71" s="34">
        <f t="shared" si="10"/>
        <v>70.984041052883697</v>
      </c>
      <c r="P71" s="48">
        <f t="shared" si="11"/>
        <v>0</v>
      </c>
      <c r="Q71" s="58">
        <f t="shared" si="15"/>
        <v>0</v>
      </c>
      <c r="R71" s="151">
        <f t="shared" si="12"/>
        <v>70.984041052883697</v>
      </c>
      <c r="S71" s="131">
        <f t="shared" si="13"/>
        <v>0.98404105288369692</v>
      </c>
      <c r="T71" s="150">
        <f t="shared" ref="T71:T134" si="17">+C71+D71+E71+F71+G71-H71</f>
        <v>0</v>
      </c>
      <c r="V71" s="12"/>
    </row>
    <row r="72" spans="1:22" x14ac:dyDescent="0.25">
      <c r="A72" s="50">
        <f>'A) Base RI'!A73</f>
        <v>5503</v>
      </c>
      <c r="B72" s="437" t="str">
        <f>'A) Base RI'!B73</f>
        <v>Vufflens-la-Ville</v>
      </c>
      <c r="C72" s="156">
        <v>1185959.6517711342</v>
      </c>
      <c r="D72" s="156">
        <v>1087715.1402086059</v>
      </c>
      <c r="E72" s="156">
        <v>0</v>
      </c>
      <c r="F72" s="156">
        <v>0</v>
      </c>
      <c r="G72" s="156">
        <v>0</v>
      </c>
      <c r="H72" s="440">
        <f t="shared" si="16"/>
        <v>2273674.7919797404</v>
      </c>
      <c r="I72" s="156">
        <v>69488.630199004954</v>
      </c>
      <c r="J72" s="443">
        <f>'B) D RI'!U73</f>
        <v>77893.035572139299</v>
      </c>
      <c r="K72" s="67">
        <f t="shared" si="14"/>
        <v>32.720098028530408</v>
      </c>
      <c r="L72" s="34">
        <f>'B) D RI'!S73</f>
        <v>67</v>
      </c>
      <c r="M72" s="34">
        <f t="shared" si="9"/>
        <v>34.279901971469592</v>
      </c>
      <c r="N72" s="34">
        <f>'J) Plafonnement effort'!G71+'J) Plafonnement effort'!H71-'K) Plafonnement aide'!I71</f>
        <v>37.493757101683912</v>
      </c>
      <c r="O72" s="34">
        <f t="shared" si="10"/>
        <v>71.77365907315351</v>
      </c>
      <c r="P72" s="48">
        <f t="shared" si="11"/>
        <v>0</v>
      </c>
      <c r="Q72" s="58">
        <f t="shared" si="15"/>
        <v>0</v>
      </c>
      <c r="R72" s="151">
        <f t="shared" si="12"/>
        <v>71.77365907315351</v>
      </c>
      <c r="S72" s="131">
        <f t="shared" si="13"/>
        <v>4.7736590731535102</v>
      </c>
      <c r="T72" s="150">
        <f t="shared" si="17"/>
        <v>0</v>
      </c>
      <c r="V72" s="12"/>
    </row>
    <row r="73" spans="1:22" x14ac:dyDescent="0.25">
      <c r="A73" s="50">
        <f>'A) Base RI'!A74</f>
        <v>5511</v>
      </c>
      <c r="B73" s="437" t="str">
        <f>'A) Base RI'!B74</f>
        <v>Assens</v>
      </c>
      <c r="C73" s="156">
        <v>788657.82554249</v>
      </c>
      <c r="D73" s="156">
        <v>793404.83886683569</v>
      </c>
      <c r="E73" s="156">
        <v>0</v>
      </c>
      <c r="F73" s="156">
        <v>0</v>
      </c>
      <c r="G73" s="156">
        <v>0</v>
      </c>
      <c r="H73" s="440">
        <f t="shared" si="16"/>
        <v>1582062.6644093257</v>
      </c>
      <c r="I73" s="156">
        <v>49567.304285714286</v>
      </c>
      <c r="J73" s="443">
        <f>'B) D RI'!U74</f>
        <v>45641.470857142856</v>
      </c>
      <c r="K73" s="67">
        <f t="shared" si="14"/>
        <v>31.917464288355287</v>
      </c>
      <c r="L73" s="34">
        <f>'B) D RI'!S74</f>
        <v>70</v>
      </c>
      <c r="M73" s="34">
        <f t="shared" si="9"/>
        <v>38.082535711644709</v>
      </c>
      <c r="N73" s="34">
        <f>'J) Plafonnement effort'!G72+'J) Plafonnement effort'!H72-'K) Plafonnement aide'!I72</f>
        <v>24.355901890125871</v>
      </c>
      <c r="O73" s="34">
        <f t="shared" si="10"/>
        <v>62.43843760177058</v>
      </c>
      <c r="P73" s="48">
        <f t="shared" si="11"/>
        <v>0</v>
      </c>
      <c r="Q73" s="58">
        <f t="shared" si="15"/>
        <v>0</v>
      </c>
      <c r="R73" s="151">
        <f t="shared" si="12"/>
        <v>62.43843760177058</v>
      </c>
      <c r="S73" s="131">
        <f t="shared" si="13"/>
        <v>-7.5615623982294196</v>
      </c>
      <c r="T73" s="150">
        <f t="shared" si="17"/>
        <v>0</v>
      </c>
      <c r="V73" s="12"/>
    </row>
    <row r="74" spans="1:22" x14ac:dyDescent="0.25">
      <c r="A74" s="50">
        <f>'A) Base RI'!A75</f>
        <v>5512</v>
      </c>
      <c r="B74" s="437" t="str">
        <f>'A) Base RI'!B75</f>
        <v>Bercher</v>
      </c>
      <c r="C74" s="156">
        <v>694893.81368238374</v>
      </c>
      <c r="D74" s="156">
        <v>126510.63641067117</v>
      </c>
      <c r="E74" s="156">
        <v>0</v>
      </c>
      <c r="F74" s="156">
        <v>0</v>
      </c>
      <c r="G74" s="156">
        <v>0</v>
      </c>
      <c r="H74" s="440">
        <f t="shared" si="16"/>
        <v>821404.45009305491</v>
      </c>
      <c r="I74" s="156">
        <v>38296.029873417712</v>
      </c>
      <c r="J74" s="443">
        <f>'B) D RI'!U75</f>
        <v>37783.595443037979</v>
      </c>
      <c r="K74" s="67">
        <f t="shared" si="14"/>
        <v>21.448814741582744</v>
      </c>
      <c r="L74" s="34">
        <f>'B) D RI'!S75</f>
        <v>79</v>
      </c>
      <c r="M74" s="34">
        <f t="shared" si="9"/>
        <v>57.551185258417256</v>
      </c>
      <c r="N74" s="34">
        <f>'J) Plafonnement effort'!G73+'J) Plafonnement effort'!H73-'K) Plafonnement aide'!I73</f>
        <v>16.261302677895454</v>
      </c>
      <c r="O74" s="34">
        <f t="shared" si="10"/>
        <v>73.812487936312706</v>
      </c>
      <c r="P74" s="48">
        <f t="shared" si="11"/>
        <v>0</v>
      </c>
      <c r="Q74" s="58">
        <f t="shared" si="15"/>
        <v>0</v>
      </c>
      <c r="R74" s="151">
        <f t="shared" si="12"/>
        <v>73.812487936312706</v>
      </c>
      <c r="S74" s="131">
        <f t="shared" si="13"/>
        <v>-5.1875120636872936</v>
      </c>
      <c r="T74" s="150">
        <f t="shared" si="17"/>
        <v>0</v>
      </c>
      <c r="V74" s="12"/>
    </row>
    <row r="75" spans="1:22" x14ac:dyDescent="0.25">
      <c r="A75" s="50">
        <f>'A) Base RI'!A76</f>
        <v>5513</v>
      </c>
      <c r="B75" s="437" t="str">
        <f>'A) Base RI'!B76</f>
        <v>Bioley-Orjulaz</v>
      </c>
      <c r="C75" s="156">
        <v>562991.20597539423</v>
      </c>
      <c r="D75" s="156">
        <v>380754.28858041007</v>
      </c>
      <c r="E75" s="156">
        <v>0</v>
      </c>
      <c r="F75" s="156">
        <v>0</v>
      </c>
      <c r="G75" s="156">
        <v>0</v>
      </c>
      <c r="H75" s="440">
        <f t="shared" si="16"/>
        <v>943745.4945558043</v>
      </c>
      <c r="I75" s="156">
        <v>23261.0975</v>
      </c>
      <c r="J75" s="443">
        <f>'B) D RI'!U76</f>
        <v>23108.127499999999</v>
      </c>
      <c r="K75" s="67">
        <f t="shared" si="14"/>
        <v>40.571838648447446</v>
      </c>
      <c r="L75" s="34">
        <f>'B) D RI'!S76</f>
        <v>68</v>
      </c>
      <c r="M75" s="34">
        <f t="shared" si="9"/>
        <v>27.428161351552554</v>
      </c>
      <c r="N75" s="34">
        <f>'J) Plafonnement effort'!G74+'J) Plafonnement effort'!H74-'K) Plafonnement aide'!I74</f>
        <v>34.805635653733546</v>
      </c>
      <c r="O75" s="34">
        <f t="shared" si="10"/>
        <v>62.2337970052861</v>
      </c>
      <c r="P75" s="48">
        <f t="shared" si="11"/>
        <v>0</v>
      </c>
      <c r="Q75" s="58">
        <f t="shared" si="15"/>
        <v>0</v>
      </c>
      <c r="R75" s="151">
        <f t="shared" si="12"/>
        <v>62.2337970052861</v>
      </c>
      <c r="S75" s="131">
        <f t="shared" si="13"/>
        <v>-5.7662029947139004</v>
      </c>
      <c r="T75" s="150">
        <f t="shared" si="17"/>
        <v>0</v>
      </c>
      <c r="V75" s="12"/>
    </row>
    <row r="76" spans="1:22" x14ac:dyDescent="0.25">
      <c r="A76" s="50">
        <f>'A) Base RI'!A77</f>
        <v>5514</v>
      </c>
      <c r="B76" s="437" t="str">
        <f>'A) Base RI'!B77</f>
        <v>Bottens</v>
      </c>
      <c r="C76" s="156">
        <v>678688.98332242901</v>
      </c>
      <c r="D76" s="156">
        <v>275814.95703512453</v>
      </c>
      <c r="E76" s="156">
        <v>0</v>
      </c>
      <c r="F76" s="156">
        <v>0</v>
      </c>
      <c r="G76" s="156">
        <v>0</v>
      </c>
      <c r="H76" s="440">
        <f t="shared" si="16"/>
        <v>954503.94035755354</v>
      </c>
      <c r="I76" s="156">
        <v>41051.716376811593</v>
      </c>
      <c r="J76" s="443">
        <f>'B) D RI'!U77</f>
        <v>44799.851014492742</v>
      </c>
      <c r="K76" s="67">
        <f t="shared" si="14"/>
        <v>23.251255357905404</v>
      </c>
      <c r="L76" s="34">
        <f>'B) D RI'!S77</f>
        <v>69</v>
      </c>
      <c r="M76" s="34">
        <f t="shared" si="9"/>
        <v>45.748744642094593</v>
      </c>
      <c r="N76" s="34">
        <f>'J) Plafonnement effort'!G75+'J) Plafonnement effort'!H75-'K) Plafonnement aide'!I75</f>
        <v>24.500013479132221</v>
      </c>
      <c r="O76" s="34">
        <f t="shared" si="10"/>
        <v>70.248758121226814</v>
      </c>
      <c r="P76" s="48">
        <f t="shared" si="11"/>
        <v>0</v>
      </c>
      <c r="Q76" s="58">
        <f t="shared" si="15"/>
        <v>0</v>
      </c>
      <c r="R76" s="151">
        <f t="shared" si="12"/>
        <v>70.248758121226814</v>
      </c>
      <c r="S76" s="131">
        <f t="shared" si="13"/>
        <v>1.248758121226814</v>
      </c>
      <c r="T76" s="150">
        <f t="shared" si="17"/>
        <v>0</v>
      </c>
      <c r="V76" s="12"/>
    </row>
    <row r="77" spans="1:22" x14ac:dyDescent="0.25">
      <c r="A77" s="50">
        <f>'A) Base RI'!A78</f>
        <v>5515</v>
      </c>
      <c r="B77" s="437" t="str">
        <f>'A) Base RI'!B78</f>
        <v>Bretigny-sur-Morrens</v>
      </c>
      <c r="C77" s="156">
        <v>472251.07485512219</v>
      </c>
      <c r="D77" s="156">
        <v>236435.15587242192</v>
      </c>
      <c r="E77" s="156">
        <v>0</v>
      </c>
      <c r="F77" s="156">
        <v>0</v>
      </c>
      <c r="G77" s="156">
        <v>0</v>
      </c>
      <c r="H77" s="440">
        <f t="shared" si="16"/>
        <v>708686.23072754405</v>
      </c>
      <c r="I77" s="156">
        <v>27741.095753424659</v>
      </c>
      <c r="J77" s="443">
        <f>'B) D RI'!U78</f>
        <v>28902.998888888895</v>
      </c>
      <c r="K77" s="67">
        <f t="shared" si="14"/>
        <v>25.546439730667675</v>
      </c>
      <c r="L77" s="34">
        <f>'B) D RI'!S78</f>
        <v>81</v>
      </c>
      <c r="M77" s="34">
        <f t="shared" si="9"/>
        <v>55.453560269332328</v>
      </c>
      <c r="N77" s="34">
        <f>'J) Plafonnement effort'!G76+'J) Plafonnement effort'!H76-'K) Plafonnement aide'!I76</f>
        <v>24.594761488542741</v>
      </c>
      <c r="O77" s="34">
        <f t="shared" si="10"/>
        <v>80.048321757875073</v>
      </c>
      <c r="P77" s="48">
        <f t="shared" si="11"/>
        <v>0</v>
      </c>
      <c r="Q77" s="58">
        <f t="shared" si="15"/>
        <v>0</v>
      </c>
      <c r="R77" s="151">
        <f t="shared" si="12"/>
        <v>80.048321757875073</v>
      </c>
      <c r="S77" s="131">
        <f t="shared" si="13"/>
        <v>-0.95167824212492746</v>
      </c>
      <c r="T77" s="150">
        <f t="shared" si="17"/>
        <v>0</v>
      </c>
      <c r="V77" s="12"/>
    </row>
    <row r="78" spans="1:22" x14ac:dyDescent="0.25">
      <c r="A78" s="50">
        <f>'A) Base RI'!A79</f>
        <v>5516</v>
      </c>
      <c r="B78" s="437" t="str">
        <f>'A) Base RI'!B79</f>
        <v>Cugy</v>
      </c>
      <c r="C78" s="156">
        <v>1978865.5916155335</v>
      </c>
      <c r="D78" s="156">
        <v>1133922.7248934782</v>
      </c>
      <c r="E78" s="156">
        <v>0</v>
      </c>
      <c r="F78" s="156">
        <v>0</v>
      </c>
      <c r="G78" s="156">
        <v>0</v>
      </c>
      <c r="H78" s="440">
        <f t="shared" si="16"/>
        <v>3112788.3165090117</v>
      </c>
      <c r="I78" s="156">
        <v>111403.80442857141</v>
      </c>
      <c r="J78" s="443">
        <f>'B) D RI'!U79</f>
        <v>111854.58641025641</v>
      </c>
      <c r="K78" s="67">
        <f t="shared" si="14"/>
        <v>27.94149026126691</v>
      </c>
      <c r="L78" s="34">
        <f>'B) D RI'!S79</f>
        <v>78</v>
      </c>
      <c r="M78" s="34">
        <f t="shared" si="9"/>
        <v>50.058509738733093</v>
      </c>
      <c r="N78" s="34">
        <f>'J) Plafonnement effort'!G77+'J) Plafonnement effort'!H77-'K) Plafonnement aide'!I77</f>
        <v>25.883117199893267</v>
      </c>
      <c r="O78" s="34">
        <f t="shared" si="10"/>
        <v>75.941626938626356</v>
      </c>
      <c r="P78" s="48">
        <f t="shared" si="11"/>
        <v>0</v>
      </c>
      <c r="Q78" s="58">
        <f t="shared" si="15"/>
        <v>0</v>
      </c>
      <c r="R78" s="151">
        <f t="shared" si="12"/>
        <v>75.941626938626356</v>
      </c>
      <c r="S78" s="131">
        <f t="shared" si="13"/>
        <v>-2.0583730613736435</v>
      </c>
      <c r="T78" s="150">
        <f t="shared" si="17"/>
        <v>0</v>
      </c>
      <c r="V78" s="12"/>
    </row>
    <row r="79" spans="1:22" x14ac:dyDescent="0.25">
      <c r="A79" s="50">
        <f>'A) Base RI'!A80</f>
        <v>5518</v>
      </c>
      <c r="B79" s="437" t="str">
        <f>'A) Base RI'!B80</f>
        <v>Echallens</v>
      </c>
      <c r="C79" s="156">
        <v>3226318.2739012502</v>
      </c>
      <c r="D79" s="156">
        <v>1826.0038154893555</v>
      </c>
      <c r="E79" s="156">
        <v>0</v>
      </c>
      <c r="F79" s="156">
        <v>0</v>
      </c>
      <c r="G79" s="156">
        <v>0</v>
      </c>
      <c r="H79" s="440">
        <f t="shared" si="16"/>
        <v>3228144.2777167396</v>
      </c>
      <c r="I79" s="156">
        <v>193638.72135135136</v>
      </c>
      <c r="J79" s="443">
        <f>'B) D RI'!U80</f>
        <v>188362.16891891891</v>
      </c>
      <c r="K79" s="67">
        <f t="shared" si="14"/>
        <v>16.670964645853932</v>
      </c>
      <c r="L79" s="34">
        <f>'B) D RI'!S80</f>
        <v>74</v>
      </c>
      <c r="M79" s="34">
        <f t="shared" si="9"/>
        <v>57.329035354146072</v>
      </c>
      <c r="N79" s="34">
        <f>'J) Plafonnement effort'!G78+'J) Plafonnement effort'!H78-'K) Plafonnement aide'!I78</f>
        <v>10.579411867126101</v>
      </c>
      <c r="O79" s="34">
        <f t="shared" si="10"/>
        <v>67.908447221272169</v>
      </c>
      <c r="P79" s="48">
        <f t="shared" si="11"/>
        <v>0</v>
      </c>
      <c r="Q79" s="58">
        <f t="shared" si="15"/>
        <v>0</v>
      </c>
      <c r="R79" s="151">
        <f t="shared" si="12"/>
        <v>67.908447221272169</v>
      </c>
      <c r="S79" s="131">
        <f t="shared" si="13"/>
        <v>-6.0915527787278307</v>
      </c>
      <c r="T79" s="150">
        <f t="shared" si="17"/>
        <v>0</v>
      </c>
      <c r="V79" s="12"/>
    </row>
    <row r="80" spans="1:22" x14ac:dyDescent="0.25">
      <c r="A80" s="50">
        <f>'A) Base RI'!A81</f>
        <v>5520</v>
      </c>
      <c r="B80" s="437" t="str">
        <f>'A) Base RI'!B81</f>
        <v>Essertines-sur-Yverdon</v>
      </c>
      <c r="C80" s="156">
        <v>582387.5491637357</v>
      </c>
      <c r="D80" s="156">
        <v>242989.14360693004</v>
      </c>
      <c r="E80" s="156">
        <v>0</v>
      </c>
      <c r="F80" s="156">
        <v>0</v>
      </c>
      <c r="G80" s="156">
        <v>0</v>
      </c>
      <c r="H80" s="440">
        <f t="shared" si="16"/>
        <v>825376.69277066574</v>
      </c>
      <c r="I80" s="156">
        <v>32024.354520547942</v>
      </c>
      <c r="J80" s="443">
        <f>'B) D RI'!U81</f>
        <v>31866.674520547935</v>
      </c>
      <c r="K80" s="67">
        <f t="shared" si="14"/>
        <v>25.773406056976896</v>
      </c>
      <c r="L80" s="34">
        <f>'B) D RI'!S81</f>
        <v>73</v>
      </c>
      <c r="M80" s="34">
        <f t="shared" si="9"/>
        <v>47.226593943023104</v>
      </c>
      <c r="N80" s="34">
        <f>'J) Plafonnement effort'!G79+'J) Plafonnement effort'!H79-'K) Plafonnement aide'!I79</f>
        <v>20.638055421843017</v>
      </c>
      <c r="O80" s="34">
        <f t="shared" si="10"/>
        <v>67.864649364866125</v>
      </c>
      <c r="P80" s="48">
        <f t="shared" si="11"/>
        <v>0</v>
      </c>
      <c r="Q80" s="58">
        <f t="shared" si="15"/>
        <v>0</v>
      </c>
      <c r="R80" s="151">
        <f t="shared" si="12"/>
        <v>67.864649364866125</v>
      </c>
      <c r="S80" s="131">
        <f t="shared" si="13"/>
        <v>-5.1353506351338751</v>
      </c>
      <c r="T80" s="150">
        <f t="shared" si="17"/>
        <v>0</v>
      </c>
      <c r="V80" s="12"/>
    </row>
    <row r="81" spans="1:22" x14ac:dyDescent="0.25">
      <c r="A81" s="50">
        <f>'A) Base RI'!A82</f>
        <v>5521</v>
      </c>
      <c r="B81" s="437" t="str">
        <f>'A) Base RI'!B82</f>
        <v>Etagnières</v>
      </c>
      <c r="C81" s="156">
        <v>716297.25097034371</v>
      </c>
      <c r="D81" s="156">
        <v>456046.30000069825</v>
      </c>
      <c r="E81" s="156">
        <v>0</v>
      </c>
      <c r="F81" s="156">
        <v>0</v>
      </c>
      <c r="G81" s="156">
        <v>0</v>
      </c>
      <c r="H81" s="440">
        <f t="shared" si="16"/>
        <v>1172343.5509710419</v>
      </c>
      <c r="I81" s="156">
        <v>41782.284931506838</v>
      </c>
      <c r="J81" s="443">
        <f>'B) D RI'!U82</f>
        <v>42985.528493150683</v>
      </c>
      <c r="K81" s="67">
        <f t="shared" si="14"/>
        <v>28.058387732811873</v>
      </c>
      <c r="L81" s="34">
        <f>'B) D RI'!S82</f>
        <v>73</v>
      </c>
      <c r="M81" s="34">
        <f t="shared" si="9"/>
        <v>44.941612267188127</v>
      </c>
      <c r="N81" s="34">
        <f>'J) Plafonnement effort'!G80+'J) Plafonnement effort'!H80-'K) Plafonnement aide'!I80</f>
        <v>28.558964534054461</v>
      </c>
      <c r="O81" s="34">
        <f t="shared" si="10"/>
        <v>73.500576801242588</v>
      </c>
      <c r="P81" s="48">
        <f t="shared" si="11"/>
        <v>0</v>
      </c>
      <c r="Q81" s="58">
        <f t="shared" si="15"/>
        <v>0</v>
      </c>
      <c r="R81" s="151">
        <f t="shared" si="12"/>
        <v>73.500576801242588</v>
      </c>
      <c r="S81" s="131">
        <f t="shared" si="13"/>
        <v>0.50057680124258752</v>
      </c>
      <c r="T81" s="150">
        <f t="shared" si="17"/>
        <v>0</v>
      </c>
      <c r="V81" s="12"/>
    </row>
    <row r="82" spans="1:22" x14ac:dyDescent="0.25">
      <c r="A82" s="50">
        <f>'A) Base RI'!A83</f>
        <v>5522</v>
      </c>
      <c r="B82" s="437" t="str">
        <f>'A) Base RI'!B83</f>
        <v>Fey</v>
      </c>
      <c r="C82" s="156">
        <v>377070.65297971404</v>
      </c>
      <c r="D82" s="156">
        <v>64972.627265412768</v>
      </c>
      <c r="E82" s="156">
        <v>0</v>
      </c>
      <c r="F82" s="156">
        <v>0</v>
      </c>
      <c r="G82" s="156">
        <v>0</v>
      </c>
      <c r="H82" s="440">
        <f t="shared" si="16"/>
        <v>442043.28024512681</v>
      </c>
      <c r="I82" s="156">
        <v>20521.084933333332</v>
      </c>
      <c r="J82" s="443">
        <f>'B) D RI'!U83</f>
        <v>21913.487866666663</v>
      </c>
      <c r="K82" s="67">
        <f t="shared" si="14"/>
        <v>21.540931275377933</v>
      </c>
      <c r="L82" s="34">
        <f>'B) D RI'!S83</f>
        <v>75</v>
      </c>
      <c r="M82" s="34">
        <f t="shared" si="9"/>
        <v>53.459068724622071</v>
      </c>
      <c r="N82" s="34">
        <f>'J) Plafonnement effort'!G81+'J) Plafonnement effort'!H81-'K) Plafonnement aide'!I81</f>
        <v>20.238792054785449</v>
      </c>
      <c r="O82" s="34">
        <f t="shared" si="10"/>
        <v>73.69786077940752</v>
      </c>
      <c r="P82" s="48">
        <f t="shared" si="11"/>
        <v>0</v>
      </c>
      <c r="Q82" s="58">
        <f t="shared" si="15"/>
        <v>0</v>
      </c>
      <c r="R82" s="151">
        <f t="shared" si="12"/>
        <v>73.69786077940752</v>
      </c>
      <c r="S82" s="131">
        <f t="shared" si="13"/>
        <v>-1.3021392205924798</v>
      </c>
      <c r="T82" s="150">
        <f t="shared" si="17"/>
        <v>0</v>
      </c>
      <c r="V82" s="12"/>
    </row>
    <row r="83" spans="1:22" x14ac:dyDescent="0.25">
      <c r="A83" s="50">
        <f>'A) Base RI'!A84</f>
        <v>5523</v>
      </c>
      <c r="B83" s="437" t="str">
        <f>'A) Base RI'!B84</f>
        <v>Froideville</v>
      </c>
      <c r="C83" s="156">
        <v>1403515.3408985825</v>
      </c>
      <c r="D83" s="156">
        <v>204026.90306425979</v>
      </c>
      <c r="E83" s="156">
        <v>0</v>
      </c>
      <c r="F83" s="156">
        <v>0</v>
      </c>
      <c r="G83" s="156">
        <v>0</v>
      </c>
      <c r="H83" s="440">
        <f t="shared" si="16"/>
        <v>1607542.2439628423</v>
      </c>
      <c r="I83" s="156">
        <v>83854.770526315799</v>
      </c>
      <c r="J83" s="443">
        <f>'B) D RI'!U84</f>
        <v>83191.459210526315</v>
      </c>
      <c r="K83" s="67">
        <f t="shared" si="14"/>
        <v>19.170552061296906</v>
      </c>
      <c r="L83" s="34">
        <f>'B) D RI'!S84</f>
        <v>76</v>
      </c>
      <c r="M83" s="34">
        <f t="shared" si="9"/>
        <v>56.829447938703098</v>
      </c>
      <c r="N83" s="34">
        <f>'J) Plafonnement effort'!G82+'J) Plafonnement effort'!H82-'K) Plafonnement aide'!I82</f>
        <v>17.799747548287989</v>
      </c>
      <c r="O83" s="34">
        <f t="shared" si="10"/>
        <v>74.62919548699108</v>
      </c>
      <c r="P83" s="48">
        <f t="shared" si="11"/>
        <v>0</v>
      </c>
      <c r="Q83" s="58">
        <f t="shared" si="15"/>
        <v>0</v>
      </c>
      <c r="R83" s="151">
        <f t="shared" si="12"/>
        <v>74.62919548699108</v>
      </c>
      <c r="S83" s="131">
        <f t="shared" si="13"/>
        <v>-1.3708045130089204</v>
      </c>
      <c r="T83" s="150">
        <f t="shared" si="17"/>
        <v>0</v>
      </c>
      <c r="V83" s="12"/>
    </row>
    <row r="84" spans="1:22" x14ac:dyDescent="0.25">
      <c r="A84" s="50">
        <f>'A) Base RI'!A85</f>
        <v>5527</v>
      </c>
      <c r="B84" s="437" t="str">
        <f>'A) Base RI'!B85</f>
        <v>Morrens</v>
      </c>
      <c r="C84" s="156">
        <v>678555.23087790329</v>
      </c>
      <c r="D84" s="156">
        <v>420752.25554122392</v>
      </c>
      <c r="E84" s="156">
        <v>0</v>
      </c>
      <c r="F84" s="156">
        <v>0</v>
      </c>
      <c r="G84" s="156">
        <v>0</v>
      </c>
      <c r="H84" s="440">
        <f t="shared" si="16"/>
        <v>1099307.4864191273</v>
      </c>
      <c r="I84" s="156">
        <v>39746.766619718313</v>
      </c>
      <c r="J84" s="443">
        <f>'B) D RI'!U85</f>
        <v>37832.854189189195</v>
      </c>
      <c r="K84" s="67">
        <f t="shared" si="14"/>
        <v>27.657784013901711</v>
      </c>
      <c r="L84" s="34">
        <f>'B) D RI'!S85</f>
        <v>74</v>
      </c>
      <c r="M84" s="34">
        <f t="shared" si="9"/>
        <v>46.342215986098289</v>
      </c>
      <c r="N84" s="34">
        <f>'J) Plafonnement effort'!G83+'J) Plafonnement effort'!H83-'K) Plafonnement aide'!I83</f>
        <v>26.971229613675124</v>
      </c>
      <c r="O84" s="34">
        <f t="shared" si="10"/>
        <v>73.313445599773416</v>
      </c>
      <c r="P84" s="48">
        <f t="shared" si="11"/>
        <v>0</v>
      </c>
      <c r="Q84" s="58">
        <f t="shared" si="15"/>
        <v>0</v>
      </c>
      <c r="R84" s="151">
        <f t="shared" si="12"/>
        <v>73.313445599773416</v>
      </c>
      <c r="S84" s="131">
        <f t="shared" si="13"/>
        <v>-0.68655440022658354</v>
      </c>
      <c r="T84" s="150">
        <f t="shared" si="17"/>
        <v>0</v>
      </c>
      <c r="V84" s="12"/>
    </row>
    <row r="85" spans="1:22" x14ac:dyDescent="0.25">
      <c r="A85" s="50">
        <f>'A) Base RI'!A86</f>
        <v>5529</v>
      </c>
      <c r="B85" s="437" t="str">
        <f>'A) Base RI'!B86</f>
        <v>Oulens-sous-Echallens</v>
      </c>
      <c r="C85" s="156">
        <v>356163.20987303928</v>
      </c>
      <c r="D85" s="156">
        <v>203497.50503971212</v>
      </c>
      <c r="E85" s="156">
        <v>0</v>
      </c>
      <c r="F85" s="156">
        <v>0</v>
      </c>
      <c r="G85" s="156">
        <v>0</v>
      </c>
      <c r="H85" s="440">
        <f t="shared" si="16"/>
        <v>559660.71491275146</v>
      </c>
      <c r="I85" s="156">
        <v>20201.042816901412</v>
      </c>
      <c r="J85" s="443">
        <f>'B) D RI'!U86</f>
        <v>21358.649436619718</v>
      </c>
      <c r="K85" s="67">
        <f t="shared" si="14"/>
        <v>27.704545749712757</v>
      </c>
      <c r="L85" s="34">
        <f>'B) D RI'!S86</f>
        <v>71</v>
      </c>
      <c r="M85" s="34">
        <f t="shared" si="9"/>
        <v>43.295454250287243</v>
      </c>
      <c r="N85" s="34">
        <f>'J) Plafonnement effort'!G84+'J) Plafonnement effort'!H84-'K) Plafonnement aide'!I84</f>
        <v>20.86041411870211</v>
      </c>
      <c r="O85" s="34">
        <f t="shared" si="10"/>
        <v>64.15586836898936</v>
      </c>
      <c r="P85" s="48">
        <f t="shared" si="11"/>
        <v>0</v>
      </c>
      <c r="Q85" s="58">
        <f t="shared" si="15"/>
        <v>0</v>
      </c>
      <c r="R85" s="151">
        <f t="shared" si="12"/>
        <v>64.15586836898936</v>
      </c>
      <c r="S85" s="131">
        <f t="shared" si="13"/>
        <v>-6.8441316310106401</v>
      </c>
      <c r="T85" s="150">
        <f t="shared" si="17"/>
        <v>0</v>
      </c>
      <c r="V85" s="12"/>
    </row>
    <row r="86" spans="1:22" x14ac:dyDescent="0.25">
      <c r="A86" s="50">
        <f>'A) Base RI'!A87</f>
        <v>5530</v>
      </c>
      <c r="B86" s="437" t="str">
        <f>'A) Base RI'!B87</f>
        <v>Pailly</v>
      </c>
      <c r="C86" s="156">
        <v>307193.46371145442</v>
      </c>
      <c r="D86" s="156">
        <v>88420.388970248372</v>
      </c>
      <c r="E86" s="156">
        <v>0</v>
      </c>
      <c r="F86" s="156">
        <v>0</v>
      </c>
      <c r="G86" s="156">
        <v>0</v>
      </c>
      <c r="H86" s="440">
        <f t="shared" si="16"/>
        <v>395613.85268170282</v>
      </c>
      <c r="I86" s="156">
        <v>17056.622387096773</v>
      </c>
      <c r="J86" s="443">
        <f>'B) D RI'!U87</f>
        <v>17215.63182795699</v>
      </c>
      <c r="K86" s="67">
        <f t="shared" si="14"/>
        <v>23.194149680008287</v>
      </c>
      <c r="L86" s="34">
        <f>'B) D RI'!S87</f>
        <v>77.5</v>
      </c>
      <c r="M86" s="34">
        <f t="shared" si="9"/>
        <v>54.305850319991713</v>
      </c>
      <c r="N86" s="34">
        <f>'J) Plafonnement effort'!G85+'J) Plafonnement effort'!H85-'K) Plafonnement aide'!I85</f>
        <v>12.426379503994717</v>
      </c>
      <c r="O86" s="34">
        <f t="shared" si="10"/>
        <v>66.73222982398643</v>
      </c>
      <c r="P86" s="48">
        <f t="shared" si="11"/>
        <v>0</v>
      </c>
      <c r="Q86" s="58">
        <f t="shared" si="15"/>
        <v>0</v>
      </c>
      <c r="R86" s="151">
        <f t="shared" si="12"/>
        <v>66.73222982398643</v>
      </c>
      <c r="S86" s="131">
        <f t="shared" si="13"/>
        <v>-10.76777017601357</v>
      </c>
      <c r="T86" s="150">
        <f t="shared" si="17"/>
        <v>0</v>
      </c>
      <c r="V86" s="12"/>
    </row>
    <row r="87" spans="1:22" x14ac:dyDescent="0.25">
      <c r="A87" s="50">
        <f>'A) Base RI'!A88</f>
        <v>5531</v>
      </c>
      <c r="B87" s="437" t="str">
        <f>'A) Base RI'!B88</f>
        <v>Penthéréaz</v>
      </c>
      <c r="C87" s="156">
        <v>226024.44155883312</v>
      </c>
      <c r="D87" s="156">
        <v>66536.35577557495</v>
      </c>
      <c r="E87" s="156">
        <v>0</v>
      </c>
      <c r="F87" s="156">
        <v>0</v>
      </c>
      <c r="G87" s="156">
        <v>0</v>
      </c>
      <c r="H87" s="440">
        <f t="shared" si="16"/>
        <v>292560.79733440804</v>
      </c>
      <c r="I87" s="156">
        <v>13134.769871794872</v>
      </c>
      <c r="J87" s="443">
        <f>'B) D RI'!U88</f>
        <v>14983.10512820513</v>
      </c>
      <c r="K87" s="67">
        <f t="shared" si="14"/>
        <v>22.273766513613801</v>
      </c>
      <c r="L87" s="34">
        <f>'B) D RI'!S88</f>
        <v>78</v>
      </c>
      <c r="M87" s="34">
        <f t="shared" si="9"/>
        <v>55.726233486386199</v>
      </c>
      <c r="N87" s="34">
        <f>'J) Plafonnement effort'!G86+'J) Plafonnement effort'!H86-'K) Plafonnement aide'!I86</f>
        <v>23.620655692016133</v>
      </c>
      <c r="O87" s="34">
        <f t="shared" si="10"/>
        <v>79.346889178402336</v>
      </c>
      <c r="P87" s="48">
        <f t="shared" si="11"/>
        <v>0</v>
      </c>
      <c r="Q87" s="58">
        <f t="shared" si="15"/>
        <v>0</v>
      </c>
      <c r="R87" s="151">
        <f t="shared" si="12"/>
        <v>79.346889178402336</v>
      </c>
      <c r="S87" s="131">
        <f t="shared" si="13"/>
        <v>1.3468891784023356</v>
      </c>
      <c r="T87" s="150">
        <f t="shared" si="17"/>
        <v>0</v>
      </c>
      <c r="V87" s="12"/>
    </row>
    <row r="88" spans="1:22" x14ac:dyDescent="0.25">
      <c r="A88" s="50">
        <f>'A) Base RI'!A89</f>
        <v>5533</v>
      </c>
      <c r="B88" s="437" t="str">
        <f>'A) Base RI'!B89</f>
        <v>Poliez-Pittet</v>
      </c>
      <c r="C88" s="156">
        <v>439816.67250330898</v>
      </c>
      <c r="D88" s="156">
        <v>234702.47964950243</v>
      </c>
      <c r="E88" s="156">
        <v>0</v>
      </c>
      <c r="F88" s="156">
        <v>0</v>
      </c>
      <c r="G88" s="156">
        <v>0</v>
      </c>
      <c r="H88" s="440">
        <f t="shared" si="16"/>
        <v>674519.15215281141</v>
      </c>
      <c r="I88" s="156">
        <v>28042.897605633803</v>
      </c>
      <c r="J88" s="443">
        <f>'B) D RI'!U89</f>
        <v>25749.220563380281</v>
      </c>
      <c r="K88" s="67">
        <f t="shared" si="14"/>
        <v>24.053118962189586</v>
      </c>
      <c r="L88" s="34">
        <f>'B) D RI'!S89</f>
        <v>71</v>
      </c>
      <c r="M88" s="34">
        <f t="shared" si="9"/>
        <v>46.946881037810414</v>
      </c>
      <c r="N88" s="34">
        <f>'J) Plafonnement effort'!G87+'J) Plafonnement effort'!H87-'K) Plafonnement aide'!I87</f>
        <v>20.984861601813247</v>
      </c>
      <c r="O88" s="34">
        <f t="shared" si="10"/>
        <v>67.931742639623664</v>
      </c>
      <c r="P88" s="48">
        <f t="shared" si="11"/>
        <v>0</v>
      </c>
      <c r="Q88" s="58">
        <f t="shared" si="15"/>
        <v>0</v>
      </c>
      <c r="R88" s="151">
        <f t="shared" si="12"/>
        <v>67.931742639623664</v>
      </c>
      <c r="S88" s="131">
        <f t="shared" si="13"/>
        <v>-3.0682573603763359</v>
      </c>
      <c r="T88" s="150">
        <f t="shared" si="17"/>
        <v>0</v>
      </c>
      <c r="V88" s="12"/>
    </row>
    <row r="89" spans="1:22" x14ac:dyDescent="0.25">
      <c r="A89" s="50">
        <f>'A) Base RI'!A90</f>
        <v>5534</v>
      </c>
      <c r="B89" s="437" t="str">
        <f>'A) Base RI'!B90</f>
        <v>Rueyres</v>
      </c>
      <c r="C89" s="156">
        <v>157538.18328898438</v>
      </c>
      <c r="D89" s="156">
        <v>116483.82718150281</v>
      </c>
      <c r="E89" s="156">
        <v>0</v>
      </c>
      <c r="F89" s="156">
        <v>0</v>
      </c>
      <c r="G89" s="156">
        <v>0</v>
      </c>
      <c r="H89" s="440">
        <f t="shared" si="16"/>
        <v>274022.01047048718</v>
      </c>
      <c r="I89" s="156">
        <v>9722.0657534246584</v>
      </c>
      <c r="J89" s="443">
        <f>'B) D RI'!U90</f>
        <v>9061.5212328767138</v>
      </c>
      <c r="K89" s="67">
        <f t="shared" si="14"/>
        <v>28.185574693728153</v>
      </c>
      <c r="L89" s="34">
        <f>'B) D RI'!S90</f>
        <v>73</v>
      </c>
      <c r="M89" s="34">
        <f t="shared" si="9"/>
        <v>44.814425306271843</v>
      </c>
      <c r="N89" s="34">
        <f>'J) Plafonnement effort'!G88+'J) Plafonnement effort'!H88-'K) Plafonnement aide'!I88</f>
        <v>24.675629392934248</v>
      </c>
      <c r="O89" s="34">
        <f t="shared" si="10"/>
        <v>69.490054699206098</v>
      </c>
      <c r="P89" s="48">
        <f t="shared" si="11"/>
        <v>0</v>
      </c>
      <c r="Q89" s="58">
        <f t="shared" si="15"/>
        <v>0</v>
      </c>
      <c r="R89" s="151">
        <f t="shared" si="12"/>
        <v>69.490054699206098</v>
      </c>
      <c r="S89" s="131">
        <f t="shared" si="13"/>
        <v>-3.5099453007939019</v>
      </c>
      <c r="T89" s="150">
        <f t="shared" si="17"/>
        <v>0</v>
      </c>
      <c r="V89" s="12"/>
    </row>
    <row r="90" spans="1:22" x14ac:dyDescent="0.25">
      <c r="A90" s="50">
        <f>'A) Base RI'!A91</f>
        <v>5535</v>
      </c>
      <c r="B90" s="437" t="str">
        <f>'A) Base RI'!B91</f>
        <v>Saint-Barthélemy</v>
      </c>
      <c r="C90" s="156">
        <v>376327.86777032173</v>
      </c>
      <c r="D90" s="156">
        <v>93007.45496781863</v>
      </c>
      <c r="E90" s="156">
        <v>0</v>
      </c>
      <c r="F90" s="156">
        <v>0</v>
      </c>
      <c r="G90" s="156">
        <v>0</v>
      </c>
      <c r="H90" s="440">
        <f t="shared" si="16"/>
        <v>469335.32273814036</v>
      </c>
      <c r="I90" s="156">
        <v>23314.139350649355</v>
      </c>
      <c r="J90" s="443">
        <f>'B) D RI'!U91</f>
        <v>21992.865064935064</v>
      </c>
      <c r="K90" s="67">
        <f t="shared" si="14"/>
        <v>20.130930663115738</v>
      </c>
      <c r="L90" s="34">
        <f>'B) D RI'!S91</f>
        <v>77</v>
      </c>
      <c r="M90" s="34">
        <f t="shared" si="9"/>
        <v>56.869069336884266</v>
      </c>
      <c r="N90" s="34">
        <f>'J) Plafonnement effort'!G89+'J) Plafonnement effort'!H89-'K) Plafonnement aide'!I89</f>
        <v>20.049083333235618</v>
      </c>
      <c r="O90" s="34">
        <f t="shared" si="10"/>
        <v>76.918152670119881</v>
      </c>
      <c r="P90" s="48">
        <f t="shared" si="11"/>
        <v>0</v>
      </c>
      <c r="Q90" s="58">
        <f t="shared" si="15"/>
        <v>0</v>
      </c>
      <c r="R90" s="151">
        <f t="shared" si="12"/>
        <v>76.918152670119881</v>
      </c>
      <c r="S90" s="131">
        <f t="shared" si="13"/>
        <v>-8.1847329880119446E-2</v>
      </c>
      <c r="T90" s="150">
        <f t="shared" si="17"/>
        <v>0</v>
      </c>
      <c r="V90" s="12"/>
    </row>
    <row r="91" spans="1:22" x14ac:dyDescent="0.25">
      <c r="A91" s="50">
        <f>'A) Base RI'!A92</f>
        <v>5537</v>
      </c>
      <c r="B91" s="437" t="str">
        <f>'A) Base RI'!B92</f>
        <v>Villars-le-Terroir</v>
      </c>
      <c r="C91" s="156">
        <v>579795.2759610794</v>
      </c>
      <c r="D91" s="156">
        <v>98630.354343048879</v>
      </c>
      <c r="E91" s="156">
        <v>0</v>
      </c>
      <c r="F91" s="156">
        <v>0</v>
      </c>
      <c r="G91" s="156">
        <v>0</v>
      </c>
      <c r="H91" s="440">
        <f t="shared" si="16"/>
        <v>678425.63030412828</v>
      </c>
      <c r="I91" s="156">
        <v>33778.811643835616</v>
      </c>
      <c r="J91" s="443">
        <f>'B) D RI'!U92</f>
        <v>37425.853630136982</v>
      </c>
      <c r="K91" s="67">
        <f t="shared" si="14"/>
        <v>20.084354578765531</v>
      </c>
      <c r="L91" s="34">
        <f>'B) D RI'!S92</f>
        <v>73</v>
      </c>
      <c r="M91" s="34">
        <f t="shared" si="9"/>
        <v>52.915645421234473</v>
      </c>
      <c r="N91" s="34">
        <f>'J) Plafonnement effort'!G90+'J) Plafonnement effort'!H90-'K) Plafonnement aide'!I90</f>
        <v>20.292170232231364</v>
      </c>
      <c r="O91" s="34">
        <f t="shared" si="10"/>
        <v>73.207815653465843</v>
      </c>
      <c r="P91" s="48">
        <f t="shared" si="11"/>
        <v>0</v>
      </c>
      <c r="Q91" s="58">
        <f t="shared" si="15"/>
        <v>0</v>
      </c>
      <c r="R91" s="151">
        <f t="shared" si="12"/>
        <v>73.207815653465843</v>
      </c>
      <c r="S91" s="131">
        <f t="shared" si="13"/>
        <v>0.2078156534658433</v>
      </c>
      <c r="T91" s="150">
        <f t="shared" si="17"/>
        <v>0</v>
      </c>
      <c r="V91" s="12"/>
    </row>
    <row r="92" spans="1:22" x14ac:dyDescent="0.25">
      <c r="A92" s="50">
        <f>'A) Base RI'!A93</f>
        <v>5539</v>
      </c>
      <c r="B92" s="437" t="str">
        <f>'A) Base RI'!B93</f>
        <v>Vuarrens</v>
      </c>
      <c r="C92" s="156">
        <v>452599.26403095678</v>
      </c>
      <c r="D92" s="156">
        <v>-2599.4435903425911</v>
      </c>
      <c r="E92" s="156">
        <v>0</v>
      </c>
      <c r="F92" s="156">
        <v>0</v>
      </c>
      <c r="G92" s="156">
        <v>0</v>
      </c>
      <c r="H92" s="440">
        <f t="shared" si="16"/>
        <v>449999.82044061419</v>
      </c>
      <c r="I92" s="156">
        <v>26961.993700000003</v>
      </c>
      <c r="J92" s="443">
        <f>'B) D RI'!U93</f>
        <v>28895.172466666667</v>
      </c>
      <c r="K92" s="67">
        <f t="shared" si="14"/>
        <v>16.690153756716224</v>
      </c>
      <c r="L92" s="34">
        <f>'B) D RI'!S93</f>
        <v>75</v>
      </c>
      <c r="M92" s="34">
        <f t="shared" si="9"/>
        <v>58.309846243283772</v>
      </c>
      <c r="N92" s="34">
        <f>'J) Plafonnement effort'!G91+'J) Plafonnement effort'!H91-'K) Plafonnement aide'!I91</f>
        <v>18.065390055375556</v>
      </c>
      <c r="O92" s="34">
        <f t="shared" si="10"/>
        <v>76.375236298659331</v>
      </c>
      <c r="P92" s="48">
        <f t="shared" si="11"/>
        <v>0</v>
      </c>
      <c r="Q92" s="58">
        <f t="shared" si="15"/>
        <v>0</v>
      </c>
      <c r="R92" s="151">
        <f t="shared" si="12"/>
        <v>76.375236298659331</v>
      </c>
      <c r="S92" s="131">
        <f t="shared" si="13"/>
        <v>1.3752362986593312</v>
      </c>
      <c r="T92" s="150">
        <f t="shared" si="17"/>
        <v>0</v>
      </c>
      <c r="V92" s="12"/>
    </row>
    <row r="93" spans="1:22" x14ac:dyDescent="0.25">
      <c r="A93" s="50">
        <f>'A) Base RI'!A94</f>
        <v>5540</v>
      </c>
      <c r="B93" s="437" t="str">
        <f>'A) Base RI'!B94</f>
        <v>Montilliez</v>
      </c>
      <c r="C93" s="156">
        <v>969454.87754498853</v>
      </c>
      <c r="D93" s="156">
        <v>277230.4422529795</v>
      </c>
      <c r="E93" s="156">
        <v>0</v>
      </c>
      <c r="F93" s="156">
        <v>0</v>
      </c>
      <c r="G93" s="156">
        <v>0</v>
      </c>
      <c r="H93" s="440">
        <f t="shared" si="16"/>
        <v>1246685.319797968</v>
      </c>
      <c r="I93" s="156">
        <v>57534.065472972972</v>
      </c>
      <c r="J93" s="443">
        <f>'B) D RI'!U94</f>
        <v>59583.392972972964</v>
      </c>
      <c r="K93" s="67">
        <f>H93/I93</f>
        <v>21.668646384525132</v>
      </c>
      <c r="L93" s="34">
        <f>'B) D RI'!S94</f>
        <v>74</v>
      </c>
      <c r="M93" s="34">
        <f>L93-K93</f>
        <v>52.331353615474868</v>
      </c>
      <c r="N93" s="34">
        <f>'J) Plafonnement effort'!G92+'J) Plafonnement effort'!H92-'K) Plafonnement aide'!I92</f>
        <v>11.560582621301089</v>
      </c>
      <c r="O93" s="34">
        <f>M93+N93</f>
        <v>63.891936236775955</v>
      </c>
      <c r="P93" s="48">
        <f t="shared" si="11"/>
        <v>0</v>
      </c>
      <c r="Q93" s="58">
        <f>P93*J93</f>
        <v>0</v>
      </c>
      <c r="R93" s="151">
        <f>O93+P93</f>
        <v>63.891936236775955</v>
      </c>
      <c r="S93" s="131">
        <f>R93-L93</f>
        <v>-10.108063763224045</v>
      </c>
      <c r="T93" s="150">
        <f t="shared" si="17"/>
        <v>0</v>
      </c>
      <c r="V93" s="12"/>
    </row>
    <row r="94" spans="1:22" x14ac:dyDescent="0.25">
      <c r="A94" s="50">
        <f>'A) Base RI'!A95</f>
        <v>5541</v>
      </c>
      <c r="B94" s="437" t="str">
        <f>'A) Base RI'!B95</f>
        <v>Goumoëns</v>
      </c>
      <c r="C94" s="156">
        <v>657197.90601452626</v>
      </c>
      <c r="D94" s="156">
        <v>330460.28986399621</v>
      </c>
      <c r="E94" s="156">
        <v>0</v>
      </c>
      <c r="F94" s="156">
        <v>0</v>
      </c>
      <c r="G94" s="156">
        <v>0</v>
      </c>
      <c r="H94" s="440">
        <f t="shared" si="16"/>
        <v>987658.19587852247</v>
      </c>
      <c r="I94" s="156">
        <v>38967.18311688312</v>
      </c>
      <c r="J94" s="443">
        <f>'B) D RI'!U95</f>
        <v>36064.061558441557</v>
      </c>
      <c r="K94" s="67">
        <f>H94/I94</f>
        <v>25.345896646314284</v>
      </c>
      <c r="L94" s="34">
        <f>'B) D RI'!S95</f>
        <v>77</v>
      </c>
      <c r="M94" s="34">
        <f>L94-K94</f>
        <v>51.654103353685713</v>
      </c>
      <c r="N94" s="34">
        <f>'J) Plafonnement effort'!G93+'J) Plafonnement effort'!H93-'K) Plafonnement aide'!I93</f>
        <v>27.573283200649552</v>
      </c>
      <c r="O94" s="34">
        <f>M94+N94</f>
        <v>79.227386554335268</v>
      </c>
      <c r="P94" s="48">
        <f t="shared" si="11"/>
        <v>0</v>
      </c>
      <c r="Q94" s="58">
        <f>P94*J94</f>
        <v>0</v>
      </c>
      <c r="R94" s="151">
        <f>O94+P94</f>
        <v>79.227386554335268</v>
      </c>
      <c r="S94" s="131">
        <f>R94-L94</f>
        <v>2.2273865543352684</v>
      </c>
      <c r="T94" s="150">
        <f t="shared" si="17"/>
        <v>0</v>
      </c>
      <c r="V94" s="12"/>
    </row>
    <row r="95" spans="1:22" x14ac:dyDescent="0.25">
      <c r="A95" s="50">
        <f>'A) Base RI'!A96</f>
        <v>5551</v>
      </c>
      <c r="B95" s="437" t="str">
        <f>'A) Base RI'!B96</f>
        <v>Bonvillars</v>
      </c>
      <c r="C95" s="156">
        <v>345182.844625164</v>
      </c>
      <c r="D95" s="156">
        <v>261816.56787055352</v>
      </c>
      <c r="E95" s="156">
        <v>0</v>
      </c>
      <c r="F95" s="156">
        <v>0</v>
      </c>
      <c r="G95" s="156">
        <v>0</v>
      </c>
      <c r="H95" s="440">
        <f t="shared" si="16"/>
        <v>606999.41249571752</v>
      </c>
      <c r="I95" s="156">
        <v>18919.686363636367</v>
      </c>
      <c r="J95" s="443">
        <f>'B) D RI'!U96</f>
        <v>23195.066545454545</v>
      </c>
      <c r="K95" s="67">
        <f t="shared" si="14"/>
        <v>32.082953217573959</v>
      </c>
      <c r="L95" s="34">
        <f>'B) D RI'!S96</f>
        <v>55</v>
      </c>
      <c r="M95" s="34">
        <f>L95-K95</f>
        <v>22.917046782426041</v>
      </c>
      <c r="N95" s="34">
        <f>'J) Plafonnement effort'!G94+'J) Plafonnement effort'!H94-'K) Plafonnement aide'!I94</f>
        <v>31.334982892051855</v>
      </c>
      <c r="O95" s="34">
        <f>M95+N95</f>
        <v>54.252029674477896</v>
      </c>
      <c r="P95" s="48">
        <f t="shared" si="11"/>
        <v>0</v>
      </c>
      <c r="Q95" s="58">
        <f>P95*J95</f>
        <v>0</v>
      </c>
      <c r="R95" s="151">
        <f>O95+P95</f>
        <v>54.252029674477896</v>
      </c>
      <c r="S95" s="131">
        <f>R95-L95</f>
        <v>-0.74797032552210396</v>
      </c>
      <c r="T95" s="150">
        <f t="shared" si="17"/>
        <v>0</v>
      </c>
      <c r="V95" s="12"/>
    </row>
    <row r="96" spans="1:22" x14ac:dyDescent="0.25">
      <c r="A96" s="50">
        <f>'A) Base RI'!A97</f>
        <v>5552</v>
      </c>
      <c r="B96" s="437" t="str">
        <f>'A) Base RI'!B97</f>
        <v>Bullet</v>
      </c>
      <c r="C96" s="156">
        <v>328865.73186990229</v>
      </c>
      <c r="D96" s="156">
        <v>56662.068161168601</v>
      </c>
      <c r="E96" s="156">
        <v>0</v>
      </c>
      <c r="F96" s="156">
        <v>0</v>
      </c>
      <c r="G96" s="156">
        <v>0</v>
      </c>
      <c r="H96" s="440">
        <f t="shared" si="16"/>
        <v>385527.80003107089</v>
      </c>
      <c r="I96" s="156">
        <v>17961.232428571428</v>
      </c>
      <c r="J96" s="443">
        <f>'B) D RI'!U97</f>
        <v>17788.954109589042</v>
      </c>
      <c r="K96" s="67">
        <f t="shared" si="14"/>
        <v>21.46444023617228</v>
      </c>
      <c r="L96" s="34">
        <f>'B) D RI'!S97</f>
        <v>73</v>
      </c>
      <c r="M96" s="34">
        <f t="shared" si="9"/>
        <v>51.53555976382772</v>
      </c>
      <c r="N96" s="34">
        <f>'J) Plafonnement effort'!G95+'J) Plafonnement effort'!H95-'K) Plafonnement aide'!I95</f>
        <v>7.9058763783931951</v>
      </c>
      <c r="O96" s="34">
        <f t="shared" si="10"/>
        <v>59.441436142220915</v>
      </c>
      <c r="P96" s="48">
        <f t="shared" si="11"/>
        <v>0</v>
      </c>
      <c r="Q96" s="58">
        <f t="shared" si="15"/>
        <v>0</v>
      </c>
      <c r="R96" s="151">
        <f t="shared" si="12"/>
        <v>59.441436142220915</v>
      </c>
      <c r="S96" s="131">
        <f t="shared" si="13"/>
        <v>-13.558563857779085</v>
      </c>
      <c r="T96" s="150">
        <f t="shared" si="17"/>
        <v>0</v>
      </c>
      <c r="V96" s="12"/>
    </row>
    <row r="97" spans="1:22" x14ac:dyDescent="0.25">
      <c r="A97" s="50">
        <f>'A) Base RI'!A98</f>
        <v>5553</v>
      </c>
      <c r="B97" s="437" t="str">
        <f>'A) Base RI'!B98</f>
        <v>Champagne</v>
      </c>
      <c r="C97" s="156">
        <v>623860.89433756995</v>
      </c>
      <c r="D97" s="156">
        <v>336874.69159801526</v>
      </c>
      <c r="E97" s="156">
        <v>0</v>
      </c>
      <c r="F97" s="156">
        <v>0</v>
      </c>
      <c r="G97" s="156">
        <v>0</v>
      </c>
      <c r="H97" s="440">
        <f t="shared" si="16"/>
        <v>960735.5859355852</v>
      </c>
      <c r="I97" s="156">
        <v>34503.509846153851</v>
      </c>
      <c r="J97" s="443">
        <f>'B) D RI'!U98</f>
        <v>38605.988461538451</v>
      </c>
      <c r="K97" s="67">
        <f t="shared" si="14"/>
        <v>27.844575529253863</v>
      </c>
      <c r="L97" s="34">
        <f>'B) D RI'!S98</f>
        <v>65</v>
      </c>
      <c r="M97" s="34">
        <f t="shared" si="9"/>
        <v>37.155424470746141</v>
      </c>
      <c r="N97" s="34">
        <f>'J) Plafonnement effort'!G96+'J) Plafonnement effort'!H96-'K) Plafonnement aide'!I96</f>
        <v>23.633087387382261</v>
      </c>
      <c r="O97" s="34">
        <f t="shared" si="10"/>
        <v>60.788511858128402</v>
      </c>
      <c r="P97" s="48">
        <f t="shared" si="11"/>
        <v>0</v>
      </c>
      <c r="Q97" s="58">
        <f t="shared" si="15"/>
        <v>0</v>
      </c>
      <c r="R97" s="151">
        <f t="shared" si="12"/>
        <v>60.788511858128402</v>
      </c>
      <c r="S97" s="131">
        <f t="shared" si="13"/>
        <v>-4.2114881418715981</v>
      </c>
      <c r="T97" s="150">
        <f t="shared" si="17"/>
        <v>0</v>
      </c>
      <c r="V97" s="12"/>
    </row>
    <row r="98" spans="1:22" x14ac:dyDescent="0.25">
      <c r="A98" s="50">
        <f>'A) Base RI'!A99</f>
        <v>5554</v>
      </c>
      <c r="B98" s="437" t="str">
        <f>'A) Base RI'!B99</f>
        <v>Concise</v>
      </c>
      <c r="C98" s="156">
        <v>535195.52005378425</v>
      </c>
      <c r="D98" s="156">
        <v>229237.85683657543</v>
      </c>
      <c r="E98" s="156">
        <v>0</v>
      </c>
      <c r="F98" s="156">
        <v>0</v>
      </c>
      <c r="G98" s="156">
        <v>0</v>
      </c>
      <c r="H98" s="440">
        <f t="shared" si="16"/>
        <v>764433.37689035968</v>
      </c>
      <c r="I98" s="156">
        <v>31707.482800000005</v>
      </c>
      <c r="J98" s="443">
        <f>'B) D RI'!U99</f>
        <v>29879.816133333334</v>
      </c>
      <c r="K98" s="67">
        <f t="shared" si="14"/>
        <v>24.108926643976908</v>
      </c>
      <c r="L98" s="34">
        <f>'B) D RI'!S99</f>
        <v>75</v>
      </c>
      <c r="M98" s="34">
        <f t="shared" si="9"/>
        <v>50.891073356023092</v>
      </c>
      <c r="N98" s="34">
        <f>'J) Plafonnement effort'!G97+'J) Plafonnement effort'!H97-'K) Plafonnement aide'!I97</f>
        <v>19.72247655723352</v>
      </c>
      <c r="O98" s="34">
        <f t="shared" si="10"/>
        <v>70.613549913256605</v>
      </c>
      <c r="P98" s="48">
        <f t="shared" si="11"/>
        <v>0</v>
      </c>
      <c r="Q98" s="58">
        <f t="shared" si="15"/>
        <v>0</v>
      </c>
      <c r="R98" s="151">
        <f t="shared" si="12"/>
        <v>70.613549913256605</v>
      </c>
      <c r="S98" s="131">
        <f t="shared" si="13"/>
        <v>-4.3864500867433946</v>
      </c>
      <c r="T98" s="150">
        <f t="shared" si="17"/>
        <v>0</v>
      </c>
      <c r="V98" s="12"/>
    </row>
    <row r="99" spans="1:22" x14ac:dyDescent="0.25">
      <c r="A99" s="50">
        <f>'A) Base RI'!A100</f>
        <v>5555</v>
      </c>
      <c r="B99" s="437" t="str">
        <f>'A) Base RI'!B100</f>
        <v>Corcelles-près-Concise</v>
      </c>
      <c r="C99" s="156">
        <v>266872.25093054824</v>
      </c>
      <c r="D99" s="156">
        <v>150231.70169096056</v>
      </c>
      <c r="E99" s="156">
        <v>0</v>
      </c>
      <c r="F99" s="156">
        <v>0</v>
      </c>
      <c r="G99" s="156">
        <v>0</v>
      </c>
      <c r="H99" s="440">
        <f t="shared" si="16"/>
        <v>417103.9526215088</v>
      </c>
      <c r="I99" s="156">
        <v>13647.491690140843</v>
      </c>
      <c r="J99" s="443">
        <f>'B) D RI'!U100</f>
        <v>13019.29676056338</v>
      </c>
      <c r="K99" s="67">
        <f t="shared" si="14"/>
        <v>30.562682292954321</v>
      </c>
      <c r="L99" s="34">
        <f>'B) D RI'!S100</f>
        <v>71</v>
      </c>
      <c r="M99" s="34">
        <f t="shared" si="9"/>
        <v>40.437317707045679</v>
      </c>
      <c r="N99" s="34">
        <f>'J) Plafonnement effort'!G98+'J) Plafonnement effort'!H98-'K) Plafonnement aide'!I98</f>
        <v>15.266123169691211</v>
      </c>
      <c r="O99" s="34">
        <f t="shared" si="10"/>
        <v>55.703440876736892</v>
      </c>
      <c r="P99" s="48">
        <f t="shared" si="11"/>
        <v>0</v>
      </c>
      <c r="Q99" s="58">
        <f t="shared" si="15"/>
        <v>0</v>
      </c>
      <c r="R99" s="151">
        <f t="shared" si="12"/>
        <v>55.703440876736892</v>
      </c>
      <c r="S99" s="131">
        <f t="shared" si="13"/>
        <v>-15.296559123263108</v>
      </c>
      <c r="T99" s="150">
        <f t="shared" si="17"/>
        <v>0</v>
      </c>
      <c r="V99" s="12"/>
    </row>
    <row r="100" spans="1:22" x14ac:dyDescent="0.25">
      <c r="A100" s="50">
        <f>'A) Base RI'!A101</f>
        <v>5556</v>
      </c>
      <c r="B100" s="437" t="str">
        <f>'A) Base RI'!B101</f>
        <v>Fiez</v>
      </c>
      <c r="C100" s="156">
        <v>431155.05508866603</v>
      </c>
      <c r="D100" s="156">
        <v>80960.824043395842</v>
      </c>
      <c r="E100" s="156">
        <v>0</v>
      </c>
      <c r="F100" s="156">
        <v>0</v>
      </c>
      <c r="G100" s="156">
        <v>0</v>
      </c>
      <c r="H100" s="440">
        <f t="shared" si="16"/>
        <v>512115.87913206185</v>
      </c>
      <c r="I100" s="156">
        <v>12912.419806763286</v>
      </c>
      <c r="J100" s="443">
        <f>'B) D RI'!U101</f>
        <v>12683.231642512079</v>
      </c>
      <c r="K100" s="67">
        <f t="shared" si="14"/>
        <v>39.660720979953354</v>
      </c>
      <c r="L100" s="34">
        <f>'B) D RI'!S101</f>
        <v>69</v>
      </c>
      <c r="M100" s="34">
        <f t="shared" si="9"/>
        <v>29.339279020046646</v>
      </c>
      <c r="N100" s="34">
        <f>'J) Plafonnement effort'!G99+'J) Plafonnement effort'!H99-'K) Plafonnement aide'!I99</f>
        <v>20.277845581436591</v>
      </c>
      <c r="O100" s="34">
        <f t="shared" si="10"/>
        <v>49.617124601483241</v>
      </c>
      <c r="P100" s="48">
        <f t="shared" si="11"/>
        <v>0</v>
      </c>
      <c r="Q100" s="58">
        <f t="shared" si="15"/>
        <v>0</v>
      </c>
      <c r="R100" s="151">
        <f t="shared" si="12"/>
        <v>49.617124601483241</v>
      </c>
      <c r="S100" s="131">
        <f t="shared" si="13"/>
        <v>-19.382875398516759</v>
      </c>
      <c r="T100" s="150">
        <f t="shared" si="17"/>
        <v>0</v>
      </c>
      <c r="V100" s="12"/>
    </row>
    <row r="101" spans="1:22" x14ac:dyDescent="0.25">
      <c r="A101" s="50">
        <f>'A) Base RI'!A102</f>
        <v>5557</v>
      </c>
      <c r="B101" s="437" t="str">
        <f>'A) Base RI'!B102</f>
        <v>Fontaines-sur-Grandson</v>
      </c>
      <c r="C101" s="156">
        <v>82464.134986461999</v>
      </c>
      <c r="D101" s="156">
        <v>-31342.620553889137</v>
      </c>
      <c r="E101" s="156">
        <v>0</v>
      </c>
      <c r="F101" s="156">
        <v>0</v>
      </c>
      <c r="G101" s="156">
        <v>0</v>
      </c>
      <c r="H101" s="440">
        <f t="shared" si="16"/>
        <v>51121.514432572862</v>
      </c>
      <c r="I101" s="156">
        <v>4472.1762318840592</v>
      </c>
      <c r="J101" s="443">
        <f>'B) D RI'!U102</f>
        <v>5551.0404347826088</v>
      </c>
      <c r="K101" s="67">
        <f t="shared" si="14"/>
        <v>11.431015188557573</v>
      </c>
      <c r="L101" s="34">
        <f>'B) D RI'!S102</f>
        <v>69</v>
      </c>
      <c r="M101" s="34">
        <f t="shared" si="9"/>
        <v>57.568984811442427</v>
      </c>
      <c r="N101" s="34">
        <f>'J) Plafonnement effort'!G100+'J) Plafonnement effort'!H100-'K) Plafonnement aide'!I100</f>
        <v>9.4151495069113444</v>
      </c>
      <c r="O101" s="34">
        <f t="shared" si="10"/>
        <v>66.984134318353767</v>
      </c>
      <c r="P101" s="48">
        <f t="shared" si="11"/>
        <v>0</v>
      </c>
      <c r="Q101" s="58">
        <f t="shared" si="15"/>
        <v>0</v>
      </c>
      <c r="R101" s="151">
        <f t="shared" si="12"/>
        <v>66.984134318353767</v>
      </c>
      <c r="S101" s="131">
        <f t="shared" si="13"/>
        <v>-2.0158656816462326</v>
      </c>
      <c r="T101" s="150">
        <f t="shared" si="17"/>
        <v>0</v>
      </c>
      <c r="V101" s="12"/>
    </row>
    <row r="102" spans="1:22" x14ac:dyDescent="0.25">
      <c r="A102" s="50">
        <f>'A) Base RI'!A103</f>
        <v>5559</v>
      </c>
      <c r="B102" s="437" t="str">
        <f>'A) Base RI'!B103</f>
        <v>Giez</v>
      </c>
      <c r="C102" s="156">
        <v>250286.5980973634</v>
      </c>
      <c r="D102" s="156">
        <v>147206.01272470102</v>
      </c>
      <c r="E102" s="156">
        <v>0</v>
      </c>
      <c r="F102" s="156">
        <v>0</v>
      </c>
      <c r="G102" s="156">
        <v>0</v>
      </c>
      <c r="H102" s="440">
        <f t="shared" si="16"/>
        <v>397492.61082206445</v>
      </c>
      <c r="I102" s="156">
        <v>14390.805000000002</v>
      </c>
      <c r="J102" s="443">
        <f>'B) D RI'!U103</f>
        <v>20477.299090909091</v>
      </c>
      <c r="K102" s="67">
        <f t="shared" si="14"/>
        <v>27.621290874420463</v>
      </c>
      <c r="L102" s="34">
        <f>'B) D RI'!S103</f>
        <v>66</v>
      </c>
      <c r="M102" s="34">
        <f t="shared" si="9"/>
        <v>38.378709125579533</v>
      </c>
      <c r="N102" s="34">
        <f>'J) Plafonnement effort'!G101+'J) Plafonnement effort'!H101-'K) Plafonnement aide'!I101</f>
        <v>36.929504756631545</v>
      </c>
      <c r="O102" s="34">
        <f t="shared" si="10"/>
        <v>75.308213882211078</v>
      </c>
      <c r="P102" s="48">
        <f t="shared" si="11"/>
        <v>0</v>
      </c>
      <c r="Q102" s="58">
        <f t="shared" si="15"/>
        <v>0</v>
      </c>
      <c r="R102" s="151">
        <f t="shared" si="12"/>
        <v>75.308213882211078</v>
      </c>
      <c r="S102" s="131">
        <f t="shared" si="13"/>
        <v>9.3082138822110778</v>
      </c>
      <c r="T102" s="150">
        <f t="shared" si="17"/>
        <v>0</v>
      </c>
      <c r="V102" s="12"/>
    </row>
    <row r="103" spans="1:22" x14ac:dyDescent="0.25">
      <c r="A103" s="50">
        <f>'A) Base RI'!A104</f>
        <v>5560</v>
      </c>
      <c r="B103" s="437" t="str">
        <f>'A) Base RI'!B104</f>
        <v>Grandevent</v>
      </c>
      <c r="C103" s="156">
        <v>107801.69832036547</v>
      </c>
      <c r="D103" s="156">
        <v>20019.202043317026</v>
      </c>
      <c r="E103" s="156">
        <v>0</v>
      </c>
      <c r="F103" s="156">
        <v>0</v>
      </c>
      <c r="G103" s="156">
        <v>0</v>
      </c>
      <c r="H103" s="440">
        <f t="shared" si="16"/>
        <v>127820.90036368249</v>
      </c>
      <c r="I103" s="156">
        <v>6268.2104411764703</v>
      </c>
      <c r="J103" s="443">
        <f>'B) D RI'!U104</f>
        <v>7465.4854411764709</v>
      </c>
      <c r="K103" s="67">
        <f t="shared" si="14"/>
        <v>20.391928695312277</v>
      </c>
      <c r="L103" s="34">
        <f>'B) D RI'!S104</f>
        <v>68</v>
      </c>
      <c r="M103" s="34">
        <f t="shared" si="9"/>
        <v>47.608071304687726</v>
      </c>
      <c r="N103" s="34">
        <f>'J) Plafonnement effort'!G102+'J) Plafonnement effort'!H102-'K) Plafonnement aide'!I102</f>
        <v>21.837205486652149</v>
      </c>
      <c r="O103" s="34">
        <f t="shared" si="10"/>
        <v>69.445276791339879</v>
      </c>
      <c r="P103" s="48">
        <f t="shared" si="11"/>
        <v>0</v>
      </c>
      <c r="Q103" s="58">
        <f t="shared" si="15"/>
        <v>0</v>
      </c>
      <c r="R103" s="151">
        <f t="shared" si="12"/>
        <v>69.445276791339879</v>
      </c>
      <c r="S103" s="131">
        <f t="shared" si="13"/>
        <v>1.4452767913398787</v>
      </c>
      <c r="T103" s="150">
        <f t="shared" si="17"/>
        <v>0</v>
      </c>
      <c r="V103" s="12"/>
    </row>
    <row r="104" spans="1:22" x14ac:dyDescent="0.25">
      <c r="A104" s="50">
        <f>'A) Base RI'!A105</f>
        <v>5561</v>
      </c>
      <c r="B104" s="437" t="str">
        <f>'A) Base RI'!B105</f>
        <v>Grandson</v>
      </c>
      <c r="C104" s="156">
        <v>2034473.9734213087</v>
      </c>
      <c r="D104" s="156">
        <v>661644.74311655527</v>
      </c>
      <c r="E104" s="156">
        <v>0</v>
      </c>
      <c r="F104" s="156">
        <v>0</v>
      </c>
      <c r="G104" s="156">
        <v>0</v>
      </c>
      <c r="H104" s="440">
        <f t="shared" si="16"/>
        <v>2696118.7165378639</v>
      </c>
      <c r="I104" s="156">
        <v>116951.12594202899</v>
      </c>
      <c r="J104" s="443">
        <f>'B) D RI'!U105</f>
        <v>124296.34985507248</v>
      </c>
      <c r="K104" s="67">
        <f t="shared" si="14"/>
        <v>23.053379732951797</v>
      </c>
      <c r="L104" s="34">
        <f>'B) D RI'!S105</f>
        <v>69</v>
      </c>
      <c r="M104" s="34">
        <f t="shared" si="9"/>
        <v>45.946620267048203</v>
      </c>
      <c r="N104" s="34">
        <f>'J) Plafonnement effort'!G103+'J) Plafonnement effort'!H103-'K) Plafonnement aide'!I103</f>
        <v>19.70155593281892</v>
      </c>
      <c r="O104" s="34">
        <f t="shared" si="10"/>
        <v>65.648176199867123</v>
      </c>
      <c r="P104" s="48">
        <f t="shared" si="11"/>
        <v>0</v>
      </c>
      <c r="Q104" s="58">
        <f t="shared" si="15"/>
        <v>0</v>
      </c>
      <c r="R104" s="151">
        <f t="shared" si="12"/>
        <v>65.648176199867123</v>
      </c>
      <c r="S104" s="131">
        <f t="shared" si="13"/>
        <v>-3.3518238001328768</v>
      </c>
      <c r="T104" s="150">
        <f t="shared" si="17"/>
        <v>0</v>
      </c>
      <c r="V104" s="12"/>
    </row>
    <row r="105" spans="1:22" x14ac:dyDescent="0.25">
      <c r="A105" s="50">
        <f>'A) Base RI'!A106</f>
        <v>5562</v>
      </c>
      <c r="B105" s="437" t="str">
        <f>'A) Base RI'!B106</f>
        <v>Mauborget</v>
      </c>
      <c r="C105" s="156">
        <v>95364.24402960368</v>
      </c>
      <c r="D105" s="156">
        <v>97596.490265136774</v>
      </c>
      <c r="E105" s="156">
        <v>0</v>
      </c>
      <c r="F105" s="156">
        <v>0</v>
      </c>
      <c r="G105" s="156">
        <v>0</v>
      </c>
      <c r="H105" s="440">
        <f t="shared" si="16"/>
        <v>192960.73429474045</v>
      </c>
      <c r="I105" s="156">
        <v>5914.7906428571432</v>
      </c>
      <c r="J105" s="443">
        <f>'B) D RI'!U106</f>
        <v>5288.8125476190471</v>
      </c>
      <c r="K105" s="67">
        <f t="shared" si="14"/>
        <v>32.623425907350573</v>
      </c>
      <c r="L105" s="34">
        <f>'B) D RI'!S106</f>
        <v>70</v>
      </c>
      <c r="M105" s="34">
        <f t="shared" si="9"/>
        <v>37.376574092649427</v>
      </c>
      <c r="N105" s="34">
        <f>'J) Plafonnement effort'!G104+'J) Plafonnement effort'!H104-'K) Plafonnement aide'!I104</f>
        <v>31.049144994509771</v>
      </c>
      <c r="O105" s="34">
        <f t="shared" si="10"/>
        <v>68.425719087159194</v>
      </c>
      <c r="P105" s="48">
        <f t="shared" si="11"/>
        <v>0</v>
      </c>
      <c r="Q105" s="58">
        <f t="shared" si="15"/>
        <v>0</v>
      </c>
      <c r="R105" s="151">
        <f t="shared" si="12"/>
        <v>68.425719087159194</v>
      </c>
      <c r="S105" s="131">
        <f t="shared" si="13"/>
        <v>-1.5742809128408055</v>
      </c>
      <c r="T105" s="150">
        <f t="shared" si="17"/>
        <v>0</v>
      </c>
      <c r="V105" s="12"/>
    </row>
    <row r="106" spans="1:22" x14ac:dyDescent="0.25">
      <c r="A106" s="50">
        <f>'A) Base RI'!A107</f>
        <v>5563</v>
      </c>
      <c r="B106" s="437" t="str">
        <f>'A) Base RI'!B107</f>
        <v>Mutrux</v>
      </c>
      <c r="C106" s="156">
        <v>52864.22400028861</v>
      </c>
      <c r="D106" s="156">
        <v>-61024.724494270915</v>
      </c>
      <c r="E106" s="156">
        <v>0</v>
      </c>
      <c r="F106" s="156">
        <v>0</v>
      </c>
      <c r="G106" s="156">
        <v>0</v>
      </c>
      <c r="H106" s="440">
        <f t="shared" si="16"/>
        <v>-8160.5004939823048</v>
      </c>
      <c r="I106" s="156">
        <v>3113.0356687898088</v>
      </c>
      <c r="J106" s="443">
        <f>'B) D RI'!U107</f>
        <v>3325.060127388535</v>
      </c>
      <c r="K106" s="67">
        <f t="shared" si="14"/>
        <v>-2.621396399596891</v>
      </c>
      <c r="L106" s="34">
        <f>'B) D RI'!S107</f>
        <v>78.5</v>
      </c>
      <c r="M106" s="34">
        <f t="shared" si="9"/>
        <v>81.12139639959689</v>
      </c>
      <c r="N106" s="34">
        <f>'J) Plafonnement effort'!G105+'J) Plafonnement effort'!H105-'K) Plafonnement aide'!I105</f>
        <v>-5.7259716189476908</v>
      </c>
      <c r="O106" s="34">
        <f t="shared" si="10"/>
        <v>75.395424780649194</v>
      </c>
      <c r="P106" s="48">
        <f t="shared" si="11"/>
        <v>0</v>
      </c>
      <c r="Q106" s="58">
        <f t="shared" si="15"/>
        <v>0</v>
      </c>
      <c r="R106" s="151">
        <f t="shared" si="12"/>
        <v>75.395424780649194</v>
      </c>
      <c r="S106" s="131">
        <f t="shared" si="13"/>
        <v>-3.1045752193508065</v>
      </c>
      <c r="T106" s="150">
        <f t="shared" si="17"/>
        <v>0</v>
      </c>
      <c r="V106" s="12"/>
    </row>
    <row r="107" spans="1:22" x14ac:dyDescent="0.25">
      <c r="A107" s="50">
        <f>'A) Base RI'!A108</f>
        <v>5564</v>
      </c>
      <c r="B107" s="437" t="str">
        <f>'A) Base RI'!B108</f>
        <v>Novalles</v>
      </c>
      <c r="C107" s="156">
        <v>47867.801303394852</v>
      </c>
      <c r="D107" s="156">
        <v>-4926.2081973080712</v>
      </c>
      <c r="E107" s="156">
        <v>0</v>
      </c>
      <c r="F107" s="156">
        <v>0</v>
      </c>
      <c r="G107" s="156">
        <v>0</v>
      </c>
      <c r="H107" s="440">
        <f t="shared" si="16"/>
        <v>42941.593106086781</v>
      </c>
      <c r="I107" s="156">
        <v>2626.7922039473683</v>
      </c>
      <c r="J107" s="443">
        <f>'B) D RI'!U108</f>
        <v>2879.4712828947363</v>
      </c>
      <c r="K107" s="67">
        <f t="shared" si="14"/>
        <v>16.347540944257798</v>
      </c>
      <c r="L107" s="34">
        <f>'B) D RI'!S108</f>
        <v>76</v>
      </c>
      <c r="M107" s="34">
        <f t="shared" si="9"/>
        <v>59.652459055742199</v>
      </c>
      <c r="N107" s="34">
        <f>'J) Plafonnement effort'!G106+'J) Plafonnement effort'!H106-'K) Plafonnement aide'!I106</f>
        <v>17.731639608725157</v>
      </c>
      <c r="O107" s="34">
        <f t="shared" si="10"/>
        <v>77.384098664467359</v>
      </c>
      <c r="P107" s="48">
        <f t="shared" si="11"/>
        <v>0</v>
      </c>
      <c r="Q107" s="58">
        <f t="shared" si="15"/>
        <v>0</v>
      </c>
      <c r="R107" s="151">
        <f t="shared" si="12"/>
        <v>77.384098664467359</v>
      </c>
      <c r="S107" s="131">
        <f t="shared" si="13"/>
        <v>1.3840986644673592</v>
      </c>
      <c r="T107" s="150">
        <f t="shared" si="17"/>
        <v>0</v>
      </c>
      <c r="V107" s="12"/>
    </row>
    <row r="108" spans="1:22" x14ac:dyDescent="0.25">
      <c r="A108" s="50">
        <f>'A) Base RI'!A109</f>
        <v>5565</v>
      </c>
      <c r="B108" s="437" t="str">
        <f>'A) Base RI'!B109</f>
        <v>Onnens</v>
      </c>
      <c r="C108" s="156">
        <v>334780.87190058682</v>
      </c>
      <c r="D108" s="156">
        <v>265038.45788213459</v>
      </c>
      <c r="E108" s="156">
        <v>0</v>
      </c>
      <c r="F108" s="156">
        <v>0</v>
      </c>
      <c r="G108" s="156">
        <v>0</v>
      </c>
      <c r="H108" s="440">
        <f t="shared" si="16"/>
        <v>599819.32978272135</v>
      </c>
      <c r="I108" s="156">
        <v>19016.562615384613</v>
      </c>
      <c r="J108" s="443">
        <f>'B) D RI'!U109</f>
        <v>21859.350153846153</v>
      </c>
      <c r="K108" s="67">
        <f t="shared" si="14"/>
        <v>31.541942774529648</v>
      </c>
      <c r="L108" s="34">
        <f>'B) D RI'!S109</f>
        <v>65</v>
      </c>
      <c r="M108" s="34">
        <f t="shared" si="9"/>
        <v>33.458057225470355</v>
      </c>
      <c r="N108" s="34">
        <f>'J) Plafonnement effort'!G107+'J) Plafonnement effort'!H107-'K) Plafonnement aide'!I107</f>
        <v>29.260855095032021</v>
      </c>
      <c r="O108" s="34">
        <f t="shared" si="10"/>
        <v>62.718912320502376</v>
      </c>
      <c r="P108" s="48">
        <f t="shared" si="11"/>
        <v>0</v>
      </c>
      <c r="Q108" s="58">
        <f t="shared" si="15"/>
        <v>0</v>
      </c>
      <c r="R108" s="151">
        <f t="shared" si="12"/>
        <v>62.718912320502376</v>
      </c>
      <c r="S108" s="131">
        <f t="shared" si="13"/>
        <v>-2.2810876794976238</v>
      </c>
      <c r="T108" s="150">
        <f t="shared" si="17"/>
        <v>0</v>
      </c>
      <c r="V108" s="12"/>
    </row>
    <row r="109" spans="1:22" x14ac:dyDescent="0.25">
      <c r="A109" s="50">
        <f>'A) Base RI'!A110</f>
        <v>5566</v>
      </c>
      <c r="B109" s="437" t="str">
        <f>'A) Base RI'!B110</f>
        <v>Provence</v>
      </c>
      <c r="C109" s="156">
        <v>139090.5110246687</v>
      </c>
      <c r="D109" s="156">
        <v>-137242.88295246777</v>
      </c>
      <c r="E109" s="156">
        <v>0</v>
      </c>
      <c r="F109" s="156">
        <v>0</v>
      </c>
      <c r="G109" s="156">
        <v>0</v>
      </c>
      <c r="H109" s="440">
        <f t="shared" si="16"/>
        <v>1847.6280722009251</v>
      </c>
      <c r="I109" s="156">
        <v>7944.5948559670787</v>
      </c>
      <c r="J109" s="443">
        <f>'B) D RI'!U110</f>
        <v>8283.9104526748961</v>
      </c>
      <c r="K109" s="67">
        <f t="shared" si="14"/>
        <v>0.23256416541029734</v>
      </c>
      <c r="L109" s="34">
        <f>'B) D RI'!S110</f>
        <v>81</v>
      </c>
      <c r="M109" s="34">
        <f t="shared" si="9"/>
        <v>80.767435834589705</v>
      </c>
      <c r="N109" s="34">
        <f>'J) Plafonnement effort'!G108+'J) Plafonnement effort'!H108-'K) Plafonnement aide'!I108</f>
        <v>-5.8958653307985109</v>
      </c>
      <c r="O109" s="34">
        <f t="shared" si="10"/>
        <v>74.87157050379119</v>
      </c>
      <c r="P109" s="48">
        <f t="shared" si="11"/>
        <v>0</v>
      </c>
      <c r="Q109" s="58">
        <f t="shared" si="15"/>
        <v>0</v>
      </c>
      <c r="R109" s="151">
        <f t="shared" si="12"/>
        <v>74.87157050379119</v>
      </c>
      <c r="S109" s="131">
        <f t="shared" si="13"/>
        <v>-6.1284294962088097</v>
      </c>
      <c r="T109" s="150">
        <f t="shared" si="17"/>
        <v>0</v>
      </c>
      <c r="V109" s="12"/>
    </row>
    <row r="110" spans="1:22" x14ac:dyDescent="0.25">
      <c r="A110" s="50">
        <f>'A) Base RI'!A111</f>
        <v>5568</v>
      </c>
      <c r="B110" s="437" t="str">
        <f>'A) Base RI'!B111</f>
        <v>Sainte-Croix</v>
      </c>
      <c r="C110" s="156">
        <v>2444836.2652007332</v>
      </c>
      <c r="D110" s="156">
        <v>-2200745.2081456836</v>
      </c>
      <c r="E110" s="156">
        <v>0</v>
      </c>
      <c r="F110" s="156">
        <v>0</v>
      </c>
      <c r="G110" s="156">
        <v>0</v>
      </c>
      <c r="H110" s="440">
        <f t="shared" si="16"/>
        <v>244091.05705504958</v>
      </c>
      <c r="I110" s="156">
        <v>100789.16114285712</v>
      </c>
      <c r="J110" s="443">
        <f>'B) D RI'!U111</f>
        <v>103146.8182857143</v>
      </c>
      <c r="K110" s="67">
        <f t="shared" si="14"/>
        <v>2.4217986764378203</v>
      </c>
      <c r="L110" s="34">
        <f>'B) D RI'!S111</f>
        <v>70</v>
      </c>
      <c r="M110" s="34">
        <f t="shared" si="9"/>
        <v>67.578201323562183</v>
      </c>
      <c r="N110" s="34">
        <f>'J) Plafonnement effort'!G109+'J) Plafonnement effort'!H109-'K) Plafonnement aide'!I109</f>
        <v>-6.4931988628805755</v>
      </c>
      <c r="O110" s="34">
        <f t="shared" si="10"/>
        <v>61.085002460681608</v>
      </c>
      <c r="P110" s="48">
        <f t="shared" si="11"/>
        <v>0</v>
      </c>
      <c r="Q110" s="58">
        <f t="shared" si="15"/>
        <v>0</v>
      </c>
      <c r="R110" s="151">
        <f t="shared" si="12"/>
        <v>61.085002460681608</v>
      </c>
      <c r="S110" s="131">
        <f t="shared" si="13"/>
        <v>-8.9149975393183922</v>
      </c>
      <c r="T110" s="150">
        <f t="shared" si="17"/>
        <v>0</v>
      </c>
      <c r="V110" s="12"/>
    </row>
    <row r="111" spans="1:22" x14ac:dyDescent="0.25">
      <c r="A111" s="50">
        <f>'A) Base RI'!A112</f>
        <v>5571</v>
      </c>
      <c r="B111" s="437" t="str">
        <f>'A) Base RI'!B112</f>
        <v>Tévenon</v>
      </c>
      <c r="C111" s="156">
        <v>380878.82525507337</v>
      </c>
      <c r="D111" s="156">
        <v>-35566.303648349829</v>
      </c>
      <c r="E111" s="156">
        <v>0</v>
      </c>
      <c r="F111" s="156">
        <v>0</v>
      </c>
      <c r="G111" s="156">
        <v>0</v>
      </c>
      <c r="H111" s="440">
        <f t="shared" si="16"/>
        <v>345312.52160672355</v>
      </c>
      <c r="I111" s="156">
        <v>21355.706643835612</v>
      </c>
      <c r="J111" s="443">
        <f>'B) D RI'!U112</f>
        <v>22505.207716894973</v>
      </c>
      <c r="K111" s="67">
        <f t="shared" si="14"/>
        <v>16.169566634611879</v>
      </c>
      <c r="L111" s="34">
        <f>'B) D RI'!S112</f>
        <v>73</v>
      </c>
      <c r="M111" s="34">
        <f t="shared" si="9"/>
        <v>56.830433365388117</v>
      </c>
      <c r="N111" s="34">
        <f>'J) Plafonnement effort'!G110+'J) Plafonnement effort'!H110-'K) Plafonnement aide'!I110</f>
        <v>12.681188578764587</v>
      </c>
      <c r="O111" s="34">
        <f t="shared" si="10"/>
        <v>69.511621944152708</v>
      </c>
      <c r="P111" s="48">
        <f t="shared" si="11"/>
        <v>0</v>
      </c>
      <c r="Q111" s="58">
        <f t="shared" si="15"/>
        <v>0</v>
      </c>
      <c r="R111" s="151">
        <f t="shared" si="12"/>
        <v>69.511621944152708</v>
      </c>
      <c r="S111" s="131">
        <f t="shared" si="13"/>
        <v>-3.4883780558472921</v>
      </c>
      <c r="T111" s="150">
        <f t="shared" si="17"/>
        <v>0</v>
      </c>
      <c r="V111" s="12"/>
    </row>
    <row r="112" spans="1:22" x14ac:dyDescent="0.25">
      <c r="A112" s="50">
        <f>'A) Base RI'!A113</f>
        <v>5581</v>
      </c>
      <c r="B112" s="437" t="str">
        <f>'A) Base RI'!B113</f>
        <v>Belmont-sur-Lausanne</v>
      </c>
      <c r="C112" s="156">
        <v>3399830.0660635941</v>
      </c>
      <c r="D112" s="156">
        <v>2447116.8575254506</v>
      </c>
      <c r="E112" s="156">
        <v>0</v>
      </c>
      <c r="F112" s="156">
        <v>0</v>
      </c>
      <c r="G112" s="156">
        <v>0</v>
      </c>
      <c r="H112" s="440">
        <f t="shared" si="16"/>
        <v>5846946.9235890452</v>
      </c>
      <c r="I112" s="156">
        <v>192798.41534772189</v>
      </c>
      <c r="J112" s="443">
        <f>'B) D RI'!U113</f>
        <v>187970.76781774583</v>
      </c>
      <c r="K112" s="67">
        <f t="shared" si="14"/>
        <v>30.326737452918245</v>
      </c>
      <c r="L112" s="34">
        <f>'B) D RI'!S113</f>
        <v>69.5</v>
      </c>
      <c r="M112" s="34">
        <f t="shared" si="9"/>
        <v>39.173262547081755</v>
      </c>
      <c r="N112" s="34">
        <f>'J) Plafonnement effort'!G111+'J) Plafonnement effort'!H111-'K) Plafonnement aide'!I111</f>
        <v>27.14292817538556</v>
      </c>
      <c r="O112" s="34">
        <f t="shared" si="10"/>
        <v>66.316190722467312</v>
      </c>
      <c r="P112" s="48">
        <f t="shared" si="11"/>
        <v>0</v>
      </c>
      <c r="Q112" s="58">
        <f t="shared" si="15"/>
        <v>0</v>
      </c>
      <c r="R112" s="151">
        <f t="shared" si="12"/>
        <v>66.316190722467312</v>
      </c>
      <c r="S112" s="131">
        <f t="shared" si="13"/>
        <v>-3.1838092775326885</v>
      </c>
      <c r="T112" s="150">
        <f t="shared" si="17"/>
        <v>0</v>
      </c>
      <c r="V112" s="12"/>
    </row>
    <row r="113" spans="1:22" x14ac:dyDescent="0.25">
      <c r="A113" s="50">
        <f>'A) Base RI'!A114</f>
        <v>5582</v>
      </c>
      <c r="B113" s="437" t="str">
        <f>'A) Base RI'!B114</f>
        <v>Cheseaux-sur-Lausanne</v>
      </c>
      <c r="C113" s="156">
        <v>2939976.183133</v>
      </c>
      <c r="D113" s="156">
        <v>1579489.6388228275</v>
      </c>
      <c r="E113" s="156">
        <v>0</v>
      </c>
      <c r="F113" s="156">
        <v>0</v>
      </c>
      <c r="G113" s="156">
        <v>0</v>
      </c>
      <c r="H113" s="440">
        <f t="shared" si="16"/>
        <v>4519465.821955828</v>
      </c>
      <c r="I113" s="156">
        <v>181145.82187919464</v>
      </c>
      <c r="J113" s="443">
        <f>'B) D RI'!U114</f>
        <v>177854.9614765101</v>
      </c>
      <c r="K113" s="67">
        <f t="shared" si="14"/>
        <v>24.94932411397178</v>
      </c>
      <c r="L113" s="34">
        <f>'B) D RI'!S114</f>
        <v>74.5</v>
      </c>
      <c r="M113" s="34">
        <f t="shared" si="9"/>
        <v>49.550675886028216</v>
      </c>
      <c r="N113" s="34">
        <f>'J) Plafonnement effort'!G112+'J) Plafonnement effort'!H112-'K) Plafonnement aide'!I112</f>
        <v>24.23099017205352</v>
      </c>
      <c r="O113" s="34">
        <f t="shared" si="10"/>
        <v>73.78166605808174</v>
      </c>
      <c r="P113" s="48">
        <f t="shared" si="11"/>
        <v>0</v>
      </c>
      <c r="Q113" s="58">
        <f t="shared" si="15"/>
        <v>0</v>
      </c>
      <c r="R113" s="151">
        <f t="shared" si="12"/>
        <v>73.78166605808174</v>
      </c>
      <c r="S113" s="131">
        <f t="shared" si="13"/>
        <v>-0.71833394191826017</v>
      </c>
      <c r="T113" s="150">
        <f t="shared" si="17"/>
        <v>0</v>
      </c>
      <c r="V113" s="12"/>
    </row>
    <row r="114" spans="1:22" x14ac:dyDescent="0.25">
      <c r="A114" s="50">
        <f>'A) Base RI'!A115</f>
        <v>5583</v>
      </c>
      <c r="B114" s="437" t="str">
        <f>'A) Base RI'!B115</f>
        <v>Crissier</v>
      </c>
      <c r="C114" s="156">
        <v>5736340.9724764246</v>
      </c>
      <c r="D114" s="156">
        <v>1557510.8220401229</v>
      </c>
      <c r="E114" s="156">
        <v>0</v>
      </c>
      <c r="F114" s="156">
        <v>0</v>
      </c>
      <c r="G114" s="156">
        <v>0</v>
      </c>
      <c r="H114" s="440">
        <f t="shared" si="16"/>
        <v>7293851.7945165476</v>
      </c>
      <c r="I114" s="156">
        <v>315798.9015384615</v>
      </c>
      <c r="J114" s="443">
        <f>'B) D RI'!U115</f>
        <v>343062.59507692308</v>
      </c>
      <c r="K114" s="67">
        <f t="shared" si="14"/>
        <v>23.096507806022945</v>
      </c>
      <c r="L114" s="34">
        <f>'B) D RI'!S115</f>
        <v>65</v>
      </c>
      <c r="M114" s="34">
        <f t="shared" si="9"/>
        <v>41.903492193977058</v>
      </c>
      <c r="N114" s="34">
        <f>'J) Plafonnement effort'!G113+'J) Plafonnement effort'!H113-'K) Plafonnement aide'!I113</f>
        <v>23.134273484033375</v>
      </c>
      <c r="O114" s="34">
        <f t="shared" si="10"/>
        <v>65.03776567801043</v>
      </c>
      <c r="P114" s="48">
        <f t="shared" si="11"/>
        <v>0</v>
      </c>
      <c r="Q114" s="58">
        <f t="shared" si="15"/>
        <v>0</v>
      </c>
      <c r="R114" s="151">
        <f t="shared" si="12"/>
        <v>65.03776567801043</v>
      </c>
      <c r="S114" s="131">
        <f t="shared" si="13"/>
        <v>3.7765678010430292E-2</v>
      </c>
      <c r="T114" s="150">
        <f t="shared" si="17"/>
        <v>0</v>
      </c>
      <c r="V114" s="12"/>
    </row>
    <row r="115" spans="1:22" x14ac:dyDescent="0.25">
      <c r="A115" s="50">
        <f>'A) Base RI'!A116</f>
        <v>5584</v>
      </c>
      <c r="B115" s="437" t="str">
        <f>'A) Base RI'!B116</f>
        <v>Epalinges</v>
      </c>
      <c r="C115" s="156">
        <v>7830152.5082329642</v>
      </c>
      <c r="D115" s="156">
        <v>3415864.1524851955</v>
      </c>
      <c r="E115" s="156">
        <v>0</v>
      </c>
      <c r="F115" s="156">
        <v>0</v>
      </c>
      <c r="G115" s="156">
        <v>0</v>
      </c>
      <c r="H115" s="440">
        <f t="shared" si="16"/>
        <v>11246016.66071816</v>
      </c>
      <c r="I115" s="156">
        <v>424408.2359090909</v>
      </c>
      <c r="J115" s="443">
        <f>'B) D RI'!U116</f>
        <v>468635.24666666664</v>
      </c>
      <c r="K115" s="67">
        <f t="shared" si="14"/>
        <v>26.498111273992993</v>
      </c>
      <c r="L115" s="34">
        <f>'B) D RI'!S116</f>
        <v>66</v>
      </c>
      <c r="M115" s="34">
        <f t="shared" ref="M115:M166" si="18">L115-K115</f>
        <v>39.50188872600701</v>
      </c>
      <c r="N115" s="34">
        <f>'J) Plafonnement effort'!G114+'J) Plafonnement effort'!H114-'K) Plafonnement aide'!I114</f>
        <v>25.103797263101178</v>
      </c>
      <c r="O115" s="34">
        <f t="shared" ref="O115:O166" si="19">M115+N115</f>
        <v>64.605685989108196</v>
      </c>
      <c r="P115" s="48">
        <f t="shared" ref="P115:P166" si="20">IF(O115&gt;$P$5,$P$5-O115,0)</f>
        <v>0</v>
      </c>
      <c r="Q115" s="58">
        <f t="shared" si="15"/>
        <v>0</v>
      </c>
      <c r="R115" s="151">
        <f t="shared" ref="R115:R166" si="21">O115+P115</f>
        <v>64.605685989108196</v>
      </c>
      <c r="S115" s="131">
        <f t="shared" ref="S115:S166" si="22">R115-L115</f>
        <v>-1.3943140108918044</v>
      </c>
      <c r="T115" s="150">
        <f t="shared" si="17"/>
        <v>0</v>
      </c>
      <c r="V115" s="12"/>
    </row>
    <row r="116" spans="1:22" x14ac:dyDescent="0.25">
      <c r="A116" s="50">
        <f>'A) Base RI'!A117</f>
        <v>5585</v>
      </c>
      <c r="B116" s="437" t="str">
        <f>'A) Base RI'!B117</f>
        <v>Jouxtens-Mézery</v>
      </c>
      <c r="C116" s="156">
        <v>4616324.945786329</v>
      </c>
      <c r="D116" s="156">
        <v>2396621.9302658904</v>
      </c>
      <c r="E116" s="156">
        <v>0</v>
      </c>
      <c r="F116" s="156">
        <v>0</v>
      </c>
      <c r="G116" s="156">
        <v>0</v>
      </c>
      <c r="H116" s="440">
        <f t="shared" si="16"/>
        <v>7012946.8760522194</v>
      </c>
      <c r="I116" s="156">
        <v>171676.58132075472</v>
      </c>
      <c r="J116" s="443">
        <f>'B) D RI'!U117</f>
        <v>222395.52905660376</v>
      </c>
      <c r="K116" s="67">
        <f t="shared" si="14"/>
        <v>40.84975843588979</v>
      </c>
      <c r="L116" s="34">
        <f>'B) D RI'!S117</f>
        <v>53</v>
      </c>
      <c r="M116" s="34">
        <f t="shared" si="18"/>
        <v>12.15024156411021</v>
      </c>
      <c r="N116" s="34">
        <f>'J) Plafonnement effort'!G115+'J) Plafonnement effort'!H115-'K) Plafonnement aide'!I115</f>
        <v>45</v>
      </c>
      <c r="O116" s="34">
        <f t="shared" si="19"/>
        <v>57.15024156411021</v>
      </c>
      <c r="P116" s="48">
        <f t="shared" si="20"/>
        <v>0</v>
      </c>
      <c r="Q116" s="58">
        <f t="shared" si="15"/>
        <v>0</v>
      </c>
      <c r="R116" s="151">
        <f t="shared" si="21"/>
        <v>57.15024156411021</v>
      </c>
      <c r="S116" s="131">
        <f t="shared" si="22"/>
        <v>4.1502415641102104</v>
      </c>
      <c r="T116" s="150">
        <f t="shared" si="17"/>
        <v>0</v>
      </c>
      <c r="V116" s="12"/>
    </row>
    <row r="117" spans="1:22" x14ac:dyDescent="0.25">
      <c r="A117" s="50">
        <f>'A) Base RI'!A118</f>
        <v>5586</v>
      </c>
      <c r="B117" s="437" t="str">
        <f>'A) Base RI'!B118</f>
        <v>Lausanne</v>
      </c>
      <c r="C117" s="156">
        <v>113723418.08266759</v>
      </c>
      <c r="D117" s="156">
        <v>-24399122.325222105</v>
      </c>
      <c r="E117" s="156">
        <v>0</v>
      </c>
      <c r="F117" s="156">
        <v>0</v>
      </c>
      <c r="G117" s="156">
        <v>0</v>
      </c>
      <c r="H117" s="440">
        <f t="shared" si="16"/>
        <v>89324295.757445484</v>
      </c>
      <c r="I117" s="156">
        <v>6228304.1083544316</v>
      </c>
      <c r="J117" s="443">
        <f>'B) D RI'!U118</f>
        <v>5998569.406244725</v>
      </c>
      <c r="K117" s="67">
        <f t="shared" ref="K117:K167" si="23">H117/I117</f>
        <v>14.341672179691574</v>
      </c>
      <c r="L117" s="34">
        <f>'B) D RI'!S118</f>
        <v>79</v>
      </c>
      <c r="M117" s="34">
        <f t="shared" si="18"/>
        <v>64.658327820308429</v>
      </c>
      <c r="N117" s="34">
        <f>'J) Plafonnement effort'!G116+'J) Plafonnement effort'!H116-'K) Plafonnement aide'!I116</f>
        <v>4.8841505345508258</v>
      </c>
      <c r="O117" s="34">
        <f t="shared" si="19"/>
        <v>69.542478354859256</v>
      </c>
      <c r="P117" s="48">
        <f t="shared" si="20"/>
        <v>0</v>
      </c>
      <c r="Q117" s="58">
        <f t="shared" si="15"/>
        <v>0</v>
      </c>
      <c r="R117" s="151">
        <f t="shared" si="21"/>
        <v>69.542478354859256</v>
      </c>
      <c r="S117" s="131">
        <f t="shared" si="22"/>
        <v>-9.4575216451407442</v>
      </c>
      <c r="T117" s="150">
        <f t="shared" si="17"/>
        <v>0</v>
      </c>
      <c r="V117" s="12"/>
    </row>
    <row r="118" spans="1:22" x14ac:dyDescent="0.25">
      <c r="A118" s="50">
        <f>'A) Base RI'!A119</f>
        <v>5587</v>
      </c>
      <c r="B118" s="437" t="str">
        <f>'A) Base RI'!B119</f>
        <v>Le Mont-sur-Lausanne</v>
      </c>
      <c r="C118" s="156">
        <v>7360917.1027372833</v>
      </c>
      <c r="D118" s="156">
        <v>4138507.1881260714</v>
      </c>
      <c r="E118" s="156">
        <v>0</v>
      </c>
      <c r="F118" s="156">
        <v>0</v>
      </c>
      <c r="G118" s="156">
        <v>0</v>
      </c>
      <c r="H118" s="440">
        <f t="shared" si="16"/>
        <v>11499424.290863354</v>
      </c>
      <c r="I118" s="156">
        <v>419199.48633333331</v>
      </c>
      <c r="J118" s="443">
        <f>'B) D RI'!U119</f>
        <v>426789.42020000005</v>
      </c>
      <c r="K118" s="67">
        <f t="shared" si="23"/>
        <v>27.43186636855609</v>
      </c>
      <c r="L118" s="34">
        <f>'B) D RI'!S119</f>
        <v>75</v>
      </c>
      <c r="M118" s="34">
        <f t="shared" si="18"/>
        <v>47.568133631443914</v>
      </c>
      <c r="N118" s="34">
        <f>'J) Plafonnement effort'!G117+'J) Plafonnement effort'!H117-'K) Plafonnement aide'!I117</f>
        <v>21.717011074012998</v>
      </c>
      <c r="O118" s="34">
        <f t="shared" si="19"/>
        <v>69.285144705456915</v>
      </c>
      <c r="P118" s="48">
        <f t="shared" si="20"/>
        <v>0</v>
      </c>
      <c r="Q118" s="58">
        <f t="shared" ref="Q118:Q167" si="24">P118*J118</f>
        <v>0</v>
      </c>
      <c r="R118" s="151">
        <f t="shared" si="21"/>
        <v>69.285144705456915</v>
      </c>
      <c r="S118" s="131">
        <f t="shared" si="22"/>
        <v>-5.7148552945430851</v>
      </c>
      <c r="T118" s="150">
        <f t="shared" si="17"/>
        <v>0</v>
      </c>
      <c r="V118" s="12"/>
    </row>
    <row r="119" spans="1:22" x14ac:dyDescent="0.25">
      <c r="A119" s="50">
        <f>'A) Base RI'!A120</f>
        <v>5588</v>
      </c>
      <c r="B119" s="437" t="str">
        <f>'A) Base RI'!B120</f>
        <v>Paudex</v>
      </c>
      <c r="C119" s="156">
        <v>3629377.5318979397</v>
      </c>
      <c r="D119" s="156">
        <v>2086463.3991928552</v>
      </c>
      <c r="E119" s="156">
        <v>0</v>
      </c>
      <c r="F119" s="156">
        <v>0</v>
      </c>
      <c r="G119" s="156">
        <v>0</v>
      </c>
      <c r="H119" s="440">
        <f t="shared" si="16"/>
        <v>5715840.9310907945</v>
      </c>
      <c r="I119" s="156">
        <v>145215.51428571431</v>
      </c>
      <c r="J119" s="443">
        <f>'B) D RI'!U120</f>
        <v>123307.63563298491</v>
      </c>
      <c r="K119" s="67">
        <f t="shared" si="23"/>
        <v>39.361090026818815</v>
      </c>
      <c r="L119" s="34">
        <f>'B) D RI'!S120</f>
        <v>61.5</v>
      </c>
      <c r="M119" s="34">
        <f t="shared" si="18"/>
        <v>22.138909973181185</v>
      </c>
      <c r="N119" s="34">
        <f>'J) Plafonnement effort'!G118+'J) Plafonnement effort'!H118-'K) Plafonnement aide'!I118</f>
        <v>39.158068144337406</v>
      </c>
      <c r="O119" s="34">
        <f t="shared" si="19"/>
        <v>61.296978117518591</v>
      </c>
      <c r="P119" s="48">
        <f t="shared" si="20"/>
        <v>0</v>
      </c>
      <c r="Q119" s="58">
        <f t="shared" si="24"/>
        <v>0</v>
      </c>
      <c r="R119" s="151">
        <f t="shared" si="21"/>
        <v>61.296978117518591</v>
      </c>
      <c r="S119" s="131">
        <f t="shared" si="22"/>
        <v>-0.20302188248140851</v>
      </c>
      <c r="T119" s="150">
        <f t="shared" si="17"/>
        <v>0</v>
      </c>
      <c r="V119" s="12"/>
    </row>
    <row r="120" spans="1:22" x14ac:dyDescent="0.25">
      <c r="A120" s="50">
        <f>'A) Base RI'!A121</f>
        <v>5589</v>
      </c>
      <c r="B120" s="437" t="str">
        <f>'A) Base RI'!B121</f>
        <v>Prilly</v>
      </c>
      <c r="C120" s="156">
        <v>7647603.8531068917</v>
      </c>
      <c r="D120" s="156">
        <v>-1106161.5777034033</v>
      </c>
      <c r="E120" s="156">
        <v>0</v>
      </c>
      <c r="F120" s="156">
        <v>0</v>
      </c>
      <c r="G120" s="156">
        <v>0</v>
      </c>
      <c r="H120" s="440">
        <f t="shared" si="16"/>
        <v>6541442.2754034884</v>
      </c>
      <c r="I120" s="156">
        <v>433086.92517006805</v>
      </c>
      <c r="J120" s="443">
        <f>'B) D RI'!U121</f>
        <v>426033.15632653062</v>
      </c>
      <c r="K120" s="67">
        <f t="shared" si="23"/>
        <v>15.10422479929345</v>
      </c>
      <c r="L120" s="34">
        <f>'B) D RI'!S121</f>
        <v>73.5</v>
      </c>
      <c r="M120" s="34">
        <f t="shared" si="18"/>
        <v>58.395775200706552</v>
      </c>
      <c r="N120" s="34">
        <f>'J) Plafonnement effort'!G119+'J) Plafonnement effort'!H119-'K) Plafonnement aide'!I119</f>
        <v>7.9193371787260549</v>
      </c>
      <c r="O120" s="34">
        <f t="shared" si="19"/>
        <v>66.315112379432605</v>
      </c>
      <c r="P120" s="48">
        <f t="shared" si="20"/>
        <v>0</v>
      </c>
      <c r="Q120" s="58">
        <f t="shared" si="24"/>
        <v>0</v>
      </c>
      <c r="R120" s="151">
        <f t="shared" si="21"/>
        <v>66.315112379432605</v>
      </c>
      <c r="S120" s="131">
        <f t="shared" si="22"/>
        <v>-7.1848876205673946</v>
      </c>
      <c r="T120" s="150">
        <f t="shared" si="17"/>
        <v>0</v>
      </c>
      <c r="V120" s="12"/>
    </row>
    <row r="121" spans="1:22" x14ac:dyDescent="0.25">
      <c r="A121" s="50">
        <f>'A) Base RI'!A122</f>
        <v>5590</v>
      </c>
      <c r="B121" s="437" t="str">
        <f>'A) Base RI'!B122</f>
        <v>Pully</v>
      </c>
      <c r="C121" s="156">
        <v>35543563.116365254</v>
      </c>
      <c r="D121" s="156">
        <v>11564814.573841784</v>
      </c>
      <c r="E121" s="156">
        <v>0</v>
      </c>
      <c r="F121" s="156">
        <v>0</v>
      </c>
      <c r="G121" s="156">
        <v>0</v>
      </c>
      <c r="H121" s="440">
        <f t="shared" si="16"/>
        <v>47108377.690207034</v>
      </c>
      <c r="I121" s="156">
        <v>1436772.8338407492</v>
      </c>
      <c r="J121" s="443">
        <f>'B) D RI'!U122</f>
        <v>1404840.8814754093</v>
      </c>
      <c r="K121" s="67">
        <f t="shared" si="23"/>
        <v>32.787631127655693</v>
      </c>
      <c r="L121" s="34">
        <f>'B) D RI'!S122</f>
        <v>61</v>
      </c>
      <c r="M121" s="34">
        <f t="shared" si="18"/>
        <v>28.212368872344307</v>
      </c>
      <c r="N121" s="34">
        <f>'J) Plafonnement effort'!G120+'J) Plafonnement effort'!H120-'K) Plafonnement aide'!I120</f>
        <v>32.200839874461153</v>
      </c>
      <c r="O121" s="34">
        <f t="shared" si="19"/>
        <v>60.413208746805459</v>
      </c>
      <c r="P121" s="48">
        <f t="shared" si="20"/>
        <v>0</v>
      </c>
      <c r="Q121" s="58">
        <f t="shared" si="24"/>
        <v>0</v>
      </c>
      <c r="R121" s="151">
        <f t="shared" si="21"/>
        <v>60.413208746805459</v>
      </c>
      <c r="S121" s="131">
        <f t="shared" si="22"/>
        <v>-0.58679125319454073</v>
      </c>
      <c r="T121" s="150">
        <f t="shared" si="17"/>
        <v>0</v>
      </c>
      <c r="V121" s="12"/>
    </row>
    <row r="122" spans="1:22" x14ac:dyDescent="0.25">
      <c r="A122" s="50">
        <f>'A) Base RI'!A123</f>
        <v>5591</v>
      </c>
      <c r="B122" s="437" t="str">
        <f>'A) Base RI'!B123</f>
        <v>Renens</v>
      </c>
      <c r="C122" s="156">
        <v>9976014.0148693733</v>
      </c>
      <c r="D122" s="156">
        <v>-15593413.738164257</v>
      </c>
      <c r="E122" s="156">
        <v>2058154.8938499347</v>
      </c>
      <c r="F122" s="156">
        <v>0</v>
      </c>
      <c r="G122" s="156">
        <v>0</v>
      </c>
      <c r="H122" s="440">
        <f t="shared" si="16"/>
        <v>-3559244.8294449495</v>
      </c>
      <c r="I122" s="156">
        <v>547576.12760691531</v>
      </c>
      <c r="J122" s="443">
        <f>'B) D RI'!U123</f>
        <v>580334.81221110106</v>
      </c>
      <c r="K122" s="67">
        <f t="shared" si="23"/>
        <v>-6.5</v>
      </c>
      <c r="L122" s="34">
        <f>'B) D RI'!S123</f>
        <v>78.5</v>
      </c>
      <c r="M122" s="34">
        <f t="shared" si="18"/>
        <v>85</v>
      </c>
      <c r="N122" s="34">
        <f>'J) Plafonnement effort'!G121+'J) Plafonnement effort'!H121-'K) Plafonnement aide'!I121</f>
        <v>-13.198982689539349</v>
      </c>
      <c r="O122" s="34">
        <f t="shared" si="19"/>
        <v>71.801017310460651</v>
      </c>
      <c r="P122" s="48">
        <f t="shared" si="20"/>
        <v>0</v>
      </c>
      <c r="Q122" s="58">
        <f t="shared" si="24"/>
        <v>0</v>
      </c>
      <c r="R122" s="151">
        <f t="shared" si="21"/>
        <v>71.801017310460651</v>
      </c>
      <c r="S122" s="131">
        <f t="shared" si="22"/>
        <v>-6.6989826895393492</v>
      </c>
      <c r="T122" s="150">
        <f t="shared" si="17"/>
        <v>0</v>
      </c>
      <c r="V122" s="12"/>
    </row>
    <row r="123" spans="1:22" x14ac:dyDescent="0.25">
      <c r="A123" s="50">
        <f>'A) Base RI'!A124</f>
        <v>5592</v>
      </c>
      <c r="B123" s="437" t="str">
        <f>'A) Base RI'!B124</f>
        <v>Romanel-sur-Lausanne</v>
      </c>
      <c r="C123" s="156">
        <v>1962708.787304518</v>
      </c>
      <c r="D123" s="156">
        <v>580614.3280815538</v>
      </c>
      <c r="E123" s="156">
        <v>0</v>
      </c>
      <c r="F123" s="156">
        <v>0</v>
      </c>
      <c r="G123" s="156">
        <v>0</v>
      </c>
      <c r="H123" s="440">
        <f t="shared" si="16"/>
        <v>2543323.1153860716</v>
      </c>
      <c r="I123" s="156">
        <v>115829.88928571428</v>
      </c>
      <c r="J123" s="443">
        <f>'B) D RI'!U124</f>
        <v>113924.20114285716</v>
      </c>
      <c r="K123" s="67">
        <f t="shared" si="23"/>
        <v>21.957399174512972</v>
      </c>
      <c r="L123" s="34">
        <f>'B) D RI'!S124</f>
        <v>70</v>
      </c>
      <c r="M123" s="34">
        <f t="shared" si="18"/>
        <v>48.042600825487028</v>
      </c>
      <c r="N123" s="34">
        <f>'J) Plafonnement effort'!G122+'J) Plafonnement effort'!H122-'K) Plafonnement aide'!I122</f>
        <v>19.552286261005406</v>
      </c>
      <c r="O123" s="34">
        <f t="shared" si="19"/>
        <v>67.594887086492434</v>
      </c>
      <c r="P123" s="48">
        <f t="shared" si="20"/>
        <v>0</v>
      </c>
      <c r="Q123" s="58">
        <f t="shared" si="24"/>
        <v>0</v>
      </c>
      <c r="R123" s="151">
        <f t="shared" si="21"/>
        <v>67.594887086492434</v>
      </c>
      <c r="S123" s="131">
        <f t="shared" si="22"/>
        <v>-2.4051129135075655</v>
      </c>
      <c r="T123" s="150">
        <f t="shared" si="17"/>
        <v>0</v>
      </c>
      <c r="V123" s="12"/>
    </row>
    <row r="124" spans="1:22" x14ac:dyDescent="0.25">
      <c r="A124" s="50">
        <f>'A) Base RI'!A125</f>
        <v>5601</v>
      </c>
      <c r="B124" s="437" t="str">
        <f>'A) Base RI'!B125</f>
        <v>Chexbres</v>
      </c>
      <c r="C124" s="156">
        <v>2360149.0096037011</v>
      </c>
      <c r="D124" s="156">
        <v>1641492.0505521644</v>
      </c>
      <c r="E124" s="156">
        <v>0</v>
      </c>
      <c r="F124" s="156">
        <v>0</v>
      </c>
      <c r="G124" s="156">
        <v>0</v>
      </c>
      <c r="H124" s="440">
        <f t="shared" si="16"/>
        <v>4001641.0601558657</v>
      </c>
      <c r="I124" s="156">
        <v>117508.63062500001</v>
      </c>
      <c r="J124" s="443">
        <f>'B) D RI'!U125</f>
        <v>102834.27275362321</v>
      </c>
      <c r="K124" s="67">
        <f t="shared" si="23"/>
        <v>34.054018320799962</v>
      </c>
      <c r="L124" s="34">
        <f>'B) D RI'!S125</f>
        <v>69</v>
      </c>
      <c r="M124" s="34">
        <f t="shared" si="18"/>
        <v>34.945981679200038</v>
      </c>
      <c r="N124" s="34">
        <f>'J) Plafonnement effort'!G123+'J) Plafonnement effort'!H123-'K) Plafonnement aide'!I123</f>
        <v>29.980798225916807</v>
      </c>
      <c r="O124" s="34">
        <f t="shared" si="19"/>
        <v>64.926779905116845</v>
      </c>
      <c r="P124" s="48">
        <f t="shared" si="20"/>
        <v>0</v>
      </c>
      <c r="Q124" s="58">
        <f t="shared" si="24"/>
        <v>0</v>
      </c>
      <c r="R124" s="151">
        <f t="shared" si="21"/>
        <v>64.926779905116845</v>
      </c>
      <c r="S124" s="131">
        <f t="shared" si="22"/>
        <v>-4.0732200948831547</v>
      </c>
      <c r="T124" s="150">
        <f t="shared" si="17"/>
        <v>0</v>
      </c>
      <c r="V124" s="12"/>
    </row>
    <row r="125" spans="1:22" x14ac:dyDescent="0.25">
      <c r="A125" s="50">
        <f>'A) Base RI'!A126</f>
        <v>5604</v>
      </c>
      <c r="B125" s="437" t="str">
        <f>'A) Base RI'!B126</f>
        <v>Forel (Lavaux)</v>
      </c>
      <c r="C125" s="156">
        <v>1249716.8392284759</v>
      </c>
      <c r="D125" s="156">
        <v>451996.7003134113</v>
      </c>
      <c r="E125" s="156">
        <v>0</v>
      </c>
      <c r="F125" s="156">
        <v>0</v>
      </c>
      <c r="G125" s="156">
        <v>0</v>
      </c>
      <c r="H125" s="440">
        <f t="shared" si="16"/>
        <v>1701713.5395418871</v>
      </c>
      <c r="I125" s="156">
        <v>71631.535147058821</v>
      </c>
      <c r="J125" s="443">
        <f>'B) D RI'!U126</f>
        <v>76415.868285714285</v>
      </c>
      <c r="K125" s="67">
        <f t="shared" si="23"/>
        <v>23.756485688157966</v>
      </c>
      <c r="L125" s="34">
        <f>'B) D RI'!S126</f>
        <v>70</v>
      </c>
      <c r="M125" s="34">
        <f t="shared" si="18"/>
        <v>46.243514311842034</v>
      </c>
      <c r="N125" s="34">
        <f>'J) Plafonnement effort'!G124+'J) Plafonnement effort'!H124-'K) Plafonnement aide'!I124</f>
        <v>21.889111796087199</v>
      </c>
      <c r="O125" s="34">
        <f t="shared" si="19"/>
        <v>68.132626107929241</v>
      </c>
      <c r="P125" s="48">
        <f t="shared" si="20"/>
        <v>0</v>
      </c>
      <c r="Q125" s="58">
        <f t="shared" si="24"/>
        <v>0</v>
      </c>
      <c r="R125" s="151">
        <f t="shared" si="21"/>
        <v>68.132626107929241</v>
      </c>
      <c r="S125" s="131">
        <f t="shared" si="22"/>
        <v>-1.8673738920707592</v>
      </c>
      <c r="T125" s="150">
        <f t="shared" si="17"/>
        <v>0</v>
      </c>
      <c r="V125" s="12"/>
    </row>
    <row r="126" spans="1:22" x14ac:dyDescent="0.25">
      <c r="A126" s="50">
        <f>'A) Base RI'!A127</f>
        <v>5606</v>
      </c>
      <c r="B126" s="437" t="str">
        <f>'A) Base RI'!B127</f>
        <v>Lutry</v>
      </c>
      <c r="C126" s="156">
        <v>20862853.190543283</v>
      </c>
      <c r="D126" s="156">
        <v>9037285.1051181555</v>
      </c>
      <c r="E126" s="156">
        <v>0</v>
      </c>
      <c r="F126" s="156">
        <v>0</v>
      </c>
      <c r="G126" s="156">
        <v>0</v>
      </c>
      <c r="H126" s="440">
        <f t="shared" si="16"/>
        <v>29900138.295661438</v>
      </c>
      <c r="I126" s="156">
        <v>832533.93371943373</v>
      </c>
      <c r="J126" s="443">
        <f>'B) D RI'!U127</f>
        <v>833790.99884169886</v>
      </c>
      <c r="K126" s="67">
        <f t="shared" si="23"/>
        <v>35.914618113017205</v>
      </c>
      <c r="L126" s="34">
        <f>'B) D RI'!S127</f>
        <v>55.5</v>
      </c>
      <c r="M126" s="34">
        <f t="shared" si="18"/>
        <v>19.585381886982795</v>
      </c>
      <c r="N126" s="34">
        <f>'J) Plafonnement effort'!G125+'J) Plafonnement effort'!H125-'K) Plafonnement aide'!I125</f>
        <v>34.224564312157803</v>
      </c>
      <c r="O126" s="34">
        <f t="shared" si="19"/>
        <v>53.809946199140597</v>
      </c>
      <c r="P126" s="48">
        <f t="shared" si="20"/>
        <v>0</v>
      </c>
      <c r="Q126" s="58">
        <f t="shared" si="24"/>
        <v>0</v>
      </c>
      <c r="R126" s="151">
        <f t="shared" si="21"/>
        <v>53.809946199140597</v>
      </c>
      <c r="S126" s="131">
        <f t="shared" si="22"/>
        <v>-1.6900538008594026</v>
      </c>
      <c r="T126" s="150">
        <f t="shared" si="17"/>
        <v>0</v>
      </c>
      <c r="V126" s="12"/>
    </row>
    <row r="127" spans="1:22" x14ac:dyDescent="0.25">
      <c r="A127" s="50">
        <f>'A) Base RI'!A128</f>
        <v>5607</v>
      </c>
      <c r="B127" s="437" t="str">
        <f>'A) Base RI'!B128</f>
        <v>Puidoux</v>
      </c>
      <c r="C127" s="156">
        <v>2009576.2999608517</v>
      </c>
      <c r="D127" s="156">
        <v>829932.64804461948</v>
      </c>
      <c r="E127" s="156">
        <v>0</v>
      </c>
      <c r="F127" s="156">
        <v>0</v>
      </c>
      <c r="G127" s="156">
        <v>0</v>
      </c>
      <c r="H127" s="440">
        <f t="shared" si="16"/>
        <v>2839508.9480054714</v>
      </c>
      <c r="I127" s="156">
        <v>108525.10310559007</v>
      </c>
      <c r="J127" s="443">
        <f>'B) D RI'!U128</f>
        <v>111751.15780124225</v>
      </c>
      <c r="K127" s="67">
        <f t="shared" si="23"/>
        <v>26.164535823962833</v>
      </c>
      <c r="L127" s="34">
        <f>'B) D RI'!S128</f>
        <v>70</v>
      </c>
      <c r="M127" s="34">
        <f t="shared" si="18"/>
        <v>43.835464176037163</v>
      </c>
      <c r="N127" s="34">
        <f>'J) Plafonnement effort'!G126+'J) Plafonnement effort'!H126-'K) Plafonnement aide'!I126</f>
        <v>21.343048601585352</v>
      </c>
      <c r="O127" s="34">
        <f t="shared" si="19"/>
        <v>65.178512777622515</v>
      </c>
      <c r="P127" s="48">
        <f t="shared" si="20"/>
        <v>0</v>
      </c>
      <c r="Q127" s="58">
        <f t="shared" si="24"/>
        <v>0</v>
      </c>
      <c r="R127" s="151">
        <f t="shared" si="21"/>
        <v>65.178512777622515</v>
      </c>
      <c r="S127" s="131">
        <f t="shared" si="22"/>
        <v>-4.8214872223774847</v>
      </c>
      <c r="T127" s="150">
        <f t="shared" si="17"/>
        <v>0</v>
      </c>
      <c r="V127" s="12"/>
    </row>
    <row r="128" spans="1:22" x14ac:dyDescent="0.25">
      <c r="A128" s="50">
        <f>'A) Base RI'!A129</f>
        <v>5609</v>
      </c>
      <c r="B128" s="437" t="str">
        <f>'A) Base RI'!B129</f>
        <v>Rivaz</v>
      </c>
      <c r="C128" s="156">
        <v>270855.29330435727</v>
      </c>
      <c r="D128" s="156">
        <v>251113.57526236263</v>
      </c>
      <c r="E128" s="156">
        <v>0</v>
      </c>
      <c r="F128" s="156">
        <v>0</v>
      </c>
      <c r="G128" s="156">
        <v>0</v>
      </c>
      <c r="H128" s="440">
        <f t="shared" si="16"/>
        <v>521968.86856671993</v>
      </c>
      <c r="I128" s="156">
        <v>15580.699212598427</v>
      </c>
      <c r="J128" s="443">
        <f>'B) D RI'!U129</f>
        <v>13518.908661417323</v>
      </c>
      <c r="K128" s="67">
        <f t="shared" si="23"/>
        <v>33.500991287005924</v>
      </c>
      <c r="L128" s="34">
        <f>'B) D RI'!S129</f>
        <v>63.5</v>
      </c>
      <c r="M128" s="34">
        <f t="shared" si="18"/>
        <v>29.999008712994076</v>
      </c>
      <c r="N128" s="34">
        <f>'J) Plafonnement effort'!G127+'J) Plafonnement effort'!H127-'K) Plafonnement aide'!I127</f>
        <v>26.605054538610489</v>
      </c>
      <c r="O128" s="34">
        <f t="shared" si="19"/>
        <v>56.604063251604565</v>
      </c>
      <c r="P128" s="48">
        <f t="shared" si="20"/>
        <v>0</v>
      </c>
      <c r="Q128" s="58">
        <f t="shared" si="24"/>
        <v>0</v>
      </c>
      <c r="R128" s="151">
        <f t="shared" si="21"/>
        <v>56.604063251604565</v>
      </c>
      <c r="S128" s="131">
        <f t="shared" si="22"/>
        <v>-6.8959367483954352</v>
      </c>
      <c r="T128" s="150">
        <f t="shared" si="17"/>
        <v>0</v>
      </c>
      <c r="V128" s="12"/>
    </row>
    <row r="129" spans="1:22" x14ac:dyDescent="0.25">
      <c r="A129" s="50">
        <f>'A) Base RI'!A130</f>
        <v>5610</v>
      </c>
      <c r="B129" s="437" t="str">
        <f>'A) Base RI'!B130</f>
        <v>St-Saphorin (Lavaux)</v>
      </c>
      <c r="C129" s="156">
        <v>458546.68788073625</v>
      </c>
      <c r="D129" s="156">
        <v>367659.07432619756</v>
      </c>
      <c r="E129" s="156">
        <v>0</v>
      </c>
      <c r="F129" s="156">
        <v>0</v>
      </c>
      <c r="G129" s="156">
        <v>0</v>
      </c>
      <c r="H129" s="440">
        <f t="shared" si="16"/>
        <v>826205.76220693381</v>
      </c>
      <c r="I129" s="156">
        <v>22074.868656716415</v>
      </c>
      <c r="J129" s="443">
        <f>'B) D RI'!U130</f>
        <v>21494.070428571435</v>
      </c>
      <c r="K129" s="67">
        <f t="shared" si="23"/>
        <v>37.427437284232973</v>
      </c>
      <c r="L129" s="34">
        <f>'B) D RI'!S130</f>
        <v>70</v>
      </c>
      <c r="M129" s="34">
        <f t="shared" si="18"/>
        <v>32.572562715767027</v>
      </c>
      <c r="N129" s="34">
        <f>'J) Plafonnement effort'!G128+'J) Plafonnement effort'!H128-'K) Plafonnement aide'!I128</f>
        <v>31.622362250058043</v>
      </c>
      <c r="O129" s="34">
        <f t="shared" si="19"/>
        <v>64.194924965825066</v>
      </c>
      <c r="P129" s="48">
        <f t="shared" si="20"/>
        <v>0</v>
      </c>
      <c r="Q129" s="58">
        <f t="shared" si="24"/>
        <v>0</v>
      </c>
      <c r="R129" s="151">
        <f t="shared" si="21"/>
        <v>64.194924965825066</v>
      </c>
      <c r="S129" s="131">
        <f t="shared" si="22"/>
        <v>-5.8050750341749335</v>
      </c>
      <c r="T129" s="150">
        <f t="shared" si="17"/>
        <v>0</v>
      </c>
      <c r="V129" s="12"/>
    </row>
    <row r="130" spans="1:22" x14ac:dyDescent="0.25">
      <c r="A130" s="50">
        <f>'A) Base RI'!A131</f>
        <v>5611</v>
      </c>
      <c r="B130" s="437" t="str">
        <f>'A) Base RI'!B131</f>
        <v>Savigny</v>
      </c>
      <c r="C130" s="156">
        <v>2633591.8928880659</v>
      </c>
      <c r="D130" s="156">
        <v>1227071.3108474533</v>
      </c>
      <c r="E130" s="156">
        <v>0</v>
      </c>
      <c r="F130" s="156">
        <v>0</v>
      </c>
      <c r="G130" s="156">
        <v>0</v>
      </c>
      <c r="H130" s="440">
        <f t="shared" si="16"/>
        <v>3860663.2037355192</v>
      </c>
      <c r="I130" s="156">
        <v>134510.93620772948</v>
      </c>
      <c r="J130" s="443">
        <f>'B) D RI'!U131</f>
        <v>137747.50487922705</v>
      </c>
      <c r="K130" s="67">
        <f t="shared" si="23"/>
        <v>28.701481920944889</v>
      </c>
      <c r="L130" s="34">
        <f>'B) D RI'!S131</f>
        <v>69</v>
      </c>
      <c r="M130" s="34">
        <f t="shared" si="18"/>
        <v>40.298518079055114</v>
      </c>
      <c r="N130" s="34">
        <f>'J) Plafonnement effort'!G129+'J) Plafonnement effort'!H129-'K) Plafonnement aide'!I129</f>
        <v>28.005530587646351</v>
      </c>
      <c r="O130" s="34">
        <f t="shared" si="19"/>
        <v>68.304048666701462</v>
      </c>
      <c r="P130" s="48">
        <f t="shared" si="20"/>
        <v>0</v>
      </c>
      <c r="Q130" s="58">
        <f t="shared" si="24"/>
        <v>0</v>
      </c>
      <c r="R130" s="151">
        <f t="shared" si="21"/>
        <v>68.304048666701462</v>
      </c>
      <c r="S130" s="131">
        <f t="shared" si="22"/>
        <v>-0.69595133329853809</v>
      </c>
      <c r="T130" s="150">
        <f t="shared" si="17"/>
        <v>0</v>
      </c>
      <c r="V130" s="12"/>
    </row>
    <row r="131" spans="1:22" x14ac:dyDescent="0.25">
      <c r="A131" s="50">
        <f>'A) Base RI'!A132</f>
        <v>5613</v>
      </c>
      <c r="B131" s="437" t="str">
        <f>'A) Base RI'!B132</f>
        <v>Bourg-en-Lavaux</v>
      </c>
      <c r="C131" s="156">
        <v>6453438.1413064646</v>
      </c>
      <c r="D131" s="156">
        <v>4004654.6951663252</v>
      </c>
      <c r="E131" s="156">
        <v>0</v>
      </c>
      <c r="F131" s="156">
        <v>0</v>
      </c>
      <c r="G131" s="156">
        <v>0</v>
      </c>
      <c r="H131" s="440">
        <f t="shared" si="16"/>
        <v>10458092.836472791</v>
      </c>
      <c r="I131" s="156">
        <v>330680.25306010921</v>
      </c>
      <c r="J131" s="443">
        <f>'B) D RI'!U132</f>
        <v>293991.54098360648</v>
      </c>
      <c r="K131" s="67">
        <f t="shared" si="23"/>
        <v>31.625997439199299</v>
      </c>
      <c r="L131" s="34">
        <f>'B) D RI'!S132</f>
        <v>61</v>
      </c>
      <c r="M131" s="34">
        <f t="shared" si="18"/>
        <v>29.374002560800701</v>
      </c>
      <c r="N131" s="34">
        <f>'J) Plafonnement effort'!G130+'J) Plafonnement effort'!H130-'K) Plafonnement aide'!I130</f>
        <v>30.229740665856248</v>
      </c>
      <c r="O131" s="34">
        <f t="shared" si="19"/>
        <v>59.603743226656945</v>
      </c>
      <c r="P131" s="48">
        <f t="shared" si="20"/>
        <v>0</v>
      </c>
      <c r="Q131" s="58">
        <f t="shared" si="24"/>
        <v>0</v>
      </c>
      <c r="R131" s="151">
        <f t="shared" si="21"/>
        <v>59.603743226656945</v>
      </c>
      <c r="S131" s="131">
        <f t="shared" si="22"/>
        <v>-1.3962567733430546</v>
      </c>
      <c r="T131" s="150">
        <f t="shared" si="17"/>
        <v>0</v>
      </c>
      <c r="V131" s="12"/>
    </row>
    <row r="132" spans="1:22" x14ac:dyDescent="0.25">
      <c r="A132" s="50">
        <f>'A) Base RI'!A133</f>
        <v>5621</v>
      </c>
      <c r="B132" s="437" t="str">
        <f>'A) Base RI'!B133</f>
        <v>Aclens</v>
      </c>
      <c r="C132" s="156">
        <v>892698.76524117554</v>
      </c>
      <c r="D132" s="156">
        <v>546059.03724803089</v>
      </c>
      <c r="E132" s="156">
        <v>0</v>
      </c>
      <c r="F132" s="156">
        <v>0</v>
      </c>
      <c r="G132" s="156">
        <v>0</v>
      </c>
      <c r="H132" s="440">
        <f t="shared" si="16"/>
        <v>1438757.8024892064</v>
      </c>
      <c r="I132" s="156">
        <v>33113.551554252197</v>
      </c>
      <c r="J132" s="443">
        <f>'B) D RI'!U133</f>
        <v>39594.745087976538</v>
      </c>
      <c r="K132" s="67">
        <f t="shared" si="23"/>
        <v>43.4492144441828</v>
      </c>
      <c r="L132" s="34">
        <f>'B) D RI'!S133</f>
        <v>62</v>
      </c>
      <c r="M132" s="34">
        <f t="shared" si="18"/>
        <v>18.5507855558172</v>
      </c>
      <c r="N132" s="34">
        <f>'J) Plafonnement effort'!G131+'J) Plafonnement effort'!H131-'K) Plafonnement aide'!I131</f>
        <v>42.135461827590589</v>
      </c>
      <c r="O132" s="34">
        <f t="shared" si="19"/>
        <v>60.686247383407789</v>
      </c>
      <c r="P132" s="48">
        <f t="shared" si="20"/>
        <v>0</v>
      </c>
      <c r="Q132" s="58">
        <f t="shared" si="24"/>
        <v>0</v>
      </c>
      <c r="R132" s="151">
        <f t="shared" si="21"/>
        <v>60.686247383407789</v>
      </c>
      <c r="S132" s="131">
        <f t="shared" si="22"/>
        <v>-1.3137526165922111</v>
      </c>
      <c r="T132" s="150">
        <f t="shared" si="17"/>
        <v>0</v>
      </c>
      <c r="V132" s="12"/>
    </row>
    <row r="133" spans="1:22" x14ac:dyDescent="0.25">
      <c r="A133" s="50">
        <f>'A) Base RI'!A134</f>
        <v>5622</v>
      </c>
      <c r="B133" s="437" t="str">
        <f>'A) Base RI'!B134</f>
        <v>Bremblens</v>
      </c>
      <c r="C133" s="156">
        <v>522954.80855552899</v>
      </c>
      <c r="D133" s="156">
        <v>519885.29647726455</v>
      </c>
      <c r="E133" s="156">
        <v>0</v>
      </c>
      <c r="F133" s="156">
        <v>0</v>
      </c>
      <c r="G133" s="156">
        <v>0</v>
      </c>
      <c r="H133" s="440">
        <f t="shared" si="16"/>
        <v>1042840.1050327935</v>
      </c>
      <c r="I133" s="156">
        <v>31245.381060606058</v>
      </c>
      <c r="J133" s="443">
        <f>'B) D RI'!U134</f>
        <v>25350.281363636361</v>
      </c>
      <c r="K133" s="67">
        <f t="shared" si="23"/>
        <v>33.375816509007102</v>
      </c>
      <c r="L133" s="34">
        <f>'B) D RI'!S134</f>
        <v>66</v>
      </c>
      <c r="M133" s="34">
        <f t="shared" si="18"/>
        <v>32.624183490992898</v>
      </c>
      <c r="N133" s="34">
        <f>'J) Plafonnement effort'!G132+'J) Plafonnement effort'!H132-'K) Plafonnement aide'!I132</f>
        <v>36.479262019340766</v>
      </c>
      <c r="O133" s="34">
        <f t="shared" si="19"/>
        <v>69.103445510333671</v>
      </c>
      <c r="P133" s="48">
        <f t="shared" si="20"/>
        <v>0</v>
      </c>
      <c r="Q133" s="58">
        <f t="shared" si="24"/>
        <v>0</v>
      </c>
      <c r="R133" s="151">
        <f t="shared" si="21"/>
        <v>69.103445510333671</v>
      </c>
      <c r="S133" s="131">
        <f t="shared" si="22"/>
        <v>3.1034455103336711</v>
      </c>
      <c r="T133" s="150">
        <f t="shared" si="17"/>
        <v>0</v>
      </c>
      <c r="V133" s="12"/>
    </row>
    <row r="134" spans="1:22" x14ac:dyDescent="0.25">
      <c r="A134" s="50">
        <f>'A) Base RI'!A135</f>
        <v>5623</v>
      </c>
      <c r="B134" s="437" t="str">
        <f>'A) Base RI'!B135</f>
        <v>Buchillon</v>
      </c>
      <c r="C134" s="156">
        <v>1984466.281348411</v>
      </c>
      <c r="D134" s="156">
        <v>1087131.4474290328</v>
      </c>
      <c r="E134" s="156">
        <v>0</v>
      </c>
      <c r="F134" s="156">
        <v>0</v>
      </c>
      <c r="G134" s="156">
        <v>0</v>
      </c>
      <c r="H134" s="440">
        <f t="shared" si="16"/>
        <v>3071597.728777444</v>
      </c>
      <c r="I134" s="156">
        <v>74216.162452830191</v>
      </c>
      <c r="J134" s="443">
        <f>'B) D RI'!U135</f>
        <v>118338.72603773585</v>
      </c>
      <c r="K134" s="67">
        <f t="shared" si="23"/>
        <v>41.387180733437539</v>
      </c>
      <c r="L134" s="34">
        <f>'B) D RI'!S135</f>
        <v>53</v>
      </c>
      <c r="M134" s="34">
        <f t="shared" si="18"/>
        <v>11.612819266562461</v>
      </c>
      <c r="N134" s="34">
        <f>'J) Plafonnement effort'!G133+'J) Plafonnement effort'!H133-'K) Plafonnement aide'!I133</f>
        <v>45</v>
      </c>
      <c r="O134" s="34">
        <f t="shared" si="19"/>
        <v>56.612819266562461</v>
      </c>
      <c r="P134" s="48">
        <f t="shared" si="20"/>
        <v>0</v>
      </c>
      <c r="Q134" s="58">
        <f t="shared" si="24"/>
        <v>0</v>
      </c>
      <c r="R134" s="151">
        <f t="shared" si="21"/>
        <v>56.612819266562461</v>
      </c>
      <c r="S134" s="131">
        <f t="shared" si="22"/>
        <v>3.612819266562461</v>
      </c>
      <c r="T134" s="150">
        <f t="shared" si="17"/>
        <v>0</v>
      </c>
      <c r="V134" s="12"/>
    </row>
    <row r="135" spans="1:22" x14ac:dyDescent="0.25">
      <c r="A135" s="50">
        <f>'A) Base RI'!A136</f>
        <v>5624</v>
      </c>
      <c r="B135" s="437" t="str">
        <f>'A) Base RI'!B136</f>
        <v>Bussigny</v>
      </c>
      <c r="C135" s="156">
        <v>6380153.6230630353</v>
      </c>
      <c r="D135" s="156">
        <v>1473806.3015261674</v>
      </c>
      <c r="E135" s="156">
        <v>0</v>
      </c>
      <c r="F135" s="156">
        <v>0</v>
      </c>
      <c r="G135" s="156">
        <v>0</v>
      </c>
      <c r="H135" s="440">
        <f t="shared" ref="H135:H198" si="25">SUM(C135:G135)</f>
        <v>7853959.9245892027</v>
      </c>
      <c r="I135" s="156">
        <v>336696.75822580646</v>
      </c>
      <c r="J135" s="443">
        <f>'B) D RI'!U136</f>
        <v>383784.23111111118</v>
      </c>
      <c r="K135" s="67">
        <f t="shared" si="23"/>
        <v>23.32650889178424</v>
      </c>
      <c r="L135" s="34">
        <f>'B) D RI'!S136</f>
        <v>63</v>
      </c>
      <c r="M135" s="34">
        <f t="shared" si="18"/>
        <v>39.673491108215757</v>
      </c>
      <c r="N135" s="34">
        <f>'J) Plafonnement effort'!G134+'J) Plafonnement effort'!H134-'K) Plafonnement aide'!I134</f>
        <v>24.08671312408589</v>
      </c>
      <c r="O135" s="34">
        <f t="shared" si="19"/>
        <v>63.760204232301646</v>
      </c>
      <c r="P135" s="48">
        <f t="shared" si="20"/>
        <v>0</v>
      </c>
      <c r="Q135" s="58">
        <f t="shared" si="24"/>
        <v>0</v>
      </c>
      <c r="R135" s="151">
        <f t="shared" si="21"/>
        <v>63.760204232301646</v>
      </c>
      <c r="S135" s="131">
        <f t="shared" si="22"/>
        <v>0.76020423230164624</v>
      </c>
      <c r="T135" s="150">
        <f t="shared" ref="T135:T198" si="26">+C135+D135+E135+F135+G135-H135</f>
        <v>0</v>
      </c>
      <c r="V135" s="12"/>
    </row>
    <row r="136" spans="1:22" x14ac:dyDescent="0.25">
      <c r="A136" s="50">
        <f>'A) Base RI'!A137</f>
        <v>5625</v>
      </c>
      <c r="B136" s="437" t="str">
        <f>'A) Base RI'!B137</f>
        <v>Bussy-Chardonney</v>
      </c>
      <c r="C136" s="156">
        <v>247593.35683228864</v>
      </c>
      <c r="D136" s="156">
        <v>150079.42194875731</v>
      </c>
      <c r="E136" s="156">
        <v>0</v>
      </c>
      <c r="F136" s="156">
        <v>0</v>
      </c>
      <c r="G136" s="156">
        <v>0</v>
      </c>
      <c r="H136" s="440">
        <f t="shared" si="25"/>
        <v>397672.77878104593</v>
      </c>
      <c r="I136" s="156">
        <v>13792.360683760684</v>
      </c>
      <c r="J136" s="443">
        <f>'B) D RI'!U137</f>
        <v>13516.350747863249</v>
      </c>
      <c r="K136" s="67">
        <f t="shared" si="23"/>
        <v>28.832829121795761</v>
      </c>
      <c r="L136" s="34">
        <f>'B) D RI'!S137</f>
        <v>78</v>
      </c>
      <c r="M136" s="34">
        <f t="shared" si="18"/>
        <v>49.167170878204239</v>
      </c>
      <c r="N136" s="34">
        <f>'J) Plafonnement effort'!G135+'J) Plafonnement effort'!H135-'K) Plafonnement aide'!I135</f>
        <v>24.990251773195379</v>
      </c>
      <c r="O136" s="34">
        <f t="shared" si="19"/>
        <v>74.157422651399614</v>
      </c>
      <c r="P136" s="48">
        <f t="shared" si="20"/>
        <v>0</v>
      </c>
      <c r="Q136" s="58">
        <f t="shared" si="24"/>
        <v>0</v>
      </c>
      <c r="R136" s="151">
        <f t="shared" si="21"/>
        <v>74.157422651399614</v>
      </c>
      <c r="S136" s="131">
        <f t="shared" si="22"/>
        <v>-3.8425773486003862</v>
      </c>
      <c r="T136" s="150">
        <f t="shared" si="26"/>
        <v>0</v>
      </c>
      <c r="V136" s="12"/>
    </row>
    <row r="137" spans="1:22" x14ac:dyDescent="0.25">
      <c r="A137" s="50">
        <f>'A) Base RI'!A138</f>
        <v>5627</v>
      </c>
      <c r="B137" s="437" t="str">
        <f>'A) Base RI'!B138</f>
        <v>Chavannes-près-Renens</v>
      </c>
      <c r="C137" s="156">
        <v>4015020.0968499547</v>
      </c>
      <c r="D137" s="156">
        <v>-4265186.0948538659</v>
      </c>
      <c r="E137" s="156">
        <v>0</v>
      </c>
      <c r="F137" s="156">
        <v>0</v>
      </c>
      <c r="G137" s="156">
        <v>0</v>
      </c>
      <c r="H137" s="440">
        <f t="shared" si="25"/>
        <v>-250165.99800391123</v>
      </c>
      <c r="I137" s="156">
        <v>175193.96054852317</v>
      </c>
      <c r="J137" s="443">
        <f>'B) D RI'!U138</f>
        <v>182156.43953586498</v>
      </c>
      <c r="K137" s="67">
        <f t="shared" si="23"/>
        <v>-1.427937339966826</v>
      </c>
      <c r="L137" s="34">
        <f>'B) D RI'!S138</f>
        <v>79</v>
      </c>
      <c r="M137" s="34">
        <f t="shared" si="18"/>
        <v>80.427937339966832</v>
      </c>
      <c r="N137" s="34">
        <f>'J) Plafonnement effort'!G136+'J) Plafonnement effort'!H136-'K) Plafonnement aide'!I136</f>
        <v>-11.285286923844094</v>
      </c>
      <c r="O137" s="34">
        <f t="shared" si="19"/>
        <v>69.142650416122734</v>
      </c>
      <c r="P137" s="48">
        <f t="shared" si="20"/>
        <v>0</v>
      </c>
      <c r="Q137" s="58">
        <f t="shared" si="24"/>
        <v>0</v>
      </c>
      <c r="R137" s="151">
        <f t="shared" si="21"/>
        <v>69.142650416122734</v>
      </c>
      <c r="S137" s="131">
        <f t="shared" si="22"/>
        <v>-9.8573495838772658</v>
      </c>
      <c r="T137" s="150">
        <f t="shared" si="26"/>
        <v>0</v>
      </c>
      <c r="V137" s="12"/>
    </row>
    <row r="138" spans="1:22" x14ac:dyDescent="0.25">
      <c r="A138" s="50">
        <f>'A) Base RI'!A139</f>
        <v>5628</v>
      </c>
      <c r="B138" s="437" t="str">
        <f>'A) Base RI'!B139</f>
        <v>Chigny</v>
      </c>
      <c r="C138" s="156">
        <v>362997.17529612279</v>
      </c>
      <c r="D138" s="156">
        <v>323898.33141203714</v>
      </c>
      <c r="E138" s="156">
        <v>0</v>
      </c>
      <c r="F138" s="156">
        <v>0</v>
      </c>
      <c r="G138" s="156">
        <v>0</v>
      </c>
      <c r="H138" s="440">
        <f t="shared" si="25"/>
        <v>686895.50670815993</v>
      </c>
      <c r="I138" s="156">
        <v>19494.348064516129</v>
      </c>
      <c r="J138" s="443">
        <f>'B) D RI'!U139</f>
        <v>27139.331451612899</v>
      </c>
      <c r="K138" s="67">
        <f t="shared" si="23"/>
        <v>35.235623393759766</v>
      </c>
      <c r="L138" s="34">
        <f>'B) D RI'!S139</f>
        <v>62</v>
      </c>
      <c r="M138" s="34">
        <f t="shared" si="18"/>
        <v>26.764376606240234</v>
      </c>
      <c r="N138" s="34">
        <f>'J) Plafonnement effort'!G137+'J) Plafonnement effort'!H137-'K) Plafonnement aide'!I137</f>
        <v>40.106784813077986</v>
      </c>
      <c r="O138" s="34">
        <f t="shared" si="19"/>
        <v>66.871161419318213</v>
      </c>
      <c r="P138" s="48">
        <f t="shared" si="20"/>
        <v>0</v>
      </c>
      <c r="Q138" s="58">
        <f t="shared" si="24"/>
        <v>0</v>
      </c>
      <c r="R138" s="151">
        <f t="shared" si="21"/>
        <v>66.871161419318213</v>
      </c>
      <c r="S138" s="131">
        <f t="shared" si="22"/>
        <v>4.8711614193182129</v>
      </c>
      <c r="T138" s="150">
        <f t="shared" si="26"/>
        <v>0</v>
      </c>
      <c r="V138" s="12"/>
    </row>
    <row r="139" spans="1:22" x14ac:dyDescent="0.25">
      <c r="A139" s="50">
        <f>'A) Base RI'!A140</f>
        <v>5629</v>
      </c>
      <c r="B139" s="437" t="str">
        <f>'A) Base RI'!B140</f>
        <v>Clarmont</v>
      </c>
      <c r="C139" s="156">
        <v>124859.04454719601</v>
      </c>
      <c r="D139" s="156">
        <v>98900.966608733186</v>
      </c>
      <c r="E139" s="156">
        <v>0</v>
      </c>
      <c r="F139" s="156">
        <v>0</v>
      </c>
      <c r="G139" s="156">
        <v>0</v>
      </c>
      <c r="H139" s="440">
        <f t="shared" si="25"/>
        <v>223760.01115592918</v>
      </c>
      <c r="I139" s="156">
        <v>7511.8584000000001</v>
      </c>
      <c r="J139" s="443">
        <f>'B) D RI'!U140</f>
        <v>6960.0919999999987</v>
      </c>
      <c r="K139" s="67">
        <f t="shared" si="23"/>
        <v>29.787570430764401</v>
      </c>
      <c r="L139" s="34">
        <f>'B) D RI'!S140</f>
        <v>75</v>
      </c>
      <c r="M139" s="34">
        <f t="shared" si="18"/>
        <v>45.212429569235596</v>
      </c>
      <c r="N139" s="34">
        <f>'J) Plafonnement effort'!G138+'J) Plafonnement effort'!H138-'K) Plafonnement aide'!I138</f>
        <v>24.561606607319824</v>
      </c>
      <c r="O139" s="34">
        <f t="shared" si="19"/>
        <v>69.774036176555427</v>
      </c>
      <c r="P139" s="48">
        <f t="shared" si="20"/>
        <v>0</v>
      </c>
      <c r="Q139" s="58">
        <f t="shared" si="24"/>
        <v>0</v>
      </c>
      <c r="R139" s="151">
        <f t="shared" si="21"/>
        <v>69.774036176555427</v>
      </c>
      <c r="S139" s="131">
        <f t="shared" si="22"/>
        <v>-5.2259638234445731</v>
      </c>
      <c r="T139" s="150">
        <f t="shared" si="26"/>
        <v>0</v>
      </c>
      <c r="V139" s="12"/>
    </row>
    <row r="140" spans="1:22" x14ac:dyDescent="0.25">
      <c r="A140" s="50">
        <f>'A) Base RI'!A141</f>
        <v>5631</v>
      </c>
      <c r="B140" s="437" t="str">
        <f>'A) Base RI'!B141</f>
        <v>Denens</v>
      </c>
      <c r="C140" s="156">
        <v>841088.79647215724</v>
      </c>
      <c r="D140" s="156">
        <v>752913.83155573951</v>
      </c>
      <c r="E140" s="156">
        <v>0</v>
      </c>
      <c r="F140" s="156">
        <v>0</v>
      </c>
      <c r="G140" s="156">
        <v>0</v>
      </c>
      <c r="H140" s="440">
        <f t="shared" si="25"/>
        <v>1594002.6280278969</v>
      </c>
      <c r="I140" s="156">
        <v>45432.172571428571</v>
      </c>
      <c r="J140" s="443">
        <f>'B) D RI'!U141</f>
        <v>43908.937857142853</v>
      </c>
      <c r="K140" s="67">
        <f t="shared" si="23"/>
        <v>35.085326934823598</v>
      </c>
      <c r="L140" s="34">
        <f>'B) D RI'!S141</f>
        <v>70</v>
      </c>
      <c r="M140" s="34">
        <f t="shared" si="18"/>
        <v>34.914673065176402</v>
      </c>
      <c r="N140" s="34">
        <f>'J) Plafonnement effort'!G139+'J) Plafonnement effort'!H139-'K) Plafonnement aide'!I139</f>
        <v>35.4858595766731</v>
      </c>
      <c r="O140" s="34">
        <f t="shared" si="19"/>
        <v>70.400532641849509</v>
      </c>
      <c r="P140" s="48">
        <f t="shared" si="20"/>
        <v>0</v>
      </c>
      <c r="Q140" s="58">
        <f t="shared" si="24"/>
        <v>0</v>
      </c>
      <c r="R140" s="151">
        <f t="shared" si="21"/>
        <v>70.400532641849509</v>
      </c>
      <c r="S140" s="131">
        <f t="shared" si="22"/>
        <v>0.40053264184950876</v>
      </c>
      <c r="T140" s="150">
        <f t="shared" si="26"/>
        <v>0</v>
      </c>
      <c r="V140" s="12"/>
    </row>
    <row r="141" spans="1:22" x14ac:dyDescent="0.25">
      <c r="A141" s="50">
        <f>'A) Base RI'!A142</f>
        <v>5632</v>
      </c>
      <c r="B141" s="437" t="str">
        <f>'A) Base RI'!B142</f>
        <v>Denges</v>
      </c>
      <c r="C141" s="156">
        <v>1164855.4786912682</v>
      </c>
      <c r="D141" s="156">
        <v>876980.64168922405</v>
      </c>
      <c r="E141" s="156">
        <v>0</v>
      </c>
      <c r="F141" s="156">
        <v>0</v>
      </c>
      <c r="G141" s="156">
        <v>0</v>
      </c>
      <c r="H141" s="440">
        <f t="shared" si="25"/>
        <v>2041836.1203804924</v>
      </c>
      <c r="I141" s="156">
        <v>67894.99080645162</v>
      </c>
      <c r="J141" s="443">
        <f>'B) D RI'!U142</f>
        <v>69010.195161290321</v>
      </c>
      <c r="K141" s="67">
        <f t="shared" si="23"/>
        <v>30.073442769896804</v>
      </c>
      <c r="L141" s="34">
        <f>'B) D RI'!S142</f>
        <v>62</v>
      </c>
      <c r="M141" s="34">
        <f t="shared" si="18"/>
        <v>31.926557230103196</v>
      </c>
      <c r="N141" s="34">
        <f>'J) Plafonnement effort'!G140+'J) Plafonnement effort'!H140-'K) Plafonnement aide'!I140</f>
        <v>30.840503162550874</v>
      </c>
      <c r="O141" s="34">
        <f t="shared" si="19"/>
        <v>62.767060392654074</v>
      </c>
      <c r="P141" s="48">
        <f t="shared" si="20"/>
        <v>0</v>
      </c>
      <c r="Q141" s="58">
        <f t="shared" si="24"/>
        <v>0</v>
      </c>
      <c r="R141" s="151">
        <f t="shared" si="21"/>
        <v>62.767060392654074</v>
      </c>
      <c r="S141" s="131">
        <f t="shared" si="22"/>
        <v>0.76706039265407355</v>
      </c>
      <c r="T141" s="150">
        <f t="shared" si="26"/>
        <v>0</v>
      </c>
      <c r="V141" s="12"/>
    </row>
    <row r="142" spans="1:22" x14ac:dyDescent="0.25">
      <c r="A142" s="50">
        <f>'A) Base RI'!A143</f>
        <v>5633</v>
      </c>
      <c r="B142" s="437" t="str">
        <f>'A) Base RI'!B143</f>
        <v>Echandens</v>
      </c>
      <c r="C142" s="156">
        <v>2331287.8740268792</v>
      </c>
      <c r="D142" s="156">
        <v>1732065.1611721255</v>
      </c>
      <c r="E142" s="156">
        <v>0</v>
      </c>
      <c r="F142" s="156">
        <v>0</v>
      </c>
      <c r="G142" s="156">
        <v>0</v>
      </c>
      <c r="H142" s="440">
        <f t="shared" si="25"/>
        <v>4063353.0351990047</v>
      </c>
      <c r="I142" s="156">
        <v>131889.87370967743</v>
      </c>
      <c r="J142" s="443">
        <f>'B) D RI'!U143</f>
        <v>138978.74822580643</v>
      </c>
      <c r="K142" s="67">
        <f t="shared" si="23"/>
        <v>30.808680916197254</v>
      </c>
      <c r="L142" s="34">
        <f>'B) D RI'!S143</f>
        <v>62</v>
      </c>
      <c r="M142" s="34">
        <f t="shared" si="18"/>
        <v>31.191319083802746</v>
      </c>
      <c r="N142" s="34">
        <f>'J) Plafonnement effort'!G141+'J) Plafonnement effort'!H141-'K) Plafonnement aide'!I141</f>
        <v>26.326406338454401</v>
      </c>
      <c r="O142" s="34">
        <f t="shared" si="19"/>
        <v>57.517725422257143</v>
      </c>
      <c r="P142" s="48">
        <f t="shared" si="20"/>
        <v>0</v>
      </c>
      <c r="Q142" s="58">
        <f t="shared" si="24"/>
        <v>0</v>
      </c>
      <c r="R142" s="151">
        <f t="shared" si="21"/>
        <v>57.517725422257143</v>
      </c>
      <c r="S142" s="131">
        <f t="shared" si="22"/>
        <v>-4.4822745777428565</v>
      </c>
      <c r="T142" s="150">
        <f t="shared" si="26"/>
        <v>0</v>
      </c>
      <c r="V142" s="12"/>
    </row>
    <row r="143" spans="1:22" x14ac:dyDescent="0.25">
      <c r="A143" s="50">
        <f>'A) Base RI'!A144</f>
        <v>5634</v>
      </c>
      <c r="B143" s="437" t="str">
        <f>'A) Base RI'!B144</f>
        <v>Echichens</v>
      </c>
      <c r="C143" s="156">
        <v>2435869.6142313802</v>
      </c>
      <c r="D143" s="156">
        <v>1660323.524058308</v>
      </c>
      <c r="E143" s="156">
        <v>0</v>
      </c>
      <c r="F143" s="156">
        <v>0</v>
      </c>
      <c r="G143" s="156">
        <v>0</v>
      </c>
      <c r="H143" s="440">
        <f t="shared" si="25"/>
        <v>4096193.1382896882</v>
      </c>
      <c r="I143" s="156">
        <v>127167.81867647056</v>
      </c>
      <c r="J143" s="443">
        <f>'B) D RI'!U144</f>
        <v>173327.76338235298</v>
      </c>
      <c r="K143" s="67">
        <f t="shared" si="23"/>
        <v>32.210925538566251</v>
      </c>
      <c r="L143" s="34">
        <f>'B) D RI'!S144</f>
        <v>68</v>
      </c>
      <c r="M143" s="34">
        <f t="shared" si="18"/>
        <v>35.789074461433749</v>
      </c>
      <c r="N143" s="34">
        <f>'J) Plafonnement effort'!G142+'J) Plafonnement effort'!H142-'K) Plafonnement aide'!I142</f>
        <v>32.170308704996941</v>
      </c>
      <c r="O143" s="34">
        <f t="shared" si="19"/>
        <v>67.959383166430683</v>
      </c>
      <c r="P143" s="48">
        <f t="shared" si="20"/>
        <v>0</v>
      </c>
      <c r="Q143" s="58">
        <f t="shared" si="24"/>
        <v>0</v>
      </c>
      <c r="R143" s="151">
        <f t="shared" si="21"/>
        <v>67.959383166430683</v>
      </c>
      <c r="S143" s="131">
        <f t="shared" si="22"/>
        <v>-4.0616833569316668E-2</v>
      </c>
      <c r="T143" s="150">
        <f t="shared" si="26"/>
        <v>0</v>
      </c>
      <c r="V143" s="12"/>
    </row>
    <row r="144" spans="1:22" x14ac:dyDescent="0.25">
      <c r="A144" s="50">
        <f>'A) Base RI'!A145</f>
        <v>5635</v>
      </c>
      <c r="B144" s="437" t="str">
        <f>'A) Base RI'!B145</f>
        <v>Ecublens</v>
      </c>
      <c r="C144" s="156">
        <v>8202046.5433613509</v>
      </c>
      <c r="D144" s="156">
        <v>-487251.20390380733</v>
      </c>
      <c r="E144" s="156">
        <v>0</v>
      </c>
      <c r="F144" s="156">
        <v>0</v>
      </c>
      <c r="G144" s="156">
        <v>0</v>
      </c>
      <c r="H144" s="440">
        <f t="shared" si="25"/>
        <v>7714795.3394575436</v>
      </c>
      <c r="I144" s="156">
        <v>453953.99228353141</v>
      </c>
      <c r="J144" s="443">
        <f>'B) D RI'!U145</f>
        <v>437106.29065104178</v>
      </c>
      <c r="K144" s="67">
        <f t="shared" si="23"/>
        <v>16.994663491447</v>
      </c>
      <c r="L144" s="34">
        <f>'B) D RI'!S145</f>
        <v>64</v>
      </c>
      <c r="M144" s="34">
        <f t="shared" si="18"/>
        <v>47.005336508553</v>
      </c>
      <c r="N144" s="34">
        <f>'J) Plafonnement effort'!G143+'J) Plafonnement effort'!H143-'K) Plafonnement aide'!I143</f>
        <v>7.4557753676932368</v>
      </c>
      <c r="O144" s="34">
        <f t="shared" si="19"/>
        <v>54.461111876246235</v>
      </c>
      <c r="P144" s="48">
        <f t="shared" si="20"/>
        <v>0</v>
      </c>
      <c r="Q144" s="58">
        <f t="shared" si="24"/>
        <v>0</v>
      </c>
      <c r="R144" s="151">
        <f t="shared" si="21"/>
        <v>54.461111876246235</v>
      </c>
      <c r="S144" s="131">
        <f t="shared" si="22"/>
        <v>-9.5388881237537646</v>
      </c>
      <c r="T144" s="150">
        <f t="shared" si="26"/>
        <v>0</v>
      </c>
      <c r="V144" s="12"/>
    </row>
    <row r="145" spans="1:22" x14ac:dyDescent="0.25">
      <c r="A145" s="50">
        <f>'A) Base RI'!A146</f>
        <v>5636</v>
      </c>
      <c r="B145" s="437" t="str">
        <f>'A) Base RI'!B146</f>
        <v>Etoy</v>
      </c>
      <c r="C145" s="156">
        <v>3078969.3357674051</v>
      </c>
      <c r="D145" s="156">
        <v>2149699.3259641817</v>
      </c>
      <c r="E145" s="156">
        <v>0</v>
      </c>
      <c r="F145" s="156">
        <v>0</v>
      </c>
      <c r="G145" s="156">
        <v>0</v>
      </c>
      <c r="H145" s="440">
        <f t="shared" si="25"/>
        <v>5228668.6617315868</v>
      </c>
      <c r="I145" s="156">
        <v>157303.40508196724</v>
      </c>
      <c r="J145" s="443">
        <f>'B) D RI'!U146</f>
        <v>187871.92573770491</v>
      </c>
      <c r="K145" s="67">
        <f t="shared" si="23"/>
        <v>33.239386388406821</v>
      </c>
      <c r="L145" s="34">
        <f>'B) D RI'!S146</f>
        <v>61</v>
      </c>
      <c r="M145" s="34">
        <f t="shared" si="18"/>
        <v>27.760613611593179</v>
      </c>
      <c r="N145" s="34">
        <f>'J) Plafonnement effort'!G144+'J) Plafonnement effort'!H144-'K) Plafonnement aide'!I144</f>
        <v>37.387406111056251</v>
      </c>
      <c r="O145" s="34">
        <f t="shared" si="19"/>
        <v>65.148019722649423</v>
      </c>
      <c r="P145" s="48">
        <f t="shared" si="20"/>
        <v>0</v>
      </c>
      <c r="Q145" s="58">
        <f t="shared" si="24"/>
        <v>0</v>
      </c>
      <c r="R145" s="151">
        <f t="shared" si="21"/>
        <v>65.148019722649423</v>
      </c>
      <c r="S145" s="131">
        <f t="shared" si="22"/>
        <v>4.1480197226494226</v>
      </c>
      <c r="T145" s="150">
        <f t="shared" si="26"/>
        <v>0</v>
      </c>
      <c r="V145" s="12"/>
    </row>
    <row r="146" spans="1:22" x14ac:dyDescent="0.25">
      <c r="A146" s="50">
        <f>'A) Base RI'!A147</f>
        <v>5637</v>
      </c>
      <c r="B146" s="437" t="str">
        <f>'A) Base RI'!B147</f>
        <v>Lavigny</v>
      </c>
      <c r="C146" s="156">
        <v>662354.34664493531</v>
      </c>
      <c r="D146" s="156">
        <v>374191.88976005849</v>
      </c>
      <c r="E146" s="156">
        <v>0</v>
      </c>
      <c r="F146" s="156">
        <v>0</v>
      </c>
      <c r="G146" s="156">
        <v>0</v>
      </c>
      <c r="H146" s="440">
        <f t="shared" si="25"/>
        <v>1036546.2364049938</v>
      </c>
      <c r="I146" s="156">
        <v>36259.562058165546</v>
      </c>
      <c r="J146" s="443">
        <f>'B) D RI'!U147</f>
        <v>35857.018299776282</v>
      </c>
      <c r="K146" s="67">
        <f t="shared" si="23"/>
        <v>28.586838272956104</v>
      </c>
      <c r="L146" s="34">
        <f>'B) D RI'!S147</f>
        <v>74.5</v>
      </c>
      <c r="M146" s="34">
        <f t="shared" si="18"/>
        <v>45.913161727043899</v>
      </c>
      <c r="N146" s="34">
        <f>'J) Plafonnement effort'!G145+'J) Plafonnement effort'!H145-'K) Plafonnement aide'!I145</f>
        <v>23.537994317015809</v>
      </c>
      <c r="O146" s="34">
        <f t="shared" si="19"/>
        <v>69.451156044059701</v>
      </c>
      <c r="P146" s="48">
        <f t="shared" si="20"/>
        <v>0</v>
      </c>
      <c r="Q146" s="58">
        <f t="shared" si="24"/>
        <v>0</v>
      </c>
      <c r="R146" s="151">
        <f t="shared" si="21"/>
        <v>69.451156044059701</v>
      </c>
      <c r="S146" s="131">
        <f t="shared" si="22"/>
        <v>-5.0488439559402991</v>
      </c>
      <c r="T146" s="150">
        <f t="shared" si="26"/>
        <v>0</v>
      </c>
      <c r="V146" s="12"/>
    </row>
    <row r="147" spans="1:22" x14ac:dyDescent="0.25">
      <c r="A147" s="50">
        <f>'A) Base RI'!A148</f>
        <v>5638</v>
      </c>
      <c r="B147" s="437" t="str">
        <f>'A) Base RI'!B148</f>
        <v>Lonay</v>
      </c>
      <c r="C147" s="156">
        <v>5579965.8919217568</v>
      </c>
      <c r="D147" s="156">
        <v>2164462.2991980133</v>
      </c>
      <c r="E147" s="156">
        <v>0</v>
      </c>
      <c r="F147" s="156">
        <v>0</v>
      </c>
      <c r="G147" s="156">
        <v>0</v>
      </c>
      <c r="H147" s="440">
        <f t="shared" si="25"/>
        <v>7744428.1911197696</v>
      </c>
      <c r="I147" s="156">
        <v>153961.25072727271</v>
      </c>
      <c r="J147" s="443">
        <f>'B) D RI'!U148</f>
        <v>168179.65436363633</v>
      </c>
      <c r="K147" s="67">
        <f t="shared" si="23"/>
        <v>50.301151455558561</v>
      </c>
      <c r="L147" s="34">
        <f>'B) D RI'!S148</f>
        <v>55</v>
      </c>
      <c r="M147" s="34">
        <f t="shared" si="18"/>
        <v>4.6988485444414394</v>
      </c>
      <c r="N147" s="34">
        <f>'J) Plafonnement effort'!G146+'J) Plafonnement effort'!H146-'K) Plafonnement aide'!I146</f>
        <v>37.202632192498697</v>
      </c>
      <c r="O147" s="34">
        <f t="shared" si="19"/>
        <v>41.901480736940137</v>
      </c>
      <c r="P147" s="48">
        <f t="shared" si="20"/>
        <v>0</v>
      </c>
      <c r="Q147" s="58">
        <f t="shared" si="24"/>
        <v>0</v>
      </c>
      <c r="R147" s="151">
        <f t="shared" si="21"/>
        <v>41.901480736940137</v>
      </c>
      <c r="S147" s="131">
        <f t="shared" si="22"/>
        <v>-13.098519263059863</v>
      </c>
      <c r="T147" s="150">
        <f t="shared" si="26"/>
        <v>0</v>
      </c>
      <c r="V147" s="12"/>
    </row>
    <row r="148" spans="1:22" x14ac:dyDescent="0.25">
      <c r="A148" s="50">
        <f>'A) Base RI'!A149</f>
        <v>5639</v>
      </c>
      <c r="B148" s="437" t="str">
        <f>'A) Base RI'!B149</f>
        <v>Lully</v>
      </c>
      <c r="C148" s="156">
        <v>1010743.396783725</v>
      </c>
      <c r="D148" s="156">
        <v>845400.28907739057</v>
      </c>
      <c r="E148" s="156">
        <v>0</v>
      </c>
      <c r="F148" s="156">
        <v>0</v>
      </c>
      <c r="G148" s="156">
        <v>0</v>
      </c>
      <c r="H148" s="440">
        <f t="shared" si="25"/>
        <v>1856143.6858611156</v>
      </c>
      <c r="I148" s="156">
        <v>51753.051967213112</v>
      </c>
      <c r="J148" s="443">
        <f>'B) D RI'!U149</f>
        <v>46761.274262295083</v>
      </c>
      <c r="K148" s="67">
        <f t="shared" si="23"/>
        <v>35.865395668588398</v>
      </c>
      <c r="L148" s="34">
        <f>'B) D RI'!S149</f>
        <v>61</v>
      </c>
      <c r="M148" s="34">
        <f t="shared" si="18"/>
        <v>25.134604331411602</v>
      </c>
      <c r="N148" s="34">
        <f>'J) Plafonnement effort'!G147+'J) Plafonnement effort'!H147-'K) Plafonnement aide'!I147</f>
        <v>35.120421247623803</v>
      </c>
      <c r="O148" s="34">
        <f t="shared" si="19"/>
        <v>60.255025579035404</v>
      </c>
      <c r="P148" s="48">
        <f t="shared" si="20"/>
        <v>0</v>
      </c>
      <c r="Q148" s="58">
        <f t="shared" si="24"/>
        <v>0</v>
      </c>
      <c r="R148" s="151">
        <f t="shared" si="21"/>
        <v>60.255025579035404</v>
      </c>
      <c r="S148" s="131">
        <f t="shared" si="22"/>
        <v>-0.74497442096459565</v>
      </c>
      <c r="T148" s="150">
        <f t="shared" si="26"/>
        <v>0</v>
      </c>
      <c r="V148" s="12"/>
    </row>
    <row r="149" spans="1:22" x14ac:dyDescent="0.25">
      <c r="A149" s="50">
        <f>'A) Base RI'!A150</f>
        <v>5640</v>
      </c>
      <c r="B149" s="437" t="str">
        <f>'A) Base RI'!B150</f>
        <v>Lussy-sur-Morges</v>
      </c>
      <c r="C149" s="156">
        <v>1991450.589335005</v>
      </c>
      <c r="D149" s="156">
        <v>870555.52434687898</v>
      </c>
      <c r="E149" s="156">
        <v>0</v>
      </c>
      <c r="F149" s="156">
        <v>0</v>
      </c>
      <c r="G149" s="156">
        <v>0</v>
      </c>
      <c r="H149" s="440">
        <f t="shared" si="25"/>
        <v>2862006.113681884</v>
      </c>
      <c r="I149" s="156">
        <v>55596.399848484849</v>
      </c>
      <c r="J149" s="443">
        <f>'B) D RI'!U150</f>
        <v>53028.3909090909</v>
      </c>
      <c r="K149" s="67">
        <f t="shared" si="23"/>
        <v>51.478263367441436</v>
      </c>
      <c r="L149" s="34">
        <f>'B) D RI'!S150</f>
        <v>66</v>
      </c>
      <c r="M149" s="34">
        <f t="shared" si="18"/>
        <v>14.521736632558564</v>
      </c>
      <c r="N149" s="34">
        <f>'J) Plafonnement effort'!G148+'J) Plafonnement effort'!H148-'K) Plafonnement aide'!I148</f>
        <v>40.95923681317884</v>
      </c>
      <c r="O149" s="34">
        <f t="shared" si="19"/>
        <v>55.480973445737405</v>
      </c>
      <c r="P149" s="48">
        <f t="shared" si="20"/>
        <v>0</v>
      </c>
      <c r="Q149" s="58">
        <f t="shared" si="24"/>
        <v>0</v>
      </c>
      <c r="R149" s="151">
        <f t="shared" si="21"/>
        <v>55.480973445737405</v>
      </c>
      <c r="S149" s="131">
        <f t="shared" si="22"/>
        <v>-10.519026554262595</v>
      </c>
      <c r="T149" s="150">
        <f t="shared" si="26"/>
        <v>0</v>
      </c>
      <c r="V149" s="12"/>
    </row>
    <row r="150" spans="1:22" x14ac:dyDescent="0.25">
      <c r="A150" s="50">
        <f>'A) Base RI'!A151</f>
        <v>5642</v>
      </c>
      <c r="B150" s="437" t="str">
        <f>'A) Base RI'!B151</f>
        <v>Morges</v>
      </c>
      <c r="C150" s="156">
        <v>14999603.487605035</v>
      </c>
      <c r="D150" s="156">
        <v>3880866.6983136013</v>
      </c>
      <c r="E150" s="156">
        <v>0</v>
      </c>
      <c r="F150" s="156">
        <v>0</v>
      </c>
      <c r="G150" s="156">
        <v>0</v>
      </c>
      <c r="H150" s="440">
        <f t="shared" si="25"/>
        <v>18880470.185918637</v>
      </c>
      <c r="I150" s="156">
        <v>777988.51795620425</v>
      </c>
      <c r="J150" s="443">
        <f>'B) D RI'!U151</f>
        <v>759222.5945985401</v>
      </c>
      <c r="K150" s="67">
        <f t="shared" si="23"/>
        <v>24.268314698934265</v>
      </c>
      <c r="L150" s="34">
        <f>'B) D RI'!S151</f>
        <v>68.5</v>
      </c>
      <c r="M150" s="34">
        <f t="shared" si="18"/>
        <v>44.231685301065738</v>
      </c>
      <c r="N150" s="34">
        <f>'J) Plafonnement effort'!G149+'J) Plafonnement effort'!H149-'K) Plafonnement aide'!I149</f>
        <v>23.006909705862199</v>
      </c>
      <c r="O150" s="34">
        <f t="shared" si="19"/>
        <v>67.238595006927937</v>
      </c>
      <c r="P150" s="48">
        <f t="shared" si="20"/>
        <v>0</v>
      </c>
      <c r="Q150" s="58">
        <f t="shared" si="24"/>
        <v>0</v>
      </c>
      <c r="R150" s="151">
        <f t="shared" si="21"/>
        <v>67.238595006927937</v>
      </c>
      <c r="S150" s="131">
        <f t="shared" si="22"/>
        <v>-1.2614049930720626</v>
      </c>
      <c r="T150" s="150">
        <f t="shared" si="26"/>
        <v>0</v>
      </c>
      <c r="V150" s="12"/>
    </row>
    <row r="151" spans="1:22" x14ac:dyDescent="0.25">
      <c r="A151" s="50">
        <f>'A) Base RI'!A152</f>
        <v>5643</v>
      </c>
      <c r="B151" s="437" t="str">
        <f>'A) Base RI'!B152</f>
        <v>Préverenges</v>
      </c>
      <c r="C151" s="156">
        <v>4324802.6490630787</v>
      </c>
      <c r="D151" s="156">
        <v>2943687.1980237896</v>
      </c>
      <c r="E151" s="156">
        <v>0</v>
      </c>
      <c r="F151" s="156">
        <v>0</v>
      </c>
      <c r="G151" s="156">
        <v>0</v>
      </c>
      <c r="H151" s="440">
        <f t="shared" si="25"/>
        <v>7268489.8470868682</v>
      </c>
      <c r="I151" s="156">
        <v>264736.09703124996</v>
      </c>
      <c r="J151" s="443">
        <f>'B) D RI'!U152</f>
        <v>260053.614375</v>
      </c>
      <c r="K151" s="67">
        <f t="shared" si="23"/>
        <v>27.455605520349128</v>
      </c>
      <c r="L151" s="34">
        <f>'B) D RI'!S152</f>
        <v>64</v>
      </c>
      <c r="M151" s="34">
        <f t="shared" si="18"/>
        <v>36.544394479650876</v>
      </c>
      <c r="N151" s="34">
        <f>'J) Plafonnement effort'!G150+'J) Plafonnement effort'!H150-'K) Plafonnement aide'!I150</f>
        <v>27.044207037497422</v>
      </c>
      <c r="O151" s="34">
        <f t="shared" si="19"/>
        <v>63.588601517148298</v>
      </c>
      <c r="P151" s="48">
        <f t="shared" si="20"/>
        <v>0</v>
      </c>
      <c r="Q151" s="58">
        <f t="shared" si="24"/>
        <v>0</v>
      </c>
      <c r="R151" s="151">
        <f t="shared" si="21"/>
        <v>63.588601517148298</v>
      </c>
      <c r="S151" s="131">
        <f t="shared" si="22"/>
        <v>-0.41139848285170189</v>
      </c>
      <c r="T151" s="150">
        <f t="shared" si="26"/>
        <v>0</v>
      </c>
      <c r="V151" s="12"/>
    </row>
    <row r="152" spans="1:22" x14ac:dyDescent="0.25">
      <c r="A152" s="50">
        <f>'A) Base RI'!A153</f>
        <v>5644</v>
      </c>
      <c r="B152" s="437" t="str">
        <f>'A) Base RI'!B153</f>
        <v>Reverolle</v>
      </c>
      <c r="C152" s="156">
        <v>252863.23955468833</v>
      </c>
      <c r="D152" s="156">
        <v>196864.45299562797</v>
      </c>
      <c r="E152" s="156">
        <v>0</v>
      </c>
      <c r="F152" s="156">
        <v>0</v>
      </c>
      <c r="G152" s="156">
        <v>0</v>
      </c>
      <c r="H152" s="440">
        <f t="shared" si="25"/>
        <v>449727.69255031634</v>
      </c>
      <c r="I152" s="156">
        <v>15137.442236842104</v>
      </c>
      <c r="J152" s="443">
        <f>'B) D RI'!U153</f>
        <v>13341.614868421055</v>
      </c>
      <c r="K152" s="67">
        <f t="shared" si="23"/>
        <v>29.70962237304208</v>
      </c>
      <c r="L152" s="34">
        <f>'B) D RI'!S153</f>
        <v>76</v>
      </c>
      <c r="M152" s="34">
        <f t="shared" si="18"/>
        <v>46.29037762695792</v>
      </c>
      <c r="N152" s="34">
        <f>'J) Plafonnement effort'!G151+'J) Plafonnement effort'!H151-'K) Plafonnement aide'!I151</f>
        <v>21.940368375927783</v>
      </c>
      <c r="O152" s="34">
        <f t="shared" si="19"/>
        <v>68.230746002885695</v>
      </c>
      <c r="P152" s="48">
        <f t="shared" si="20"/>
        <v>0</v>
      </c>
      <c r="Q152" s="58">
        <f t="shared" si="24"/>
        <v>0</v>
      </c>
      <c r="R152" s="151">
        <f t="shared" si="21"/>
        <v>68.230746002885695</v>
      </c>
      <c r="S152" s="131">
        <f t="shared" si="22"/>
        <v>-7.7692539971143049</v>
      </c>
      <c r="T152" s="150">
        <f t="shared" si="26"/>
        <v>0</v>
      </c>
      <c r="V152" s="12"/>
    </row>
    <row r="153" spans="1:22" x14ac:dyDescent="0.25">
      <c r="A153" s="50">
        <f>'A) Base RI'!A154</f>
        <v>5645</v>
      </c>
      <c r="B153" s="437" t="str">
        <f>'A) Base RI'!B154</f>
        <v>Romanel-sur-Morges</v>
      </c>
      <c r="C153" s="156">
        <v>449523.32956524286</v>
      </c>
      <c r="D153" s="156">
        <v>447945.91433724464</v>
      </c>
      <c r="E153" s="156">
        <v>0</v>
      </c>
      <c r="F153" s="156">
        <v>0</v>
      </c>
      <c r="G153" s="156">
        <v>0</v>
      </c>
      <c r="H153" s="440">
        <f t="shared" si="25"/>
        <v>897469.24390248745</v>
      </c>
      <c r="I153" s="156">
        <v>26934.860133928574</v>
      </c>
      <c r="J153" s="443">
        <f>'B) D RI'!U154</f>
        <v>26613.952053571436</v>
      </c>
      <c r="K153" s="67">
        <f t="shared" si="23"/>
        <v>33.319989019433876</v>
      </c>
      <c r="L153" s="34">
        <f>'B) D RI'!S154</f>
        <v>56</v>
      </c>
      <c r="M153" s="34">
        <f t="shared" si="18"/>
        <v>22.680010980566124</v>
      </c>
      <c r="N153" s="34">
        <f>'J) Plafonnement effort'!G152+'J) Plafonnement effort'!H152-'K) Plafonnement aide'!I152</f>
        <v>35.21835911939494</v>
      </c>
      <c r="O153" s="34">
        <f t="shared" si="19"/>
        <v>57.898370099961063</v>
      </c>
      <c r="P153" s="48">
        <f t="shared" si="20"/>
        <v>0</v>
      </c>
      <c r="Q153" s="58">
        <f t="shared" si="24"/>
        <v>0</v>
      </c>
      <c r="R153" s="151">
        <f t="shared" si="21"/>
        <v>57.898370099961063</v>
      </c>
      <c r="S153" s="131">
        <f t="shared" si="22"/>
        <v>1.8983700999610633</v>
      </c>
      <c r="T153" s="150">
        <f t="shared" si="26"/>
        <v>0</v>
      </c>
      <c r="V153" s="12"/>
    </row>
    <row r="154" spans="1:22" x14ac:dyDescent="0.25">
      <c r="A154" s="50">
        <f>'A) Base RI'!A155</f>
        <v>5646</v>
      </c>
      <c r="B154" s="437" t="str">
        <f>'A) Base RI'!B155</f>
        <v>Saint-Prex</v>
      </c>
      <c r="C154" s="156">
        <v>8009097.5464090817</v>
      </c>
      <c r="D154" s="156">
        <v>4646790.4846986178</v>
      </c>
      <c r="E154" s="156">
        <v>0</v>
      </c>
      <c r="F154" s="156">
        <v>0</v>
      </c>
      <c r="G154" s="156">
        <v>0</v>
      </c>
      <c r="H154" s="440">
        <f t="shared" si="25"/>
        <v>12655888.031107699</v>
      </c>
      <c r="I154" s="156">
        <v>386152.86527272721</v>
      </c>
      <c r="J154" s="443">
        <f>'B) D RI'!U155</f>
        <v>504902.63036363642</v>
      </c>
      <c r="K154" s="67">
        <f t="shared" si="23"/>
        <v>32.774295283732407</v>
      </c>
      <c r="L154" s="34">
        <f>'B) D RI'!S155</f>
        <v>55</v>
      </c>
      <c r="M154" s="34">
        <f t="shared" si="18"/>
        <v>22.225704716267593</v>
      </c>
      <c r="N154" s="34">
        <f>'J) Plafonnement effort'!G153+'J) Plafonnement effort'!H153-'K) Plafonnement aide'!I153</f>
        <v>36.928082772281613</v>
      </c>
      <c r="O154" s="34">
        <f t="shared" si="19"/>
        <v>59.153787488549206</v>
      </c>
      <c r="P154" s="48">
        <f t="shared" si="20"/>
        <v>0</v>
      </c>
      <c r="Q154" s="58">
        <f t="shared" si="24"/>
        <v>0</v>
      </c>
      <c r="R154" s="151">
        <f t="shared" si="21"/>
        <v>59.153787488549206</v>
      </c>
      <c r="S154" s="131">
        <f t="shared" si="22"/>
        <v>4.1537874885492059</v>
      </c>
      <c r="T154" s="150">
        <f t="shared" si="26"/>
        <v>0</v>
      </c>
      <c r="V154" s="12"/>
    </row>
    <row r="155" spans="1:22" x14ac:dyDescent="0.25">
      <c r="A155" s="50">
        <f>'A) Base RI'!A156</f>
        <v>5648</v>
      </c>
      <c r="B155" s="437" t="str">
        <f>'A) Base RI'!B156</f>
        <v>Saint-Sulpice</v>
      </c>
      <c r="C155" s="156">
        <v>8731628.5031068176</v>
      </c>
      <c r="D155" s="156">
        <v>4635652.1499055624</v>
      </c>
      <c r="E155" s="156">
        <v>0</v>
      </c>
      <c r="F155" s="156">
        <v>0</v>
      </c>
      <c r="G155" s="156">
        <v>0</v>
      </c>
      <c r="H155" s="440">
        <f t="shared" si="25"/>
        <v>13367280.65301238</v>
      </c>
      <c r="I155" s="156">
        <v>363756.87836363638</v>
      </c>
      <c r="J155" s="443">
        <f>'B) D RI'!U156</f>
        <v>275285.22849999997</v>
      </c>
      <c r="K155" s="67">
        <f t="shared" si="23"/>
        <v>36.747842991025252</v>
      </c>
      <c r="L155" s="34">
        <f>'B) D RI'!S156</f>
        <v>55</v>
      </c>
      <c r="M155" s="34">
        <f t="shared" si="18"/>
        <v>18.252157008974748</v>
      </c>
      <c r="N155" s="34">
        <f>'J) Plafonnement effort'!G154+'J) Plafonnement effort'!H154-'K) Plafonnement aide'!I154</f>
        <v>31.67005996697528</v>
      </c>
      <c r="O155" s="34">
        <f t="shared" si="19"/>
        <v>49.922216975950029</v>
      </c>
      <c r="P155" s="48">
        <f t="shared" si="20"/>
        <v>0</v>
      </c>
      <c r="Q155" s="58">
        <f t="shared" si="24"/>
        <v>0</v>
      </c>
      <c r="R155" s="151">
        <f t="shared" si="21"/>
        <v>49.922216975950029</v>
      </c>
      <c r="S155" s="131">
        <f t="shared" si="22"/>
        <v>-5.0777830240499711</v>
      </c>
      <c r="T155" s="150">
        <f t="shared" si="26"/>
        <v>0</v>
      </c>
      <c r="V155" s="12"/>
    </row>
    <row r="156" spans="1:22" x14ac:dyDescent="0.25">
      <c r="A156" s="50">
        <f>'A) Base RI'!A157</f>
        <v>5649</v>
      </c>
      <c r="B156" s="437" t="str">
        <f>'A) Base RI'!B157</f>
        <v>Tolochenaz</v>
      </c>
      <c r="C156" s="156">
        <v>7562783.8937896071</v>
      </c>
      <c r="D156" s="156">
        <v>3216749.3281974969</v>
      </c>
      <c r="E156" s="156">
        <v>0</v>
      </c>
      <c r="F156" s="156">
        <v>0</v>
      </c>
      <c r="G156" s="156">
        <v>0</v>
      </c>
      <c r="H156" s="440">
        <f t="shared" si="25"/>
        <v>10779533.221987104</v>
      </c>
      <c r="I156" s="156">
        <v>238285.06261538458</v>
      </c>
      <c r="J156" s="443">
        <f>'B) D RI'!U157</f>
        <v>134431.35138461535</v>
      </c>
      <c r="K156" s="67">
        <f t="shared" si="23"/>
        <v>45.237972970997035</v>
      </c>
      <c r="L156" s="34">
        <f>'B) D RI'!S157</f>
        <v>65</v>
      </c>
      <c r="M156" s="34">
        <f t="shared" si="18"/>
        <v>19.762027029002965</v>
      </c>
      <c r="N156" s="34">
        <f>'J) Plafonnement effort'!G155+'J) Plafonnement effort'!H155-'K) Plafonnement aide'!I155</f>
        <v>35.12376834858722</v>
      </c>
      <c r="O156" s="34">
        <f t="shared" si="19"/>
        <v>54.885795377590185</v>
      </c>
      <c r="P156" s="48">
        <f t="shared" si="20"/>
        <v>0</v>
      </c>
      <c r="Q156" s="58">
        <f t="shared" si="24"/>
        <v>0</v>
      </c>
      <c r="R156" s="151">
        <f t="shared" si="21"/>
        <v>54.885795377590185</v>
      </c>
      <c r="S156" s="131">
        <f t="shared" si="22"/>
        <v>-10.114204622409815</v>
      </c>
      <c r="T156" s="150">
        <f t="shared" si="26"/>
        <v>0</v>
      </c>
      <c r="V156" s="12"/>
    </row>
    <row r="157" spans="1:22" x14ac:dyDescent="0.25">
      <c r="A157" s="50">
        <f>'A) Base RI'!A158</f>
        <v>5650</v>
      </c>
      <c r="B157" s="437" t="str">
        <f>'A) Base RI'!B158</f>
        <v>Vaux-sur-Morges</v>
      </c>
      <c r="C157" s="156">
        <v>7281166.733139365</v>
      </c>
      <c r="D157" s="156">
        <v>1892458.3665135754</v>
      </c>
      <c r="E157" s="156">
        <v>0</v>
      </c>
      <c r="F157" s="156">
        <v>0</v>
      </c>
      <c r="G157" s="156">
        <v>0</v>
      </c>
      <c r="H157" s="440">
        <f t="shared" si="25"/>
        <v>9173625.0996529404</v>
      </c>
      <c r="I157" s="156">
        <v>169784.43892857147</v>
      </c>
      <c r="J157" s="443">
        <f>'B) D RI'!U158</f>
        <v>185075.58696428573</v>
      </c>
      <c r="K157" s="67">
        <f t="shared" si="23"/>
        <v>54.031012250258669</v>
      </c>
      <c r="L157" s="34">
        <f>'B) D RI'!S158</f>
        <v>56</v>
      </c>
      <c r="M157" s="34">
        <f t="shared" si="18"/>
        <v>1.9689877497413306</v>
      </c>
      <c r="N157" s="34">
        <f>'J) Plafonnement effort'!G156+'J) Plafonnement effort'!H156-'K) Plafonnement aide'!I156</f>
        <v>45</v>
      </c>
      <c r="O157" s="34">
        <f t="shared" si="19"/>
        <v>46.968987749741331</v>
      </c>
      <c r="P157" s="48">
        <f t="shared" si="20"/>
        <v>0</v>
      </c>
      <c r="Q157" s="58">
        <f t="shared" si="24"/>
        <v>0</v>
      </c>
      <c r="R157" s="151">
        <f t="shared" si="21"/>
        <v>46.968987749741331</v>
      </c>
      <c r="S157" s="131">
        <f t="shared" si="22"/>
        <v>-9.0310122502586694</v>
      </c>
      <c r="T157" s="150">
        <f t="shared" si="26"/>
        <v>0</v>
      </c>
      <c r="V157" s="12"/>
    </row>
    <row r="158" spans="1:22" x14ac:dyDescent="0.25">
      <c r="A158" s="50">
        <f>'A) Base RI'!A159</f>
        <v>5651</v>
      </c>
      <c r="B158" s="437" t="str">
        <f>'A) Base RI'!B159</f>
        <v>Villars-Sainte-Croix</v>
      </c>
      <c r="C158" s="156">
        <v>1007323.586392984</v>
      </c>
      <c r="D158" s="156">
        <v>885135.6120654213</v>
      </c>
      <c r="E158" s="156">
        <v>0</v>
      </c>
      <c r="F158" s="156">
        <v>0</v>
      </c>
      <c r="G158" s="156">
        <v>0</v>
      </c>
      <c r="H158" s="440">
        <f t="shared" si="25"/>
        <v>1892459.1984584052</v>
      </c>
      <c r="I158" s="156">
        <v>53160.152372881355</v>
      </c>
      <c r="J158" s="443">
        <f>'B) D RI'!U159</f>
        <v>58092.123220338974</v>
      </c>
      <c r="K158" s="67">
        <f t="shared" si="23"/>
        <v>35.59920568293569</v>
      </c>
      <c r="L158" s="34">
        <f>'B) D RI'!S159</f>
        <v>59</v>
      </c>
      <c r="M158" s="34">
        <f t="shared" si="18"/>
        <v>23.40079431706431</v>
      </c>
      <c r="N158" s="34">
        <f>'J) Plafonnement effort'!G157+'J) Plafonnement effort'!H157-'K) Plafonnement aide'!I157</f>
        <v>35.400959382655294</v>
      </c>
      <c r="O158" s="34">
        <f t="shared" si="19"/>
        <v>58.801753699719605</v>
      </c>
      <c r="P158" s="48">
        <f t="shared" si="20"/>
        <v>0</v>
      </c>
      <c r="Q158" s="58">
        <f t="shared" si="24"/>
        <v>0</v>
      </c>
      <c r="R158" s="151">
        <f t="shared" si="21"/>
        <v>58.801753699719605</v>
      </c>
      <c r="S158" s="131">
        <f t="shared" si="22"/>
        <v>-0.19824630028039536</v>
      </c>
      <c r="T158" s="150">
        <f t="shared" si="26"/>
        <v>0</v>
      </c>
      <c r="V158" s="12"/>
    </row>
    <row r="159" spans="1:22" x14ac:dyDescent="0.25">
      <c r="A159" s="50">
        <f>'A) Base RI'!A160</f>
        <v>5652</v>
      </c>
      <c r="B159" s="437" t="str">
        <f>'A) Base RI'!B160</f>
        <v>Villars-sous-Yens</v>
      </c>
      <c r="C159" s="156">
        <v>417640.1707500224</v>
      </c>
      <c r="D159" s="156">
        <v>381105.58237167308</v>
      </c>
      <c r="E159" s="156">
        <v>0</v>
      </c>
      <c r="F159" s="156">
        <v>0</v>
      </c>
      <c r="G159" s="156">
        <v>0</v>
      </c>
      <c r="H159" s="440">
        <f t="shared" si="25"/>
        <v>798745.75312169548</v>
      </c>
      <c r="I159" s="156">
        <v>25892.335109649121</v>
      </c>
      <c r="J159" s="443">
        <f>'B) D RI'!U160</f>
        <v>29800.949188596489</v>
      </c>
      <c r="K159" s="67">
        <f t="shared" si="23"/>
        <v>30.848733794737281</v>
      </c>
      <c r="L159" s="34">
        <f>'B) D RI'!S160</f>
        <v>76</v>
      </c>
      <c r="M159" s="34">
        <f t="shared" si="18"/>
        <v>45.151266205262715</v>
      </c>
      <c r="N159" s="34">
        <f>'J) Plafonnement effort'!G158+'J) Plafonnement effort'!H158-'K) Plafonnement aide'!I158</f>
        <v>32.639405487703009</v>
      </c>
      <c r="O159" s="34">
        <f t="shared" si="19"/>
        <v>77.790671692965731</v>
      </c>
      <c r="P159" s="48">
        <f t="shared" si="20"/>
        <v>0</v>
      </c>
      <c r="Q159" s="58">
        <f t="shared" si="24"/>
        <v>0</v>
      </c>
      <c r="R159" s="151">
        <f t="shared" si="21"/>
        <v>77.790671692965731</v>
      </c>
      <c r="S159" s="131">
        <f t="shared" si="22"/>
        <v>1.7906716929657307</v>
      </c>
      <c r="T159" s="150">
        <f t="shared" si="26"/>
        <v>0</v>
      </c>
      <c r="V159" s="12"/>
    </row>
    <row r="160" spans="1:22" x14ac:dyDescent="0.25">
      <c r="A160" s="50">
        <f>'A) Base RI'!A161</f>
        <v>5653</v>
      </c>
      <c r="B160" s="437" t="str">
        <f>'A) Base RI'!B161</f>
        <v>Vufflens-le-Château</v>
      </c>
      <c r="C160" s="156">
        <v>1058185.5629301546</v>
      </c>
      <c r="D160" s="156">
        <v>948338.6938351572</v>
      </c>
      <c r="E160" s="156">
        <v>0</v>
      </c>
      <c r="F160" s="156">
        <v>0</v>
      </c>
      <c r="G160" s="156">
        <v>0</v>
      </c>
      <c r="H160" s="440">
        <f t="shared" si="25"/>
        <v>2006524.2567653118</v>
      </c>
      <c r="I160" s="156">
        <v>58132.597454545445</v>
      </c>
      <c r="J160" s="443">
        <f>'B) D RI'!U161</f>
        <v>61961.229272727272</v>
      </c>
      <c r="K160" s="67">
        <f t="shared" si="23"/>
        <v>34.516335836089837</v>
      </c>
      <c r="L160" s="34">
        <f>'B) D RI'!S161</f>
        <v>55</v>
      </c>
      <c r="M160" s="34">
        <f t="shared" si="18"/>
        <v>20.483664163910163</v>
      </c>
      <c r="N160" s="34">
        <f>'J) Plafonnement effort'!G159+'J) Plafonnement effort'!H159-'K) Plafonnement aide'!I159</f>
        <v>37.206744450884607</v>
      </c>
      <c r="O160" s="34">
        <f t="shared" si="19"/>
        <v>57.690408614794769</v>
      </c>
      <c r="P160" s="48">
        <f t="shared" si="20"/>
        <v>0</v>
      </c>
      <c r="Q160" s="58">
        <f t="shared" si="24"/>
        <v>0</v>
      </c>
      <c r="R160" s="151">
        <f t="shared" si="21"/>
        <v>57.690408614794769</v>
      </c>
      <c r="S160" s="131">
        <f t="shared" si="22"/>
        <v>2.6904086147947694</v>
      </c>
      <c r="T160" s="150">
        <f t="shared" si="26"/>
        <v>0</v>
      </c>
      <c r="V160" s="12"/>
    </row>
    <row r="161" spans="1:22" x14ac:dyDescent="0.25">
      <c r="A161" s="50">
        <f>'A) Base RI'!A162</f>
        <v>5654</v>
      </c>
      <c r="B161" s="437" t="str">
        <f>'A) Base RI'!B162</f>
        <v>Vullierens</v>
      </c>
      <c r="C161" s="156">
        <v>299250.97978558193</v>
      </c>
      <c r="D161" s="156">
        <v>212341.42633401172</v>
      </c>
      <c r="E161" s="156">
        <v>0</v>
      </c>
      <c r="F161" s="156">
        <v>0</v>
      </c>
      <c r="G161" s="156">
        <v>0</v>
      </c>
      <c r="H161" s="440">
        <f t="shared" si="25"/>
        <v>511592.40611959365</v>
      </c>
      <c r="I161" s="156">
        <v>18691.767368421053</v>
      </c>
      <c r="J161" s="443">
        <f>'B) D RI'!U162</f>
        <v>19280.901315789473</v>
      </c>
      <c r="K161" s="67">
        <f t="shared" si="23"/>
        <v>27.36993222930365</v>
      </c>
      <c r="L161" s="34">
        <f>'B) D RI'!S162</f>
        <v>76</v>
      </c>
      <c r="M161" s="34">
        <f t="shared" si="18"/>
        <v>48.63006777069635</v>
      </c>
      <c r="N161" s="34">
        <f>'J) Plafonnement effort'!G160+'J) Plafonnement effort'!H160-'K) Plafonnement aide'!I160</f>
        <v>29.694556009195615</v>
      </c>
      <c r="O161" s="34">
        <f t="shared" si="19"/>
        <v>78.324623779891965</v>
      </c>
      <c r="P161" s="48">
        <f t="shared" si="20"/>
        <v>0</v>
      </c>
      <c r="Q161" s="58">
        <f t="shared" si="24"/>
        <v>0</v>
      </c>
      <c r="R161" s="151">
        <f t="shared" si="21"/>
        <v>78.324623779891965</v>
      </c>
      <c r="S161" s="131">
        <f t="shared" si="22"/>
        <v>2.3246237798919651</v>
      </c>
      <c r="T161" s="150">
        <f t="shared" si="26"/>
        <v>0</v>
      </c>
      <c r="V161" s="12"/>
    </row>
    <row r="162" spans="1:22" x14ac:dyDescent="0.25">
      <c r="A162" s="50">
        <f>'A) Base RI'!A163</f>
        <v>5655</v>
      </c>
      <c r="B162" s="437" t="str">
        <f>'A) Base RI'!B163</f>
        <v>Yens</v>
      </c>
      <c r="C162" s="156">
        <v>1492551.0273482199</v>
      </c>
      <c r="D162" s="156">
        <v>1101728.531859098</v>
      </c>
      <c r="E162" s="156">
        <v>0</v>
      </c>
      <c r="F162" s="156">
        <v>0</v>
      </c>
      <c r="G162" s="156">
        <v>0</v>
      </c>
      <c r="H162" s="440">
        <f t="shared" si="25"/>
        <v>2594279.5592073179</v>
      </c>
      <c r="I162" s="156">
        <v>72322.592328767118</v>
      </c>
      <c r="J162" s="443">
        <f>'B) D RI'!U163</f>
        <v>87292.806849315064</v>
      </c>
      <c r="K162" s="67">
        <f t="shared" si="23"/>
        <v>35.870942615194593</v>
      </c>
      <c r="L162" s="34">
        <f>'B) D RI'!S163</f>
        <v>73</v>
      </c>
      <c r="M162" s="34">
        <f t="shared" si="18"/>
        <v>37.129057384805407</v>
      </c>
      <c r="N162" s="34">
        <f>'J) Plafonnement effort'!G161+'J) Plafonnement effort'!H161-'K) Plafonnement aide'!I161</f>
        <v>34.277210074071334</v>
      </c>
      <c r="O162" s="34">
        <f t="shared" si="19"/>
        <v>71.406267458876741</v>
      </c>
      <c r="P162" s="48">
        <f t="shared" si="20"/>
        <v>0</v>
      </c>
      <c r="Q162" s="58">
        <f t="shared" si="24"/>
        <v>0</v>
      </c>
      <c r="R162" s="151">
        <f t="shared" si="21"/>
        <v>71.406267458876741</v>
      </c>
      <c r="S162" s="131">
        <f t="shared" si="22"/>
        <v>-1.5937325411232592</v>
      </c>
      <c r="T162" s="150">
        <f t="shared" si="26"/>
        <v>0</v>
      </c>
      <c r="V162" s="12"/>
    </row>
    <row r="163" spans="1:22" x14ac:dyDescent="0.25">
      <c r="A163" s="50">
        <f>'A) Base RI'!A164</f>
        <v>5661</v>
      </c>
      <c r="B163" s="437" t="str">
        <f>'A) Base RI'!B164</f>
        <v>Boulens</v>
      </c>
      <c r="C163" s="156">
        <v>147913.5788401257</v>
      </c>
      <c r="D163" s="156">
        <v>-63726.906380944798</v>
      </c>
      <c r="E163" s="156">
        <v>0</v>
      </c>
      <c r="F163" s="156">
        <v>0</v>
      </c>
      <c r="G163" s="156">
        <v>0</v>
      </c>
      <c r="H163" s="440">
        <f t="shared" si="25"/>
        <v>84186.672459180903</v>
      </c>
      <c r="I163" s="156">
        <v>9059.2982278481013</v>
      </c>
      <c r="J163" s="443">
        <f>'B) D RI'!U164</f>
        <v>10339.57164556962</v>
      </c>
      <c r="K163" s="67">
        <f t="shared" si="23"/>
        <v>9.2928470110844525</v>
      </c>
      <c r="L163" s="34">
        <f>'B) D RI'!S164</f>
        <v>79</v>
      </c>
      <c r="M163" s="34">
        <f t="shared" si="18"/>
        <v>69.707152988915553</v>
      </c>
      <c r="N163" s="34">
        <f>'J) Plafonnement effort'!G162+'J) Plafonnement effort'!H162-'K) Plafonnement aide'!I162</f>
        <v>13.338158154939133</v>
      </c>
      <c r="O163" s="34">
        <f t="shared" si="19"/>
        <v>83.04531114385469</v>
      </c>
      <c r="P163" s="48">
        <f t="shared" si="20"/>
        <v>0</v>
      </c>
      <c r="Q163" s="58">
        <f t="shared" si="24"/>
        <v>0</v>
      </c>
      <c r="R163" s="151">
        <f t="shared" si="21"/>
        <v>83.04531114385469</v>
      </c>
      <c r="S163" s="131">
        <f t="shared" si="22"/>
        <v>4.0453111438546898</v>
      </c>
      <c r="T163" s="150">
        <f t="shared" si="26"/>
        <v>0</v>
      </c>
      <c r="V163" s="12"/>
    </row>
    <row r="164" spans="1:22" x14ac:dyDescent="0.25">
      <c r="A164" s="50">
        <f>'A) Base RI'!A165</f>
        <v>5663</v>
      </c>
      <c r="B164" s="437" t="str">
        <f>'A) Base RI'!B165</f>
        <v>Bussy-sur-Moudon</v>
      </c>
      <c r="C164" s="156">
        <v>99527.419254055843</v>
      </c>
      <c r="D164" s="156">
        <v>-9209.5554111660022</v>
      </c>
      <c r="E164" s="156">
        <v>0</v>
      </c>
      <c r="F164" s="156">
        <v>0</v>
      </c>
      <c r="G164" s="156">
        <v>0</v>
      </c>
      <c r="H164" s="440">
        <f t="shared" si="25"/>
        <v>90317.863842889841</v>
      </c>
      <c r="I164" s="156">
        <v>5679.6416249999993</v>
      </c>
      <c r="J164" s="443">
        <f>'B) D RI'!U165</f>
        <v>5294.5642500000013</v>
      </c>
      <c r="K164" s="67">
        <f t="shared" si="23"/>
        <v>15.902035692769585</v>
      </c>
      <c r="L164" s="34">
        <f>'B) D RI'!S165</f>
        <v>80</v>
      </c>
      <c r="M164" s="34">
        <f t="shared" si="18"/>
        <v>64.097964307230413</v>
      </c>
      <c r="N164" s="34">
        <f>'J) Plafonnement effort'!G163+'J) Plafonnement effort'!H163-'K) Plafonnement aide'!I163</f>
        <v>-1.9773215831859758</v>
      </c>
      <c r="O164" s="34">
        <f t="shared" si="19"/>
        <v>62.120642724044437</v>
      </c>
      <c r="P164" s="48">
        <f t="shared" si="20"/>
        <v>0</v>
      </c>
      <c r="Q164" s="58">
        <f t="shared" si="24"/>
        <v>0</v>
      </c>
      <c r="R164" s="151">
        <f t="shared" si="21"/>
        <v>62.120642724044437</v>
      </c>
      <c r="S164" s="131">
        <f t="shared" si="22"/>
        <v>-17.879357275955563</v>
      </c>
      <c r="T164" s="150">
        <f t="shared" si="26"/>
        <v>0</v>
      </c>
      <c r="V164" s="12"/>
    </row>
    <row r="165" spans="1:22" x14ac:dyDescent="0.25">
      <c r="A165" s="50">
        <f>'A) Base RI'!A166</f>
        <v>5665</v>
      </c>
      <c r="B165" s="437" t="str">
        <f>'A) Base RI'!B166</f>
        <v>Chavannes-sur-Moudon</v>
      </c>
      <c r="C165" s="156">
        <v>77250.561531677609</v>
      </c>
      <c r="D165" s="156">
        <v>-30348.780016528792</v>
      </c>
      <c r="E165" s="156">
        <v>0</v>
      </c>
      <c r="F165" s="156">
        <v>0</v>
      </c>
      <c r="G165" s="156">
        <v>0</v>
      </c>
      <c r="H165" s="440">
        <f t="shared" si="25"/>
        <v>46901.781515148818</v>
      </c>
      <c r="I165" s="156">
        <v>5041.8972602739723</v>
      </c>
      <c r="J165" s="443">
        <f>'B) D RI'!U166</f>
        <v>4618.4299999999994</v>
      </c>
      <c r="K165" s="67">
        <f t="shared" si="23"/>
        <v>9.3024072276713188</v>
      </c>
      <c r="L165" s="34">
        <f>'B) D RI'!S166</f>
        <v>73</v>
      </c>
      <c r="M165" s="34">
        <f t="shared" si="18"/>
        <v>63.697592772328683</v>
      </c>
      <c r="N165" s="34">
        <f>'J) Plafonnement effort'!G164+'J) Plafonnement effort'!H164-'K) Plafonnement aide'!I164</f>
        <v>5.5641145497786439</v>
      </c>
      <c r="O165" s="34">
        <f t="shared" si="19"/>
        <v>69.261707322107327</v>
      </c>
      <c r="P165" s="48">
        <f t="shared" si="20"/>
        <v>0</v>
      </c>
      <c r="Q165" s="58">
        <f t="shared" si="24"/>
        <v>0</v>
      </c>
      <c r="R165" s="151">
        <f t="shared" si="21"/>
        <v>69.261707322107327</v>
      </c>
      <c r="S165" s="131">
        <f t="shared" si="22"/>
        <v>-3.7382926778926731</v>
      </c>
      <c r="T165" s="150">
        <f t="shared" si="26"/>
        <v>0</v>
      </c>
      <c r="V165" s="12"/>
    </row>
    <row r="166" spans="1:22" x14ac:dyDescent="0.25">
      <c r="A166" s="50">
        <f>'A) Base RI'!A167</f>
        <v>5669</v>
      </c>
      <c r="B166" s="437" t="str">
        <f>'A) Base RI'!B167</f>
        <v>Curtilles</v>
      </c>
      <c r="C166" s="156">
        <v>168011.0214122546</v>
      </c>
      <c r="D166" s="156">
        <v>17956.224755765463</v>
      </c>
      <c r="E166" s="156">
        <v>0</v>
      </c>
      <c r="F166" s="156">
        <v>0</v>
      </c>
      <c r="G166" s="156">
        <v>0</v>
      </c>
      <c r="H166" s="440">
        <f t="shared" si="25"/>
        <v>185967.24616802006</v>
      </c>
      <c r="I166" s="156">
        <v>9002.5637333333325</v>
      </c>
      <c r="J166" s="443">
        <f>'B) D RI'!U167</f>
        <v>7795.8649333333315</v>
      </c>
      <c r="K166" s="67">
        <f t="shared" si="23"/>
        <v>20.657142973556372</v>
      </c>
      <c r="L166" s="34">
        <f>'B) D RI'!S167</f>
        <v>75</v>
      </c>
      <c r="M166" s="34">
        <f t="shared" si="18"/>
        <v>54.342857026443625</v>
      </c>
      <c r="N166" s="34">
        <f>'J) Plafonnement effort'!G165+'J) Plafonnement effort'!H165-'K) Plafonnement aide'!I165</f>
        <v>10.754900739880007</v>
      </c>
      <c r="O166" s="34">
        <f t="shared" si="19"/>
        <v>65.097757766323639</v>
      </c>
      <c r="P166" s="48">
        <f t="shared" si="20"/>
        <v>0</v>
      </c>
      <c r="Q166" s="58">
        <f t="shared" si="24"/>
        <v>0</v>
      </c>
      <c r="R166" s="151">
        <f t="shared" si="21"/>
        <v>65.097757766323639</v>
      </c>
      <c r="S166" s="131">
        <f t="shared" si="22"/>
        <v>-9.9022422336763611</v>
      </c>
      <c r="T166" s="150">
        <f t="shared" si="26"/>
        <v>0</v>
      </c>
      <c r="V166" s="12"/>
    </row>
    <row r="167" spans="1:22" x14ac:dyDescent="0.25">
      <c r="A167" s="50">
        <f>'A) Base RI'!A168</f>
        <v>5671</v>
      </c>
      <c r="B167" s="437" t="str">
        <f>'A) Base RI'!B168</f>
        <v>Dompierre</v>
      </c>
      <c r="C167" s="156">
        <v>95753.120120526219</v>
      </c>
      <c r="D167" s="156">
        <v>-40524.571055327091</v>
      </c>
      <c r="E167" s="156">
        <v>0</v>
      </c>
      <c r="F167" s="156">
        <v>0</v>
      </c>
      <c r="G167" s="156">
        <v>0</v>
      </c>
      <c r="H167" s="440">
        <f t="shared" si="25"/>
        <v>55228.549065199128</v>
      </c>
      <c r="I167" s="156">
        <v>6375.2653750000009</v>
      </c>
      <c r="J167" s="443">
        <f>'B) D RI'!U168</f>
        <v>6158.8938749999998</v>
      </c>
      <c r="K167" s="67">
        <f t="shared" si="23"/>
        <v>8.6629411979888165</v>
      </c>
      <c r="L167" s="34">
        <f>'B) D RI'!S168</f>
        <v>80</v>
      </c>
      <c r="M167" s="34">
        <f t="shared" ref="M167:M218" si="27">L167-K167</f>
        <v>71.337058802011185</v>
      </c>
      <c r="N167" s="34">
        <f>'J) Plafonnement effort'!G166+'J) Plafonnement effort'!H166-'K) Plafonnement aide'!I166</f>
        <v>3.1865417147179311</v>
      </c>
      <c r="O167" s="34">
        <f t="shared" ref="O167:O218" si="28">M167+N167</f>
        <v>74.523600516729118</v>
      </c>
      <c r="P167" s="48">
        <f t="shared" ref="P167:P218" si="29">IF(O167&gt;$P$5,$P$5-O167,0)</f>
        <v>0</v>
      </c>
      <c r="Q167" s="58">
        <f t="shared" si="24"/>
        <v>0</v>
      </c>
      <c r="R167" s="151">
        <f t="shared" ref="R167:R218" si="30">O167+P167</f>
        <v>74.523600516729118</v>
      </c>
      <c r="S167" s="131">
        <f t="shared" ref="S167:S218" si="31">R167-L167</f>
        <v>-5.4763994832708818</v>
      </c>
      <c r="T167" s="150">
        <f t="shared" si="26"/>
        <v>0</v>
      </c>
      <c r="V167" s="12"/>
    </row>
    <row r="168" spans="1:22" x14ac:dyDescent="0.25">
      <c r="A168" s="50">
        <f>'A) Base RI'!A169</f>
        <v>5673</v>
      </c>
      <c r="B168" s="437" t="str">
        <f>'A) Base RI'!B169</f>
        <v>Hermenches</v>
      </c>
      <c r="C168" s="156">
        <v>138833.99384970081</v>
      </c>
      <c r="D168" s="156">
        <v>-53682.949412284128</v>
      </c>
      <c r="E168" s="156">
        <v>0</v>
      </c>
      <c r="F168" s="156">
        <v>0</v>
      </c>
      <c r="G168" s="156">
        <v>0</v>
      </c>
      <c r="H168" s="440">
        <f t="shared" si="25"/>
        <v>85151.044437416684</v>
      </c>
      <c r="I168" s="156">
        <v>8890.2024444444451</v>
      </c>
      <c r="J168" s="443">
        <f>'B) D RI'!U169</f>
        <v>9293.9345333333331</v>
      </c>
      <c r="K168" s="67">
        <f t="shared" ref="K168:K220" si="32">H168/I168</f>
        <v>9.5780770988660908</v>
      </c>
      <c r="L168" s="34">
        <f>'B) D RI'!S169</f>
        <v>75</v>
      </c>
      <c r="M168" s="34">
        <f t="shared" si="27"/>
        <v>65.421922901133911</v>
      </c>
      <c r="N168" s="34">
        <f>'J) Plafonnement effort'!G167+'J) Plafonnement effort'!H167-'K) Plafonnement aide'!I167</f>
        <v>-4.2049888760889065</v>
      </c>
      <c r="O168" s="34">
        <f t="shared" si="28"/>
        <v>61.216934025045006</v>
      </c>
      <c r="P168" s="48">
        <f t="shared" si="29"/>
        <v>0</v>
      </c>
      <c r="Q168" s="58">
        <f t="shared" ref="Q168:Q221" si="33">P168*J168</f>
        <v>0</v>
      </c>
      <c r="R168" s="151">
        <f t="shared" si="30"/>
        <v>61.216934025045006</v>
      </c>
      <c r="S168" s="131">
        <f t="shared" si="31"/>
        <v>-13.783065974954994</v>
      </c>
      <c r="T168" s="150">
        <f t="shared" si="26"/>
        <v>0</v>
      </c>
      <c r="V168" s="12"/>
    </row>
    <row r="169" spans="1:22" x14ac:dyDescent="0.25">
      <c r="A169" s="50">
        <f>'A) Base RI'!A170</f>
        <v>5674</v>
      </c>
      <c r="B169" s="437" t="str">
        <f>'A) Base RI'!B170</f>
        <v>Lovatens</v>
      </c>
      <c r="C169" s="156">
        <v>56932.300148621609</v>
      </c>
      <c r="D169" s="156">
        <v>-6982.2569248856598</v>
      </c>
      <c r="E169" s="156">
        <v>0</v>
      </c>
      <c r="F169" s="156">
        <v>0</v>
      </c>
      <c r="G169" s="156">
        <v>0</v>
      </c>
      <c r="H169" s="440">
        <f t="shared" si="25"/>
        <v>49950.043223735949</v>
      </c>
      <c r="I169" s="156">
        <v>3625.6310666666668</v>
      </c>
      <c r="J169" s="443">
        <f>'B) D RI'!U170</f>
        <v>3277.031161904762</v>
      </c>
      <c r="K169" s="67">
        <f t="shared" si="32"/>
        <v>13.776923880360235</v>
      </c>
      <c r="L169" s="34">
        <f>'B) D RI'!S170</f>
        <v>75</v>
      </c>
      <c r="M169" s="34">
        <f t="shared" si="27"/>
        <v>61.223076119639764</v>
      </c>
      <c r="N169" s="34">
        <f>'J) Plafonnement effort'!G168+'J) Plafonnement effort'!H168-'K) Plafonnement aide'!I168</f>
        <v>5.6298209244285742</v>
      </c>
      <c r="O169" s="34">
        <f t="shared" si="28"/>
        <v>66.852897044068342</v>
      </c>
      <c r="P169" s="48">
        <f t="shared" si="29"/>
        <v>0</v>
      </c>
      <c r="Q169" s="58">
        <f t="shared" si="33"/>
        <v>0</v>
      </c>
      <c r="R169" s="151">
        <f t="shared" si="30"/>
        <v>66.852897044068342</v>
      </c>
      <c r="S169" s="131">
        <f t="shared" si="31"/>
        <v>-8.1471029559316577</v>
      </c>
      <c r="T169" s="150">
        <f t="shared" si="26"/>
        <v>0</v>
      </c>
      <c r="V169" s="12"/>
    </row>
    <row r="170" spans="1:22" x14ac:dyDescent="0.25">
      <c r="A170" s="50">
        <f>'A) Base RI'!A171</f>
        <v>5675</v>
      </c>
      <c r="B170" s="437" t="str">
        <f>'A) Base RI'!B171</f>
        <v>Lucens</v>
      </c>
      <c r="C170" s="156">
        <v>1619124.3585848331</v>
      </c>
      <c r="D170" s="156">
        <v>-1492823.7797132309</v>
      </c>
      <c r="E170" s="156">
        <v>0</v>
      </c>
      <c r="F170" s="156">
        <v>0</v>
      </c>
      <c r="G170" s="156">
        <v>0</v>
      </c>
      <c r="H170" s="440">
        <f t="shared" si="25"/>
        <v>126300.57887160219</v>
      </c>
      <c r="I170" s="156">
        <v>86340.116763085374</v>
      </c>
      <c r="J170" s="443">
        <f>'B) D RI'!U171</f>
        <v>92142.722793148874</v>
      </c>
      <c r="K170" s="67">
        <f t="shared" ref="K170" si="34">H170/I170</f>
        <v>1.4628261300383354</v>
      </c>
      <c r="L170" s="34">
        <f>'B) D RI'!S171</f>
        <v>69</v>
      </c>
      <c r="M170" s="34">
        <f t="shared" ref="M170" si="35">L170-K170</f>
        <v>67.537173869961663</v>
      </c>
      <c r="N170" s="34">
        <f>'J) Plafonnement effort'!G169+'J) Plafonnement effort'!H169-'K) Plafonnement aide'!I169</f>
        <v>-2.2956292404383607</v>
      </c>
      <c r="O170" s="34">
        <f t="shared" ref="O170" si="36">M170+N170</f>
        <v>65.241544629523304</v>
      </c>
      <c r="P170" s="48">
        <f t="shared" ref="P170" si="37">IF(O170&gt;$P$5,$P$5-O170,0)</f>
        <v>0</v>
      </c>
      <c r="Q170" s="58">
        <f t="shared" ref="Q170" si="38">P170*J170</f>
        <v>0</v>
      </c>
      <c r="R170" s="151">
        <f t="shared" ref="R170" si="39">O170+P170</f>
        <v>65.241544629523304</v>
      </c>
      <c r="S170" s="131">
        <f t="shared" ref="S170" si="40">R170-L170</f>
        <v>-3.7584553704766961</v>
      </c>
      <c r="T170" s="150">
        <f t="shared" si="26"/>
        <v>0</v>
      </c>
      <c r="V170" s="12"/>
    </row>
    <row r="171" spans="1:22" x14ac:dyDescent="0.25">
      <c r="A171" s="50">
        <f>'A) Base RI'!A172</f>
        <v>5678</v>
      </c>
      <c r="B171" s="437" t="str">
        <f>'A) Base RI'!B172</f>
        <v>Moudon</v>
      </c>
      <c r="C171" s="156">
        <v>2511240.3922734871</v>
      </c>
      <c r="D171" s="156">
        <v>-3774222.6648240825</v>
      </c>
      <c r="E171" s="156">
        <v>483716.54981726164</v>
      </c>
      <c r="F171" s="156">
        <v>0</v>
      </c>
      <c r="G171" s="156">
        <v>0</v>
      </c>
      <c r="H171" s="440">
        <f t="shared" si="25"/>
        <v>-779265.72273333382</v>
      </c>
      <c r="I171" s="156">
        <v>119887.03426666667</v>
      </c>
      <c r="J171" s="443">
        <f>'B) D RI'!U172</f>
        <v>119798.79359999999</v>
      </c>
      <c r="K171" s="67">
        <f t="shared" si="32"/>
        <v>-6.5000000000000036</v>
      </c>
      <c r="L171" s="34">
        <f>'B) D RI'!S172</f>
        <v>75</v>
      </c>
      <c r="M171" s="34">
        <f t="shared" si="27"/>
        <v>81.5</v>
      </c>
      <c r="N171" s="34">
        <f>'J) Plafonnement effort'!G170+'J) Plafonnement effort'!H170-'K) Plafonnement aide'!I170</f>
        <v>-16.310226045396487</v>
      </c>
      <c r="O171" s="34">
        <f t="shared" si="28"/>
        <v>65.18977395460351</v>
      </c>
      <c r="P171" s="48">
        <f t="shared" si="29"/>
        <v>0</v>
      </c>
      <c r="Q171" s="58">
        <f t="shared" si="33"/>
        <v>0</v>
      </c>
      <c r="R171" s="151">
        <f t="shared" si="30"/>
        <v>65.18977395460351</v>
      </c>
      <c r="S171" s="131">
        <f t="shared" si="31"/>
        <v>-9.8102260453964902</v>
      </c>
      <c r="T171" s="150">
        <f t="shared" si="26"/>
        <v>0</v>
      </c>
      <c r="V171" s="12"/>
    </row>
    <row r="172" spans="1:22" x14ac:dyDescent="0.25">
      <c r="A172" s="50">
        <f>'A) Base RI'!A173</f>
        <v>5680</v>
      </c>
      <c r="B172" s="437" t="str">
        <f>'A) Base RI'!B173</f>
        <v>Ogens</v>
      </c>
      <c r="C172" s="156">
        <v>129761.95864224093</v>
      </c>
      <c r="D172" s="156">
        <v>-41668.021434266004</v>
      </c>
      <c r="E172" s="156">
        <v>0</v>
      </c>
      <c r="F172" s="156">
        <v>0</v>
      </c>
      <c r="G172" s="156">
        <v>0</v>
      </c>
      <c r="H172" s="440">
        <f t="shared" si="25"/>
        <v>88093.93720797493</v>
      </c>
      <c r="I172" s="156">
        <v>7440.7528632478625</v>
      </c>
      <c r="J172" s="443">
        <f>'B) D RI'!U173</f>
        <v>6445.3270940170942</v>
      </c>
      <c r="K172" s="67">
        <f t="shared" si="32"/>
        <v>11.839384915348772</v>
      </c>
      <c r="L172" s="34">
        <f>'B) D RI'!S173</f>
        <v>78</v>
      </c>
      <c r="M172" s="34">
        <f t="shared" si="27"/>
        <v>66.160615084651226</v>
      </c>
      <c r="N172" s="34">
        <f>'J) Plafonnement effort'!G171+'J) Plafonnement effort'!H171-'K) Plafonnement aide'!I171</f>
        <v>4.9412960814173115</v>
      </c>
      <c r="O172" s="34">
        <f t="shared" si="28"/>
        <v>71.101911166068533</v>
      </c>
      <c r="P172" s="48">
        <f t="shared" si="29"/>
        <v>0</v>
      </c>
      <c r="Q172" s="58">
        <f t="shared" si="33"/>
        <v>0</v>
      </c>
      <c r="R172" s="151">
        <f t="shared" si="30"/>
        <v>71.101911166068533</v>
      </c>
      <c r="S172" s="131">
        <f t="shared" si="31"/>
        <v>-6.8980888339314674</v>
      </c>
      <c r="T172" s="150">
        <f t="shared" si="26"/>
        <v>0</v>
      </c>
      <c r="V172" s="12"/>
    </row>
    <row r="173" spans="1:22" x14ac:dyDescent="0.25">
      <c r="A173" s="50">
        <f>'A) Base RI'!A174</f>
        <v>5683</v>
      </c>
      <c r="B173" s="437" t="str">
        <f>'A) Base RI'!B174</f>
        <v>Prévonloup</v>
      </c>
      <c r="C173" s="156">
        <v>70952.749452332791</v>
      </c>
      <c r="D173" s="156">
        <v>-14893.31101703149</v>
      </c>
      <c r="E173" s="156">
        <v>0</v>
      </c>
      <c r="F173" s="156">
        <v>0</v>
      </c>
      <c r="G173" s="156">
        <v>0</v>
      </c>
      <c r="H173" s="440">
        <f t="shared" si="25"/>
        <v>56059.438435301301</v>
      </c>
      <c r="I173" s="156">
        <v>3896.046081081081</v>
      </c>
      <c r="J173" s="443">
        <f>'B) D RI'!U174</f>
        <v>3724.6422972972978</v>
      </c>
      <c r="K173" s="67">
        <f t="shared" si="32"/>
        <v>14.388802716559718</v>
      </c>
      <c r="L173" s="34">
        <f>'B) D RI'!S174</f>
        <v>74</v>
      </c>
      <c r="M173" s="34">
        <f t="shared" si="27"/>
        <v>59.611197283440283</v>
      </c>
      <c r="N173" s="34">
        <f>'J) Plafonnement effort'!G172+'J) Plafonnement effort'!H172-'K) Plafonnement aide'!I172</f>
        <v>1.9319572326210754</v>
      </c>
      <c r="O173" s="34">
        <f t="shared" si="28"/>
        <v>61.543154516061357</v>
      </c>
      <c r="P173" s="48">
        <f t="shared" si="29"/>
        <v>0</v>
      </c>
      <c r="Q173" s="58">
        <f t="shared" si="33"/>
        <v>0</v>
      </c>
      <c r="R173" s="151">
        <f t="shared" si="30"/>
        <v>61.543154516061357</v>
      </c>
      <c r="S173" s="131">
        <f t="shared" si="31"/>
        <v>-12.456845483938643</v>
      </c>
      <c r="T173" s="150">
        <f t="shared" si="26"/>
        <v>0</v>
      </c>
      <c r="V173" s="12"/>
    </row>
    <row r="174" spans="1:22" x14ac:dyDescent="0.25">
      <c r="A174" s="50">
        <f>'A) Base RI'!A175</f>
        <v>5684</v>
      </c>
      <c r="B174" s="437" t="str">
        <f>'A) Base RI'!B175</f>
        <v>Rossenges</v>
      </c>
      <c r="C174" s="156">
        <v>44083.789649719358</v>
      </c>
      <c r="D174" s="156">
        <v>48056.031872250082</v>
      </c>
      <c r="E174" s="156">
        <v>0</v>
      </c>
      <c r="F174" s="156">
        <v>0</v>
      </c>
      <c r="G174" s="156">
        <v>0</v>
      </c>
      <c r="H174" s="440">
        <f t="shared" si="25"/>
        <v>92139.821521969439</v>
      </c>
      <c r="I174" s="156">
        <v>2935.9523333333332</v>
      </c>
      <c r="J174" s="443">
        <f>'B) D RI'!U175</f>
        <v>1951.4436666666666</v>
      </c>
      <c r="K174" s="67">
        <f t="shared" si="32"/>
        <v>31.383282513091249</v>
      </c>
      <c r="L174" s="34">
        <f>'B) D RI'!S175</f>
        <v>75</v>
      </c>
      <c r="M174" s="34">
        <f t="shared" si="27"/>
        <v>43.616717486908755</v>
      </c>
      <c r="N174" s="34">
        <f>'J) Plafonnement effort'!G173+'J) Plafonnement effort'!H173-'K) Plafonnement aide'!I173</f>
        <v>22.151233673307793</v>
      </c>
      <c r="O174" s="34">
        <f t="shared" si="28"/>
        <v>65.767951160216541</v>
      </c>
      <c r="P174" s="48">
        <f t="shared" si="29"/>
        <v>0</v>
      </c>
      <c r="Q174" s="58">
        <f t="shared" si="33"/>
        <v>0</v>
      </c>
      <c r="R174" s="151">
        <f t="shared" si="30"/>
        <v>65.767951160216541</v>
      </c>
      <c r="S174" s="131">
        <f t="shared" si="31"/>
        <v>-9.2320488397834595</v>
      </c>
      <c r="T174" s="150">
        <f t="shared" si="26"/>
        <v>0</v>
      </c>
      <c r="V174" s="12"/>
    </row>
    <row r="175" spans="1:22" x14ac:dyDescent="0.25">
      <c r="A175" s="50">
        <f>'A) Base RI'!A176</f>
        <v>5688</v>
      </c>
      <c r="B175" s="437" t="str">
        <f>'A) Base RI'!B176</f>
        <v>Syens</v>
      </c>
      <c r="C175" s="156">
        <v>109864.85187984481</v>
      </c>
      <c r="D175" s="156">
        <v>91677.161987265295</v>
      </c>
      <c r="E175" s="156">
        <v>0</v>
      </c>
      <c r="F175" s="156">
        <v>0</v>
      </c>
      <c r="G175" s="156">
        <v>0</v>
      </c>
      <c r="H175" s="440">
        <f t="shared" si="25"/>
        <v>201542.0138671101</v>
      </c>
      <c r="I175" s="156">
        <v>6288.5417989418002</v>
      </c>
      <c r="J175" s="443">
        <f>'B) D RI'!U176</f>
        <v>3966.9414021164025</v>
      </c>
      <c r="K175" s="67">
        <f t="shared" si="32"/>
        <v>32.049085513119181</v>
      </c>
      <c r="L175" s="34">
        <f>'B) D RI'!S176</f>
        <v>75.599999999999994</v>
      </c>
      <c r="M175" s="34">
        <f t="shared" si="27"/>
        <v>43.550914486880814</v>
      </c>
      <c r="N175" s="34">
        <f>'J) Plafonnement effort'!G174+'J) Plafonnement effort'!H174-'K) Plafonnement aide'!I174</f>
        <v>7.7854521841403361</v>
      </c>
      <c r="O175" s="34">
        <f t="shared" si="28"/>
        <v>51.336366671021153</v>
      </c>
      <c r="P175" s="48">
        <f t="shared" si="29"/>
        <v>0</v>
      </c>
      <c r="Q175" s="58">
        <f t="shared" si="33"/>
        <v>0</v>
      </c>
      <c r="R175" s="151">
        <f t="shared" si="30"/>
        <v>51.336366671021153</v>
      </c>
      <c r="S175" s="131">
        <f t="shared" si="31"/>
        <v>-24.263633328978841</v>
      </c>
      <c r="T175" s="150">
        <f t="shared" si="26"/>
        <v>0</v>
      </c>
      <c r="V175" s="12"/>
    </row>
    <row r="176" spans="1:22" x14ac:dyDescent="0.25">
      <c r="A176" s="50">
        <f>'A) Base RI'!A177</f>
        <v>5690</v>
      </c>
      <c r="B176" s="437" t="str">
        <f>'A) Base RI'!B177</f>
        <v>Villars-le-Comte</v>
      </c>
      <c r="C176" s="156">
        <v>65628.854106790837</v>
      </c>
      <c r="D176" s="156">
        <v>-1841.871370113382</v>
      </c>
      <c r="E176" s="156">
        <v>0</v>
      </c>
      <c r="F176" s="156">
        <v>0</v>
      </c>
      <c r="G176" s="156">
        <v>0</v>
      </c>
      <c r="H176" s="440">
        <f t="shared" si="25"/>
        <v>63786.982736677455</v>
      </c>
      <c r="I176" s="156">
        <v>3582.5831666666668</v>
      </c>
      <c r="J176" s="443">
        <f>'B) D RI'!U177</f>
        <v>4059.4070238095242</v>
      </c>
      <c r="K176" s="67">
        <f t="shared" si="32"/>
        <v>17.804745840981163</v>
      </c>
      <c r="L176" s="34">
        <f>'B) D RI'!S177</f>
        <v>70</v>
      </c>
      <c r="M176" s="34">
        <f t="shared" si="27"/>
        <v>52.195254159018837</v>
      </c>
      <c r="N176" s="34">
        <f>'J) Plafonnement effort'!G175+'J) Plafonnement effort'!H175-'K) Plafonnement aide'!I175</f>
        <v>22.571365071657009</v>
      </c>
      <c r="O176" s="34">
        <f t="shared" si="28"/>
        <v>74.766619230675843</v>
      </c>
      <c r="P176" s="48">
        <f t="shared" si="29"/>
        <v>0</v>
      </c>
      <c r="Q176" s="58">
        <f t="shared" si="33"/>
        <v>0</v>
      </c>
      <c r="R176" s="151">
        <f t="shared" si="30"/>
        <v>74.766619230675843</v>
      </c>
      <c r="S176" s="131">
        <f t="shared" si="31"/>
        <v>4.7666192306758433</v>
      </c>
      <c r="T176" s="150">
        <f t="shared" si="26"/>
        <v>0</v>
      </c>
      <c r="V176" s="12"/>
    </row>
    <row r="177" spans="1:22" x14ac:dyDescent="0.25">
      <c r="A177" s="50">
        <f>'A) Base RI'!A178</f>
        <v>5692</v>
      </c>
      <c r="B177" s="437" t="str">
        <f>'A) Base RI'!B178</f>
        <v>Vucherens</v>
      </c>
      <c r="C177" s="156">
        <v>304092.54656227288</v>
      </c>
      <c r="D177" s="156">
        <v>45485.860840187466</v>
      </c>
      <c r="E177" s="156">
        <v>0</v>
      </c>
      <c r="F177" s="156">
        <v>0</v>
      </c>
      <c r="G177" s="156">
        <v>0</v>
      </c>
      <c r="H177" s="440">
        <f t="shared" si="25"/>
        <v>349578.40740246035</v>
      </c>
      <c r="I177" s="156">
        <v>17338.328227848098</v>
      </c>
      <c r="J177" s="443">
        <f>'B) D RI'!U178</f>
        <v>16205.612531645571</v>
      </c>
      <c r="K177" s="67">
        <f t="shared" si="32"/>
        <v>20.162174969151991</v>
      </c>
      <c r="L177" s="34">
        <f>'B) D RI'!S178</f>
        <v>79</v>
      </c>
      <c r="M177" s="34">
        <f t="shared" si="27"/>
        <v>58.837825030848009</v>
      </c>
      <c r="N177" s="34">
        <f>'J) Plafonnement effort'!G176+'J) Plafonnement effort'!H176-'K) Plafonnement aide'!I176</f>
        <v>15.537507008469461</v>
      </c>
      <c r="O177" s="34">
        <f t="shared" si="28"/>
        <v>74.37533203931747</v>
      </c>
      <c r="P177" s="48">
        <f t="shared" si="29"/>
        <v>0</v>
      </c>
      <c r="Q177" s="58">
        <f t="shared" si="33"/>
        <v>0</v>
      </c>
      <c r="R177" s="151">
        <f t="shared" si="30"/>
        <v>74.37533203931747</v>
      </c>
      <c r="S177" s="131">
        <f t="shared" si="31"/>
        <v>-4.6246679606825296</v>
      </c>
      <c r="T177" s="150">
        <f t="shared" si="26"/>
        <v>0</v>
      </c>
      <c r="V177" s="12"/>
    </row>
    <row r="178" spans="1:22" x14ac:dyDescent="0.25">
      <c r="A178" s="50">
        <f>'A) Base RI'!A179</f>
        <v>5693</v>
      </c>
      <c r="B178" s="437" t="str">
        <f>'A) Base RI'!B179</f>
        <v>Montanaire</v>
      </c>
      <c r="C178" s="156">
        <v>1294900.3762852028</v>
      </c>
      <c r="D178" s="156">
        <v>-281804.85009044642</v>
      </c>
      <c r="E178" s="156">
        <v>0</v>
      </c>
      <c r="F178" s="156">
        <v>0</v>
      </c>
      <c r="G178" s="156">
        <v>0</v>
      </c>
      <c r="H178" s="440">
        <f t="shared" si="25"/>
        <v>1013095.5261947564</v>
      </c>
      <c r="I178" s="156">
        <v>71023.934305555566</v>
      </c>
      <c r="J178" s="443">
        <f>'B) D RI'!U179</f>
        <v>69929.896527777775</v>
      </c>
      <c r="K178" s="67">
        <f>H178/I178</f>
        <v>14.26414258940188</v>
      </c>
      <c r="L178" s="34">
        <f>'B) D RI'!S179</f>
        <v>72</v>
      </c>
      <c r="M178" s="34">
        <f>L178-K178</f>
        <v>57.735857410598122</v>
      </c>
      <c r="N178" s="34">
        <f>'J) Plafonnement effort'!G177+'J) Plafonnement effort'!H177-'K) Plafonnement aide'!I177</f>
        <v>3.0969158544469426</v>
      </c>
      <c r="O178" s="34">
        <f>M178+N178</f>
        <v>60.832773265045063</v>
      </c>
      <c r="P178" s="48">
        <f t="shared" si="29"/>
        <v>0</v>
      </c>
      <c r="Q178" s="58">
        <f>P178*J178</f>
        <v>0</v>
      </c>
      <c r="R178" s="151">
        <f>O178+P178</f>
        <v>60.832773265045063</v>
      </c>
      <c r="S178" s="131">
        <f>R178-L178</f>
        <v>-11.167226734954937</v>
      </c>
      <c r="T178" s="150">
        <f t="shared" si="26"/>
        <v>0</v>
      </c>
      <c r="V178" s="12"/>
    </row>
    <row r="179" spans="1:22" x14ac:dyDescent="0.25">
      <c r="A179" s="50">
        <f>'A) Base RI'!A180</f>
        <v>5701</v>
      </c>
      <c r="B179" s="437" t="str">
        <f>'A) Base RI'!B180</f>
        <v>Arnex-sur-Nyon</v>
      </c>
      <c r="C179" s="156">
        <v>280647.04695862008</v>
      </c>
      <c r="D179" s="156">
        <v>237848.00020186539</v>
      </c>
      <c r="E179" s="156">
        <v>0</v>
      </c>
      <c r="F179" s="156">
        <v>0</v>
      </c>
      <c r="G179" s="156">
        <v>0</v>
      </c>
      <c r="H179" s="440">
        <f t="shared" si="25"/>
        <v>518495.04716048547</v>
      </c>
      <c r="I179" s="156">
        <v>14557.077428571431</v>
      </c>
      <c r="J179" s="443">
        <f>'B) D RI'!U180</f>
        <v>13502.083857142858</v>
      </c>
      <c r="K179" s="67">
        <f>H179/I179</f>
        <v>35.6180730441693</v>
      </c>
      <c r="L179" s="34">
        <f>'B) D RI'!S180</f>
        <v>70</v>
      </c>
      <c r="M179" s="34">
        <f>L179-K179</f>
        <v>34.3819269558307</v>
      </c>
      <c r="N179" s="34">
        <f>'J) Plafonnement effort'!G178+'J) Plafonnement effort'!H178-'K) Plafonnement aide'!I178</f>
        <v>38.062965247402616</v>
      </c>
      <c r="O179" s="34">
        <f>M179+N179</f>
        <v>72.444892203233309</v>
      </c>
      <c r="P179" s="48">
        <f t="shared" si="29"/>
        <v>0</v>
      </c>
      <c r="Q179" s="58">
        <f>P179*J179</f>
        <v>0</v>
      </c>
      <c r="R179" s="151">
        <f>O179+P179</f>
        <v>72.444892203233309</v>
      </c>
      <c r="S179" s="131">
        <f>R179-L179</f>
        <v>2.4448922032333087</v>
      </c>
      <c r="T179" s="150">
        <f t="shared" si="26"/>
        <v>0</v>
      </c>
      <c r="V179" s="12"/>
    </row>
    <row r="180" spans="1:22" x14ac:dyDescent="0.25">
      <c r="A180" s="50">
        <f>'A) Base RI'!A181</f>
        <v>5702</v>
      </c>
      <c r="B180" s="437" t="str">
        <f>'A) Base RI'!B181</f>
        <v>Arzier-Le Muids</v>
      </c>
      <c r="C180" s="156">
        <v>3105610.6522240806</v>
      </c>
      <c r="D180" s="156">
        <v>2179825.1495826198</v>
      </c>
      <c r="E180" s="156">
        <v>0</v>
      </c>
      <c r="F180" s="156">
        <v>0</v>
      </c>
      <c r="G180" s="156">
        <v>0</v>
      </c>
      <c r="H180" s="440">
        <f t="shared" si="25"/>
        <v>5285435.8018067004</v>
      </c>
      <c r="I180" s="156">
        <v>156245.38328125002</v>
      </c>
      <c r="J180" s="443">
        <f>'B) D RI'!U181</f>
        <v>176072.16864583336</v>
      </c>
      <c r="K180" s="67">
        <f t="shared" si="32"/>
        <v>33.827788641233859</v>
      </c>
      <c r="L180" s="34">
        <f>'B) D RI'!S181</f>
        <v>64</v>
      </c>
      <c r="M180" s="34">
        <f t="shared" si="27"/>
        <v>30.172211358766141</v>
      </c>
      <c r="N180" s="34">
        <f>'J) Plafonnement effort'!G179+'J) Plafonnement effort'!H179-'K) Plafonnement aide'!I179</f>
        <v>34.625814881236032</v>
      </c>
      <c r="O180" s="34">
        <f t="shared" si="28"/>
        <v>64.798026240002173</v>
      </c>
      <c r="P180" s="48">
        <f t="shared" si="29"/>
        <v>0</v>
      </c>
      <c r="Q180" s="58">
        <f t="shared" si="33"/>
        <v>0</v>
      </c>
      <c r="R180" s="151">
        <f t="shared" si="30"/>
        <v>64.798026240002173</v>
      </c>
      <c r="S180" s="131">
        <f t="shared" si="31"/>
        <v>0.79802624000217293</v>
      </c>
      <c r="T180" s="150">
        <f t="shared" si="26"/>
        <v>0</v>
      </c>
      <c r="V180" s="12"/>
    </row>
    <row r="181" spans="1:22" x14ac:dyDescent="0.25">
      <c r="A181" s="50">
        <f>'A) Base RI'!A182</f>
        <v>5703</v>
      </c>
      <c r="B181" s="437" t="str">
        <f>'A) Base RI'!B182</f>
        <v>Bassins</v>
      </c>
      <c r="C181" s="156">
        <v>1063444.2852925004</v>
      </c>
      <c r="D181" s="156">
        <v>735658.47297174623</v>
      </c>
      <c r="E181" s="156">
        <v>0</v>
      </c>
      <c r="F181" s="156">
        <v>0</v>
      </c>
      <c r="G181" s="156">
        <v>0</v>
      </c>
      <c r="H181" s="440">
        <f t="shared" si="25"/>
        <v>1799102.7582642466</v>
      </c>
      <c r="I181" s="156">
        <v>56627.812818532817</v>
      </c>
      <c r="J181" s="443">
        <f>'B) D RI'!U182</f>
        <v>55245.232548262546</v>
      </c>
      <c r="K181" s="67">
        <f t="shared" si="32"/>
        <v>31.770655950099609</v>
      </c>
      <c r="L181" s="34">
        <f>'B) D RI'!S182</f>
        <v>74</v>
      </c>
      <c r="M181" s="34">
        <f t="shared" si="27"/>
        <v>42.229344049900391</v>
      </c>
      <c r="N181" s="34">
        <f>'J) Plafonnement effort'!G180+'J) Plafonnement effort'!H180-'K) Plafonnement aide'!I180</f>
        <v>27.628233034123038</v>
      </c>
      <c r="O181" s="34">
        <f t="shared" si="28"/>
        <v>69.857577084023433</v>
      </c>
      <c r="P181" s="48">
        <f t="shared" si="29"/>
        <v>0</v>
      </c>
      <c r="Q181" s="58">
        <f t="shared" si="33"/>
        <v>0</v>
      </c>
      <c r="R181" s="151">
        <f t="shared" si="30"/>
        <v>69.857577084023433</v>
      </c>
      <c r="S181" s="131">
        <f t="shared" si="31"/>
        <v>-4.1424229159765673</v>
      </c>
      <c r="T181" s="150">
        <f t="shared" si="26"/>
        <v>0</v>
      </c>
      <c r="V181" s="12"/>
    </row>
    <row r="182" spans="1:22" x14ac:dyDescent="0.25">
      <c r="A182" s="50">
        <f>'A) Base RI'!A183</f>
        <v>5704</v>
      </c>
      <c r="B182" s="437" t="str">
        <f>'A) Base RI'!B183</f>
        <v>Begnins</v>
      </c>
      <c r="C182" s="156">
        <v>2839281.8515457679</v>
      </c>
      <c r="D182" s="156">
        <v>1862177.7667531883</v>
      </c>
      <c r="E182" s="156">
        <v>0</v>
      </c>
      <c r="F182" s="156">
        <v>0</v>
      </c>
      <c r="G182" s="156">
        <v>0</v>
      </c>
      <c r="H182" s="440">
        <f t="shared" si="25"/>
        <v>4701459.6182989562</v>
      </c>
      <c r="I182" s="156">
        <v>128280.7823880597</v>
      </c>
      <c r="J182" s="443">
        <f>'B) D RI'!U183</f>
        <v>123862.49598958335</v>
      </c>
      <c r="K182" s="67">
        <f t="shared" si="32"/>
        <v>36.649757904318527</v>
      </c>
      <c r="L182" s="34">
        <f>'B) D RI'!S183</f>
        <v>64</v>
      </c>
      <c r="M182" s="34">
        <f t="shared" si="27"/>
        <v>27.350242095681473</v>
      </c>
      <c r="N182" s="34">
        <f>'J) Plafonnement effort'!G181+'J) Plafonnement effort'!H181-'K) Plafonnement aide'!I181</f>
        <v>37.240234709094068</v>
      </c>
      <c r="O182" s="34">
        <f t="shared" si="28"/>
        <v>64.590476804775534</v>
      </c>
      <c r="P182" s="48">
        <f t="shared" si="29"/>
        <v>0</v>
      </c>
      <c r="Q182" s="58">
        <f t="shared" si="33"/>
        <v>0</v>
      </c>
      <c r="R182" s="151">
        <f t="shared" si="30"/>
        <v>64.590476804775534</v>
      </c>
      <c r="S182" s="131">
        <f t="shared" si="31"/>
        <v>0.59047680477553399</v>
      </c>
      <c r="T182" s="150">
        <f t="shared" si="26"/>
        <v>0</v>
      </c>
      <c r="V182" s="12"/>
    </row>
    <row r="183" spans="1:22" x14ac:dyDescent="0.25">
      <c r="A183" s="50">
        <f>'A) Base RI'!A184</f>
        <v>5705</v>
      </c>
      <c r="B183" s="437" t="str">
        <f>'A) Base RI'!B184</f>
        <v>Bogis-Bossey</v>
      </c>
      <c r="C183" s="156">
        <v>1046933.1125178633</v>
      </c>
      <c r="D183" s="156">
        <v>906240.64062143513</v>
      </c>
      <c r="E183" s="156">
        <v>0</v>
      </c>
      <c r="F183" s="156">
        <v>0</v>
      </c>
      <c r="G183" s="156">
        <v>0</v>
      </c>
      <c r="H183" s="440">
        <f t="shared" si="25"/>
        <v>1953173.7531392984</v>
      </c>
      <c r="I183" s="156">
        <v>55070.038857142863</v>
      </c>
      <c r="J183" s="443">
        <f>'B) D RI'!U184</f>
        <v>49404.992428571422</v>
      </c>
      <c r="K183" s="67">
        <f t="shared" si="32"/>
        <v>35.467085073355854</v>
      </c>
      <c r="L183" s="34">
        <f>'B) D RI'!S184</f>
        <v>70</v>
      </c>
      <c r="M183" s="34">
        <f t="shared" si="27"/>
        <v>34.532914926644146</v>
      </c>
      <c r="N183" s="34">
        <f>'J) Plafonnement effort'!G182+'J) Plafonnement effort'!H182-'K) Plafonnement aide'!I182</f>
        <v>35.912070924837849</v>
      </c>
      <c r="O183" s="34">
        <f t="shared" si="28"/>
        <v>70.444985851481988</v>
      </c>
      <c r="P183" s="48">
        <f t="shared" si="29"/>
        <v>0</v>
      </c>
      <c r="Q183" s="58">
        <f t="shared" si="33"/>
        <v>0</v>
      </c>
      <c r="R183" s="151">
        <f t="shared" si="30"/>
        <v>70.444985851481988</v>
      </c>
      <c r="S183" s="131">
        <f t="shared" si="31"/>
        <v>0.44498585148198799</v>
      </c>
      <c r="T183" s="150">
        <f t="shared" si="26"/>
        <v>0</v>
      </c>
      <c r="V183" s="12"/>
    </row>
    <row r="184" spans="1:22" x14ac:dyDescent="0.25">
      <c r="A184" s="50">
        <f>'A) Base RI'!A185</f>
        <v>5706</v>
      </c>
      <c r="B184" s="437" t="str">
        <f>'A) Base RI'!B185</f>
        <v>Borex</v>
      </c>
      <c r="C184" s="156">
        <v>1420371.9928351932</v>
      </c>
      <c r="D184" s="156">
        <v>1145564.4349205378</v>
      </c>
      <c r="E184" s="156">
        <v>0</v>
      </c>
      <c r="F184" s="156">
        <v>0</v>
      </c>
      <c r="G184" s="156">
        <v>0</v>
      </c>
      <c r="H184" s="440">
        <f t="shared" si="25"/>
        <v>2565936.4277557312</v>
      </c>
      <c r="I184" s="156">
        <v>71838.84494252874</v>
      </c>
      <c r="J184" s="443">
        <f>'B) D RI'!U185</f>
        <v>70968.038045977009</v>
      </c>
      <c r="K184" s="67">
        <f t="shared" si="32"/>
        <v>35.717952172094179</v>
      </c>
      <c r="L184" s="34">
        <f>'B) D RI'!S185</f>
        <v>58</v>
      </c>
      <c r="M184" s="34">
        <f t="shared" si="27"/>
        <v>22.282047827905821</v>
      </c>
      <c r="N184" s="34">
        <f>'J) Plafonnement effort'!G183+'J) Plafonnement effort'!H183-'K) Plafonnement aide'!I183</f>
        <v>35.058881120112076</v>
      </c>
      <c r="O184" s="34">
        <f t="shared" si="28"/>
        <v>57.340928948017897</v>
      </c>
      <c r="P184" s="48">
        <f t="shared" si="29"/>
        <v>0</v>
      </c>
      <c r="Q184" s="58">
        <f t="shared" si="33"/>
        <v>0</v>
      </c>
      <c r="R184" s="151">
        <f t="shared" si="30"/>
        <v>57.340928948017897</v>
      </c>
      <c r="S184" s="131">
        <f t="shared" si="31"/>
        <v>-0.65907105198210303</v>
      </c>
      <c r="T184" s="150">
        <f t="shared" si="26"/>
        <v>0</v>
      </c>
      <c r="V184" s="12"/>
    </row>
    <row r="185" spans="1:22" x14ac:dyDescent="0.25">
      <c r="A185" s="50">
        <f>'A) Base RI'!A186</f>
        <v>5707</v>
      </c>
      <c r="B185" s="437" t="str">
        <f>'A) Base RI'!B186</f>
        <v>Chavannes-de-Bogis</v>
      </c>
      <c r="C185" s="156">
        <v>1818979.9657495406</v>
      </c>
      <c r="D185" s="156">
        <v>1315677.1359480759</v>
      </c>
      <c r="E185" s="156">
        <v>0</v>
      </c>
      <c r="F185" s="156">
        <v>0</v>
      </c>
      <c r="G185" s="156">
        <v>0</v>
      </c>
      <c r="H185" s="440">
        <f t="shared" si="25"/>
        <v>3134657.1016976163</v>
      </c>
      <c r="I185" s="156">
        <v>85072.573841807927</v>
      </c>
      <c r="J185" s="443">
        <f>'B) D RI'!U186</f>
        <v>77704.286214689273</v>
      </c>
      <c r="K185" s="67">
        <f t="shared" si="32"/>
        <v>36.846858630685105</v>
      </c>
      <c r="L185" s="34">
        <f>'B) D RI'!S186</f>
        <v>59</v>
      </c>
      <c r="M185" s="34">
        <f t="shared" si="27"/>
        <v>22.153141369314895</v>
      </c>
      <c r="N185" s="34">
        <f>'J) Plafonnement effort'!G184+'J) Plafonnement effort'!H184-'K) Plafonnement aide'!I184</f>
        <v>38.016271614951634</v>
      </c>
      <c r="O185" s="34">
        <f t="shared" si="28"/>
        <v>60.169412984266529</v>
      </c>
      <c r="P185" s="48">
        <f t="shared" si="29"/>
        <v>0</v>
      </c>
      <c r="Q185" s="58">
        <f t="shared" si="33"/>
        <v>0</v>
      </c>
      <c r="R185" s="151">
        <f t="shared" si="30"/>
        <v>60.169412984266529</v>
      </c>
      <c r="S185" s="131">
        <f t="shared" si="31"/>
        <v>1.1694129842665291</v>
      </c>
      <c r="T185" s="150">
        <f t="shared" si="26"/>
        <v>0</v>
      </c>
      <c r="V185" s="12"/>
    </row>
    <row r="186" spans="1:22" x14ac:dyDescent="0.25">
      <c r="A186" s="50">
        <f>'A) Base RI'!A187</f>
        <v>5708</v>
      </c>
      <c r="B186" s="437" t="str">
        <f>'A) Base RI'!B187</f>
        <v>Chavannes-des-Bois</v>
      </c>
      <c r="C186" s="156">
        <v>997108.76903101336</v>
      </c>
      <c r="D186" s="156">
        <v>944963.20531929471</v>
      </c>
      <c r="E186" s="156">
        <v>0</v>
      </c>
      <c r="F186" s="156">
        <v>0</v>
      </c>
      <c r="G186" s="156">
        <v>0</v>
      </c>
      <c r="H186" s="440">
        <f t="shared" si="25"/>
        <v>1942071.9743503081</v>
      </c>
      <c r="I186" s="156">
        <v>57314.783389830503</v>
      </c>
      <c r="J186" s="443">
        <f>'B) D RI'!U187</f>
        <v>57040.784867724869</v>
      </c>
      <c r="K186" s="67">
        <f t="shared" si="32"/>
        <v>33.884311507227899</v>
      </c>
      <c r="L186" s="34">
        <f>'B) D RI'!S187</f>
        <v>63</v>
      </c>
      <c r="M186" s="34">
        <f t="shared" si="27"/>
        <v>29.115688492772101</v>
      </c>
      <c r="N186" s="34">
        <f>'J) Plafonnement effort'!G185+'J) Plafonnement effort'!H185-'K) Plafonnement aide'!I185</f>
        <v>35.958383185191174</v>
      </c>
      <c r="O186" s="34">
        <f t="shared" si="28"/>
        <v>65.074071677963275</v>
      </c>
      <c r="P186" s="48">
        <f t="shared" si="29"/>
        <v>0</v>
      </c>
      <c r="Q186" s="58">
        <f t="shared" si="33"/>
        <v>0</v>
      </c>
      <c r="R186" s="151">
        <f t="shared" si="30"/>
        <v>65.074071677963275</v>
      </c>
      <c r="S186" s="131">
        <f t="shared" si="31"/>
        <v>2.0740716779632749</v>
      </c>
      <c r="T186" s="150">
        <f t="shared" si="26"/>
        <v>0</v>
      </c>
      <c r="V186" s="12"/>
    </row>
    <row r="187" spans="1:22" x14ac:dyDescent="0.25">
      <c r="A187" s="50">
        <f>'A) Base RI'!A188</f>
        <v>5709</v>
      </c>
      <c r="B187" s="437" t="str">
        <f>'A) Base RI'!B188</f>
        <v>Chéserex</v>
      </c>
      <c r="C187" s="156">
        <v>1996738.5823028318</v>
      </c>
      <c r="D187" s="156">
        <v>1138709.1069428741</v>
      </c>
      <c r="E187" s="156">
        <v>0</v>
      </c>
      <c r="F187" s="156">
        <v>0</v>
      </c>
      <c r="G187" s="156">
        <v>0</v>
      </c>
      <c r="H187" s="440">
        <f t="shared" si="25"/>
        <v>3135447.689245706</v>
      </c>
      <c r="I187" s="156">
        <v>72047.552456140344</v>
      </c>
      <c r="J187" s="443">
        <f>'B) D RI'!U188</f>
        <v>108721.76175438597</v>
      </c>
      <c r="K187" s="67">
        <f t="shared" si="32"/>
        <v>43.519142321377821</v>
      </c>
      <c r="L187" s="34">
        <f>'B) D RI'!S188</f>
        <v>57</v>
      </c>
      <c r="M187" s="34">
        <f t="shared" si="27"/>
        <v>13.480857678622179</v>
      </c>
      <c r="N187" s="34">
        <f>'J) Plafonnement effort'!G186+'J) Plafonnement effort'!H186-'K) Plafonnement aide'!I186</f>
        <v>40.00728284323062</v>
      </c>
      <c r="O187" s="34">
        <f t="shared" si="28"/>
        <v>53.488140521852799</v>
      </c>
      <c r="P187" s="48">
        <f t="shared" si="29"/>
        <v>0</v>
      </c>
      <c r="Q187" s="58">
        <f t="shared" si="33"/>
        <v>0</v>
      </c>
      <c r="R187" s="151">
        <f t="shared" si="30"/>
        <v>53.488140521852799</v>
      </c>
      <c r="S187" s="131">
        <f t="shared" si="31"/>
        <v>-3.5118594781472012</v>
      </c>
      <c r="T187" s="150">
        <f t="shared" si="26"/>
        <v>0</v>
      </c>
      <c r="V187" s="12"/>
    </row>
    <row r="188" spans="1:22" x14ac:dyDescent="0.25">
      <c r="A188" s="50">
        <f>'A) Base RI'!A189</f>
        <v>5710</v>
      </c>
      <c r="B188" s="437" t="str">
        <f>'A) Base RI'!B189</f>
        <v>Coinsins</v>
      </c>
      <c r="C188" s="156">
        <v>2551997.147994061</v>
      </c>
      <c r="D188" s="156">
        <v>1109447.725594854</v>
      </c>
      <c r="E188" s="156">
        <v>0</v>
      </c>
      <c r="F188" s="156">
        <v>0</v>
      </c>
      <c r="G188" s="156">
        <v>0</v>
      </c>
      <c r="H188" s="440">
        <f t="shared" si="25"/>
        <v>3661444.873588915</v>
      </c>
      <c r="I188" s="156">
        <v>82032.182941176477</v>
      </c>
      <c r="J188" s="443">
        <f>'B) D RI'!U189</f>
        <v>124477.14941176467</v>
      </c>
      <c r="K188" s="67">
        <f t="shared" si="32"/>
        <v>44.634248929038726</v>
      </c>
      <c r="L188" s="34">
        <f>'B) D RI'!S189</f>
        <v>51</v>
      </c>
      <c r="M188" s="34">
        <f t="shared" si="27"/>
        <v>6.3657510709612737</v>
      </c>
      <c r="N188" s="34">
        <f>'J) Plafonnement effort'!G187+'J) Plafonnement effort'!H187-'K) Plafonnement aide'!I187</f>
        <v>45</v>
      </c>
      <c r="O188" s="34">
        <f t="shared" si="28"/>
        <v>51.365751070961274</v>
      </c>
      <c r="P188" s="48">
        <f t="shared" si="29"/>
        <v>0</v>
      </c>
      <c r="Q188" s="58">
        <f t="shared" si="33"/>
        <v>0</v>
      </c>
      <c r="R188" s="151">
        <f t="shared" si="30"/>
        <v>51.365751070961274</v>
      </c>
      <c r="S188" s="131">
        <f t="shared" si="31"/>
        <v>0.36575107096127368</v>
      </c>
      <c r="T188" s="150">
        <f t="shared" si="26"/>
        <v>0</v>
      </c>
      <c r="V188" s="12"/>
    </row>
    <row r="189" spans="1:22" x14ac:dyDescent="0.25">
      <c r="A189" s="50">
        <f>'A) Base RI'!A190</f>
        <v>5711</v>
      </c>
      <c r="B189" s="437" t="str">
        <f>'A) Base RI'!B190</f>
        <v>Commugny</v>
      </c>
      <c r="C189" s="156">
        <v>6207267.3161090948</v>
      </c>
      <c r="D189" s="156">
        <v>3464849.0958191273</v>
      </c>
      <c r="E189" s="156">
        <v>0</v>
      </c>
      <c r="F189" s="156">
        <v>0</v>
      </c>
      <c r="G189" s="156">
        <v>0</v>
      </c>
      <c r="H189" s="440">
        <f t="shared" si="25"/>
        <v>9672116.4119282216</v>
      </c>
      <c r="I189" s="156">
        <v>253155.78673414301</v>
      </c>
      <c r="J189" s="443">
        <f>'B) D RI'!U190</f>
        <v>278130.00205128203</v>
      </c>
      <c r="K189" s="67">
        <f t="shared" si="32"/>
        <v>38.206183381008799</v>
      </c>
      <c r="L189" s="34">
        <f>'B) D RI'!S190</f>
        <v>57</v>
      </c>
      <c r="M189" s="34">
        <f t="shared" si="27"/>
        <v>18.793816618991201</v>
      </c>
      <c r="N189" s="34">
        <f>'J) Plafonnement effort'!G188+'J) Plafonnement effort'!H188-'K) Plafonnement aide'!I188</f>
        <v>40.769952327505621</v>
      </c>
      <c r="O189" s="34">
        <f t="shared" si="28"/>
        <v>59.563768946496822</v>
      </c>
      <c r="P189" s="48">
        <f t="shared" si="29"/>
        <v>0</v>
      </c>
      <c r="Q189" s="58">
        <f t="shared" si="33"/>
        <v>0</v>
      </c>
      <c r="R189" s="151">
        <f t="shared" si="30"/>
        <v>59.563768946496822</v>
      </c>
      <c r="S189" s="131">
        <f t="shared" si="31"/>
        <v>2.5637689464968219</v>
      </c>
      <c r="T189" s="150">
        <f t="shared" si="26"/>
        <v>0</v>
      </c>
      <c r="V189" s="12"/>
    </row>
    <row r="190" spans="1:22" x14ac:dyDescent="0.25">
      <c r="A190" s="50">
        <f>'A) Base RI'!A191</f>
        <v>5712</v>
      </c>
      <c r="B190" s="437" t="str">
        <f>'A) Base RI'!B191</f>
        <v>Coppet</v>
      </c>
      <c r="C190" s="156">
        <v>9018146.988404762</v>
      </c>
      <c r="D190" s="156">
        <v>4337585.5802487181</v>
      </c>
      <c r="E190" s="156">
        <v>0</v>
      </c>
      <c r="F190" s="156">
        <v>0</v>
      </c>
      <c r="G190" s="156">
        <v>0</v>
      </c>
      <c r="H190" s="440">
        <f t="shared" si="25"/>
        <v>13355732.568653479</v>
      </c>
      <c r="I190" s="156">
        <v>325753.23345911951</v>
      </c>
      <c r="J190" s="443">
        <f>'B) D RI'!U191</f>
        <v>339910.43698113208</v>
      </c>
      <c r="K190" s="67">
        <f t="shared" si="32"/>
        <v>40.999539519013126</v>
      </c>
      <c r="L190" s="34">
        <f>'B) D RI'!S191</f>
        <v>53</v>
      </c>
      <c r="M190" s="34">
        <f t="shared" si="27"/>
        <v>12.000460480986874</v>
      </c>
      <c r="N190" s="34">
        <f>'J) Plafonnement effort'!G189+'J) Plafonnement effort'!H189-'K) Plafonnement aide'!I189</f>
        <v>45</v>
      </c>
      <c r="O190" s="34">
        <f t="shared" si="28"/>
        <v>57.000460480986874</v>
      </c>
      <c r="P190" s="48">
        <f t="shared" si="29"/>
        <v>0</v>
      </c>
      <c r="Q190" s="58">
        <f t="shared" si="33"/>
        <v>0</v>
      </c>
      <c r="R190" s="151">
        <f t="shared" si="30"/>
        <v>57.000460480986874</v>
      </c>
      <c r="S190" s="131">
        <f t="shared" si="31"/>
        <v>4.0004604809868738</v>
      </c>
      <c r="T190" s="150">
        <f t="shared" si="26"/>
        <v>0</v>
      </c>
      <c r="V190" s="12"/>
    </row>
    <row r="191" spans="1:22" x14ac:dyDescent="0.25">
      <c r="A191" s="50">
        <f>'A) Base RI'!A192</f>
        <v>5713</v>
      </c>
      <c r="B191" s="437" t="str">
        <f>'A) Base RI'!B192</f>
        <v>Crans-près-Céligny</v>
      </c>
      <c r="C191" s="156">
        <v>6475939.8620810267</v>
      </c>
      <c r="D191" s="156">
        <v>3254372.3125269404</v>
      </c>
      <c r="E191" s="156">
        <v>0</v>
      </c>
      <c r="F191" s="156">
        <v>0</v>
      </c>
      <c r="G191" s="156">
        <v>0</v>
      </c>
      <c r="H191" s="440">
        <f t="shared" si="25"/>
        <v>9730312.1746079661</v>
      </c>
      <c r="I191" s="156">
        <v>239255.01584905662</v>
      </c>
      <c r="J191" s="443">
        <f>'B) D RI'!U192</f>
        <v>273152.99188679247</v>
      </c>
      <c r="K191" s="67">
        <f t="shared" si="32"/>
        <v>40.669208710536353</v>
      </c>
      <c r="L191" s="34">
        <f>'B) D RI'!S192</f>
        <v>53</v>
      </c>
      <c r="M191" s="34">
        <f t="shared" si="27"/>
        <v>12.330791289463647</v>
      </c>
      <c r="N191" s="34">
        <f>'J) Plafonnement effort'!G190+'J) Plafonnement effort'!H190-'K) Plafonnement aide'!I190</f>
        <v>43.989750472497981</v>
      </c>
      <c r="O191" s="34">
        <f t="shared" si="28"/>
        <v>56.320541761961628</v>
      </c>
      <c r="P191" s="48">
        <f t="shared" si="29"/>
        <v>0</v>
      </c>
      <c r="Q191" s="58">
        <f t="shared" si="33"/>
        <v>0</v>
      </c>
      <c r="R191" s="151">
        <f t="shared" si="30"/>
        <v>56.320541761961628</v>
      </c>
      <c r="S191" s="131">
        <f t="shared" si="31"/>
        <v>3.3205417619616284</v>
      </c>
      <c r="T191" s="150">
        <f t="shared" si="26"/>
        <v>0</v>
      </c>
      <c r="V191" s="12"/>
    </row>
    <row r="192" spans="1:22" x14ac:dyDescent="0.25">
      <c r="A192" s="50">
        <f>'A) Base RI'!A193</f>
        <v>5714</v>
      </c>
      <c r="B192" s="437" t="str">
        <f>'A) Base RI'!B193</f>
        <v>Crassier</v>
      </c>
      <c r="C192" s="156">
        <v>1838409.4005399602</v>
      </c>
      <c r="D192" s="156">
        <v>1288334.3844237379</v>
      </c>
      <c r="E192" s="156">
        <v>0</v>
      </c>
      <c r="F192" s="156">
        <v>0</v>
      </c>
      <c r="G192" s="156">
        <v>0</v>
      </c>
      <c r="H192" s="440">
        <f t="shared" si="25"/>
        <v>3126743.7849636981</v>
      </c>
      <c r="I192" s="156">
        <v>82327.162031250002</v>
      </c>
      <c r="J192" s="443">
        <f>'B) D RI'!U193</f>
        <v>77000.951562499991</v>
      </c>
      <c r="K192" s="67">
        <f t="shared" si="32"/>
        <v>37.979491917586557</v>
      </c>
      <c r="L192" s="34">
        <f>'B) D RI'!S193</f>
        <v>64</v>
      </c>
      <c r="M192" s="34">
        <f t="shared" si="27"/>
        <v>26.020508082413443</v>
      </c>
      <c r="N192" s="34">
        <f>'J) Plafonnement effort'!G191+'J) Plafonnement effort'!H191-'K) Plafonnement aide'!I191</f>
        <v>36.240740458594779</v>
      </c>
      <c r="O192" s="34">
        <f t="shared" si="28"/>
        <v>62.261248541008221</v>
      </c>
      <c r="P192" s="48">
        <f t="shared" si="29"/>
        <v>0</v>
      </c>
      <c r="Q192" s="58">
        <f t="shared" si="33"/>
        <v>0</v>
      </c>
      <c r="R192" s="151">
        <f t="shared" si="30"/>
        <v>62.261248541008221</v>
      </c>
      <c r="S192" s="131">
        <f t="shared" si="31"/>
        <v>-1.7387514589917785</v>
      </c>
      <c r="T192" s="150">
        <f t="shared" si="26"/>
        <v>0</v>
      </c>
      <c r="V192" s="12"/>
    </row>
    <row r="193" spans="1:22" x14ac:dyDescent="0.25">
      <c r="A193" s="50">
        <f>'A) Base RI'!A194</f>
        <v>5715</v>
      </c>
      <c r="B193" s="437" t="str">
        <f>'A) Base RI'!B194</f>
        <v>Duillier</v>
      </c>
      <c r="C193" s="156">
        <v>965303.35985609959</v>
      </c>
      <c r="D193" s="156">
        <v>972143.18026858638</v>
      </c>
      <c r="E193" s="156">
        <v>0</v>
      </c>
      <c r="F193" s="156">
        <v>0</v>
      </c>
      <c r="G193" s="156">
        <v>0</v>
      </c>
      <c r="H193" s="440">
        <f t="shared" si="25"/>
        <v>1937446.540124686</v>
      </c>
      <c r="I193" s="156">
        <v>59384.712424242425</v>
      </c>
      <c r="J193" s="443">
        <f>'B) D RI'!U194</f>
        <v>77442.225909090921</v>
      </c>
      <c r="K193" s="67">
        <f t="shared" si="32"/>
        <v>32.62534179308021</v>
      </c>
      <c r="L193" s="34">
        <f>'B) D RI'!S194</f>
        <v>66</v>
      </c>
      <c r="M193" s="34">
        <f t="shared" si="27"/>
        <v>33.37465820691979</v>
      </c>
      <c r="N193" s="34">
        <f>'J) Plafonnement effort'!G192+'J) Plafonnement effort'!H192-'K) Plafonnement aide'!I192</f>
        <v>39.830661288706338</v>
      </c>
      <c r="O193" s="34">
        <f t="shared" si="28"/>
        <v>73.205319495626128</v>
      </c>
      <c r="P193" s="48">
        <f t="shared" si="29"/>
        <v>0</v>
      </c>
      <c r="Q193" s="58">
        <f t="shared" si="33"/>
        <v>0</v>
      </c>
      <c r="R193" s="151">
        <f t="shared" si="30"/>
        <v>73.205319495626128</v>
      </c>
      <c r="S193" s="131">
        <f t="shared" si="31"/>
        <v>7.2053194956261279</v>
      </c>
      <c r="T193" s="150">
        <f t="shared" si="26"/>
        <v>0</v>
      </c>
      <c r="V193" s="12"/>
    </row>
    <row r="194" spans="1:22" x14ac:dyDescent="0.25">
      <c r="A194" s="50">
        <f>'A) Base RI'!A195</f>
        <v>5716</v>
      </c>
      <c r="B194" s="437" t="str">
        <f>'A) Base RI'!B195</f>
        <v>Eysins</v>
      </c>
      <c r="C194" s="156">
        <v>3518507.8266838389</v>
      </c>
      <c r="D194" s="156">
        <v>1974790.165907915</v>
      </c>
      <c r="E194" s="156">
        <v>0</v>
      </c>
      <c r="F194" s="156">
        <v>0</v>
      </c>
      <c r="G194" s="156">
        <v>0</v>
      </c>
      <c r="H194" s="440">
        <f t="shared" si="25"/>
        <v>5493297.9925917536</v>
      </c>
      <c r="I194" s="156">
        <v>136046.47409836066</v>
      </c>
      <c r="J194" s="443">
        <f>'B) D RI'!U195</f>
        <v>175921.02901639344</v>
      </c>
      <c r="K194" s="67">
        <f t="shared" si="32"/>
        <v>40.378098947423929</v>
      </c>
      <c r="L194" s="34">
        <f>'B) D RI'!S195</f>
        <v>61</v>
      </c>
      <c r="M194" s="34">
        <f t="shared" si="27"/>
        <v>20.621901052576071</v>
      </c>
      <c r="N194" s="34">
        <f>'J) Plafonnement effort'!G193+'J) Plafonnement effort'!H193-'K) Plafonnement aide'!I193</f>
        <v>44.394251088030941</v>
      </c>
      <c r="O194" s="34">
        <f t="shared" si="28"/>
        <v>65.016152140607005</v>
      </c>
      <c r="P194" s="48">
        <f t="shared" si="29"/>
        <v>0</v>
      </c>
      <c r="Q194" s="58">
        <f t="shared" si="33"/>
        <v>0</v>
      </c>
      <c r="R194" s="151">
        <f t="shared" si="30"/>
        <v>65.016152140607005</v>
      </c>
      <c r="S194" s="131">
        <f t="shared" si="31"/>
        <v>4.0161521406070051</v>
      </c>
      <c r="T194" s="150">
        <f t="shared" si="26"/>
        <v>0</v>
      </c>
      <c r="V194" s="12"/>
    </row>
    <row r="195" spans="1:22" x14ac:dyDescent="0.25">
      <c r="A195" s="50">
        <f>'A) Base RI'!A196</f>
        <v>5717</v>
      </c>
      <c r="B195" s="437" t="str">
        <f>'A) Base RI'!B196</f>
        <v>Founex</v>
      </c>
      <c r="C195" s="156">
        <v>8881760.9510646537</v>
      </c>
      <c r="D195" s="156">
        <v>4480878.4210454645</v>
      </c>
      <c r="E195" s="156">
        <v>0</v>
      </c>
      <c r="F195" s="156">
        <v>0</v>
      </c>
      <c r="G195" s="156">
        <v>0</v>
      </c>
      <c r="H195" s="440">
        <f t="shared" si="25"/>
        <v>13362639.372110117</v>
      </c>
      <c r="I195" s="156">
        <v>342145.93614035088</v>
      </c>
      <c r="J195" s="443">
        <f>'B) D RI'!U196</f>
        <v>375994.09385964903</v>
      </c>
      <c r="K195" s="67">
        <f t="shared" si="32"/>
        <v>39.055379475934096</v>
      </c>
      <c r="L195" s="34">
        <f>'B) D RI'!S196</f>
        <v>57</v>
      </c>
      <c r="M195" s="34">
        <f t="shared" si="27"/>
        <v>17.944620524065904</v>
      </c>
      <c r="N195" s="34">
        <f>'J) Plafonnement effort'!G194+'J) Plafonnement effort'!H194-'K) Plafonnement aide'!I194</f>
        <v>39.909782711141801</v>
      </c>
      <c r="O195" s="34">
        <f t="shared" si="28"/>
        <v>57.854403235207705</v>
      </c>
      <c r="P195" s="48">
        <f t="shared" si="29"/>
        <v>0</v>
      </c>
      <c r="Q195" s="58">
        <f t="shared" si="33"/>
        <v>0</v>
      </c>
      <c r="R195" s="151">
        <f t="shared" si="30"/>
        <v>57.854403235207705</v>
      </c>
      <c r="S195" s="131">
        <f t="shared" si="31"/>
        <v>0.85440323520770534</v>
      </c>
      <c r="T195" s="150">
        <f t="shared" si="26"/>
        <v>0</v>
      </c>
      <c r="V195" s="12"/>
    </row>
    <row r="196" spans="1:22" x14ac:dyDescent="0.25">
      <c r="A196" s="50">
        <f>'A) Base RI'!A197</f>
        <v>5718</v>
      </c>
      <c r="B196" s="437" t="str">
        <f>'A) Base RI'!B197</f>
        <v>Genolier</v>
      </c>
      <c r="C196" s="156">
        <v>4611814.6087676762</v>
      </c>
      <c r="D196" s="156">
        <v>2543686.9803708741</v>
      </c>
      <c r="E196" s="156">
        <v>0</v>
      </c>
      <c r="F196" s="156">
        <v>0</v>
      </c>
      <c r="G196" s="156">
        <v>0</v>
      </c>
      <c r="H196" s="440">
        <f t="shared" si="25"/>
        <v>7155501.5891385507</v>
      </c>
      <c r="I196" s="156">
        <v>180573.80690909096</v>
      </c>
      <c r="J196" s="443">
        <f>'B) D RI'!U197</f>
        <v>170544.41945454545</v>
      </c>
      <c r="K196" s="67">
        <f t="shared" si="32"/>
        <v>39.626464721657861</v>
      </c>
      <c r="L196" s="34">
        <f>'B) D RI'!S197</f>
        <v>55</v>
      </c>
      <c r="M196" s="34">
        <f t="shared" si="27"/>
        <v>15.373535278342139</v>
      </c>
      <c r="N196" s="34">
        <f>'J) Plafonnement effort'!G195+'J) Plafonnement effort'!H195-'K) Plafonnement aide'!I195</f>
        <v>41.158186228089193</v>
      </c>
      <c r="O196" s="34">
        <f t="shared" si="28"/>
        <v>56.531721506431332</v>
      </c>
      <c r="P196" s="48">
        <f t="shared" si="29"/>
        <v>0</v>
      </c>
      <c r="Q196" s="58">
        <f t="shared" si="33"/>
        <v>0</v>
      </c>
      <c r="R196" s="151">
        <f t="shared" si="30"/>
        <v>56.531721506431332</v>
      </c>
      <c r="S196" s="131">
        <f t="shared" si="31"/>
        <v>1.5317215064313316</v>
      </c>
      <c r="T196" s="150">
        <f t="shared" si="26"/>
        <v>0</v>
      </c>
      <c r="V196" s="12"/>
    </row>
    <row r="197" spans="1:22" x14ac:dyDescent="0.25">
      <c r="A197" s="50">
        <f>'A) Base RI'!A198</f>
        <v>5719</v>
      </c>
      <c r="B197" s="437" t="str">
        <f>'A) Base RI'!B198</f>
        <v>Gingins</v>
      </c>
      <c r="C197" s="156">
        <v>3765629.0145840207</v>
      </c>
      <c r="D197" s="156">
        <v>1901071.2917066377</v>
      </c>
      <c r="E197" s="156">
        <v>0</v>
      </c>
      <c r="F197" s="156">
        <v>0</v>
      </c>
      <c r="G197" s="156">
        <v>0</v>
      </c>
      <c r="H197" s="440">
        <f t="shared" si="25"/>
        <v>5666700.3062906582</v>
      </c>
      <c r="I197" s="156">
        <v>131481.24994152045</v>
      </c>
      <c r="J197" s="443">
        <f>'B) D RI'!U198</f>
        <v>111319.72105263159</v>
      </c>
      <c r="K197" s="67">
        <f t="shared" si="32"/>
        <v>43.098923297512485</v>
      </c>
      <c r="L197" s="34">
        <f>'B) D RI'!S198</f>
        <v>57</v>
      </c>
      <c r="M197" s="34">
        <f t="shared" si="27"/>
        <v>13.901076702487515</v>
      </c>
      <c r="N197" s="34">
        <f>'J) Plafonnement effort'!G196+'J) Plafonnement effort'!H196-'K) Plafonnement aide'!I196</f>
        <v>42.682635675174794</v>
      </c>
      <c r="O197" s="34">
        <f t="shared" si="28"/>
        <v>56.583712377662309</v>
      </c>
      <c r="P197" s="48">
        <f t="shared" si="29"/>
        <v>0</v>
      </c>
      <c r="Q197" s="58">
        <f t="shared" si="33"/>
        <v>0</v>
      </c>
      <c r="R197" s="151">
        <f t="shared" si="30"/>
        <v>56.583712377662309</v>
      </c>
      <c r="S197" s="131">
        <f t="shared" si="31"/>
        <v>-0.41628762233769123</v>
      </c>
      <c r="T197" s="150">
        <f t="shared" si="26"/>
        <v>0</v>
      </c>
      <c r="V197" s="12"/>
    </row>
    <row r="198" spans="1:22" x14ac:dyDescent="0.25">
      <c r="A198" s="50">
        <f>'A) Base RI'!A199</f>
        <v>5720</v>
      </c>
      <c r="B198" s="437" t="str">
        <f>'A) Base RI'!B199</f>
        <v>Givrins</v>
      </c>
      <c r="C198" s="156">
        <v>1500983.7034522528</v>
      </c>
      <c r="D198" s="156">
        <v>1162988.0725226623</v>
      </c>
      <c r="E198" s="156">
        <v>0</v>
      </c>
      <c r="F198" s="156">
        <v>0</v>
      </c>
      <c r="G198" s="156">
        <v>0</v>
      </c>
      <c r="H198" s="440">
        <f t="shared" si="25"/>
        <v>2663971.7759749154</v>
      </c>
      <c r="I198" s="156">
        <v>72468.135774134775</v>
      </c>
      <c r="J198" s="443">
        <f>'B) D RI'!U199</f>
        <v>67017.929170812597</v>
      </c>
      <c r="K198" s="67">
        <f t="shared" si="32"/>
        <v>36.760594812013039</v>
      </c>
      <c r="L198" s="34">
        <f>'B) D RI'!S199</f>
        <v>67</v>
      </c>
      <c r="M198" s="34">
        <f t="shared" si="27"/>
        <v>30.239405187986961</v>
      </c>
      <c r="N198" s="34">
        <f>'J) Plafonnement effort'!G197+'J) Plafonnement effort'!H197-'K) Plafonnement aide'!I197</f>
        <v>36.58405652656738</v>
      </c>
      <c r="O198" s="34">
        <f t="shared" si="28"/>
        <v>66.823461714554341</v>
      </c>
      <c r="P198" s="48">
        <f t="shared" si="29"/>
        <v>0</v>
      </c>
      <c r="Q198" s="58">
        <f t="shared" si="33"/>
        <v>0</v>
      </c>
      <c r="R198" s="151">
        <f t="shared" si="30"/>
        <v>66.823461714554341</v>
      </c>
      <c r="S198" s="131">
        <f t="shared" si="31"/>
        <v>-0.17653828544565897</v>
      </c>
      <c r="T198" s="150">
        <f t="shared" si="26"/>
        <v>0</v>
      </c>
      <c r="V198" s="12"/>
    </row>
    <row r="199" spans="1:22" x14ac:dyDescent="0.25">
      <c r="A199" s="50">
        <f>'A) Base RI'!A200</f>
        <v>5721</v>
      </c>
      <c r="B199" s="437" t="str">
        <f>'A) Base RI'!B200</f>
        <v>Gland</v>
      </c>
      <c r="C199" s="156">
        <v>12945226.622092666</v>
      </c>
      <c r="D199" s="156">
        <v>3392369.8669964103</v>
      </c>
      <c r="E199" s="156">
        <v>0</v>
      </c>
      <c r="F199" s="156">
        <v>0</v>
      </c>
      <c r="G199" s="156">
        <v>0</v>
      </c>
      <c r="H199" s="440">
        <f t="shared" ref="H199:H262" si="41">SUM(C199:G199)</f>
        <v>16337596.489089075</v>
      </c>
      <c r="I199" s="156">
        <v>601947.88112000003</v>
      </c>
      <c r="J199" s="443">
        <f>'B) D RI'!U200</f>
        <v>654524.19695999997</v>
      </c>
      <c r="K199" s="67">
        <f t="shared" si="32"/>
        <v>27.141214383363081</v>
      </c>
      <c r="L199" s="34">
        <f>'B) D RI'!S200</f>
        <v>62.5</v>
      </c>
      <c r="M199" s="34">
        <f t="shared" si="27"/>
        <v>35.358785616636922</v>
      </c>
      <c r="N199" s="34">
        <f>'J) Plafonnement effort'!G198+'J) Plafonnement effort'!H198-'K) Plafonnement aide'!I198</f>
        <v>24.815390446162787</v>
      </c>
      <c r="O199" s="34">
        <f t="shared" si="28"/>
        <v>60.17417606279971</v>
      </c>
      <c r="P199" s="48">
        <f t="shared" si="29"/>
        <v>0</v>
      </c>
      <c r="Q199" s="58">
        <f t="shared" si="33"/>
        <v>0</v>
      </c>
      <c r="R199" s="151">
        <f t="shared" si="30"/>
        <v>60.17417606279971</v>
      </c>
      <c r="S199" s="131">
        <f t="shared" si="31"/>
        <v>-2.3258239372002905</v>
      </c>
      <c r="T199" s="150">
        <f t="shared" ref="T199:T262" si="42">+C199+D199+E199+F199+G199-H199</f>
        <v>0</v>
      </c>
      <c r="V199" s="12"/>
    </row>
    <row r="200" spans="1:22" x14ac:dyDescent="0.25">
      <c r="A200" s="50">
        <f>'A) Base RI'!A201</f>
        <v>5722</v>
      </c>
      <c r="B200" s="437" t="str">
        <f>'A) Base RI'!B201</f>
        <v>Grens</v>
      </c>
      <c r="C200" s="156">
        <v>482148.924654615</v>
      </c>
      <c r="D200" s="156">
        <v>412420.67835652403</v>
      </c>
      <c r="E200" s="156">
        <v>0</v>
      </c>
      <c r="F200" s="156">
        <v>0</v>
      </c>
      <c r="G200" s="156">
        <v>0</v>
      </c>
      <c r="H200" s="440">
        <f t="shared" si="41"/>
        <v>894569.60301113897</v>
      </c>
      <c r="I200" s="156">
        <v>25305.525322580648</v>
      </c>
      <c r="J200" s="443">
        <f>'B) D RI'!U201</f>
        <v>22192.311451612903</v>
      </c>
      <c r="K200" s="67">
        <f t="shared" si="32"/>
        <v>35.350762001881691</v>
      </c>
      <c r="L200" s="34">
        <f>'B) D RI'!S201</f>
        <v>62</v>
      </c>
      <c r="M200" s="34">
        <f t="shared" si="27"/>
        <v>26.649237998118309</v>
      </c>
      <c r="N200" s="34">
        <f>'J) Plafonnement effort'!G199+'J) Plafonnement effort'!H199-'K) Plafonnement aide'!I199</f>
        <v>32.902324606019832</v>
      </c>
      <c r="O200" s="34">
        <f t="shared" si="28"/>
        <v>59.551562604138141</v>
      </c>
      <c r="P200" s="48">
        <f t="shared" si="29"/>
        <v>0</v>
      </c>
      <c r="Q200" s="58">
        <f t="shared" si="33"/>
        <v>0</v>
      </c>
      <c r="R200" s="151">
        <f t="shared" si="30"/>
        <v>59.551562604138141</v>
      </c>
      <c r="S200" s="131">
        <f t="shared" si="31"/>
        <v>-2.448437395861859</v>
      </c>
      <c r="T200" s="150">
        <f t="shared" si="42"/>
        <v>0</v>
      </c>
      <c r="V200" s="12"/>
    </row>
    <row r="201" spans="1:22" x14ac:dyDescent="0.25">
      <c r="A201" s="50">
        <f>'A) Base RI'!A202</f>
        <v>5723</v>
      </c>
      <c r="B201" s="437" t="str">
        <f>'A) Base RI'!B202</f>
        <v>Mies</v>
      </c>
      <c r="C201" s="156">
        <v>15194332.995138463</v>
      </c>
      <c r="D201" s="156">
        <v>5463878.7181169353</v>
      </c>
      <c r="E201" s="156">
        <v>0</v>
      </c>
      <c r="F201" s="156">
        <v>0</v>
      </c>
      <c r="G201" s="156">
        <v>0</v>
      </c>
      <c r="H201" s="440">
        <f t="shared" si="41"/>
        <v>20658211.713255398</v>
      </c>
      <c r="I201" s="156">
        <v>444775.70673469378</v>
      </c>
      <c r="J201" s="443">
        <f>'B) D RI'!U202</f>
        <v>510478.2440816327</v>
      </c>
      <c r="K201" s="67">
        <f t="shared" si="32"/>
        <v>46.446358019229464</v>
      </c>
      <c r="L201" s="34">
        <f>'B) D RI'!S202</f>
        <v>49</v>
      </c>
      <c r="M201" s="34">
        <f t="shared" si="27"/>
        <v>2.5536419807705357</v>
      </c>
      <c r="N201" s="34">
        <f>'J) Plafonnement effort'!G200+'J) Plafonnement effort'!H200-'K) Plafonnement aide'!I200</f>
        <v>45</v>
      </c>
      <c r="O201" s="34">
        <f t="shared" si="28"/>
        <v>47.553641980770536</v>
      </c>
      <c r="P201" s="48">
        <f t="shared" si="29"/>
        <v>0</v>
      </c>
      <c r="Q201" s="58">
        <f t="shared" si="33"/>
        <v>0</v>
      </c>
      <c r="R201" s="151">
        <f t="shared" si="30"/>
        <v>47.553641980770536</v>
      </c>
      <c r="S201" s="131">
        <f t="shared" si="31"/>
        <v>-1.4463580192294643</v>
      </c>
      <c r="T201" s="150">
        <f t="shared" si="42"/>
        <v>0</v>
      </c>
      <c r="V201" s="12"/>
    </row>
    <row r="202" spans="1:22" x14ac:dyDescent="0.25">
      <c r="A202" s="50">
        <f>'A) Base RI'!A203</f>
        <v>5724</v>
      </c>
      <c r="B202" s="437" t="str">
        <f>'A) Base RI'!B203</f>
        <v>Nyon</v>
      </c>
      <c r="C202" s="156">
        <v>28764022.981017608</v>
      </c>
      <c r="D202" s="156">
        <v>8177847.445032794</v>
      </c>
      <c r="E202" s="156">
        <v>0</v>
      </c>
      <c r="F202" s="156">
        <v>0</v>
      </c>
      <c r="G202" s="156">
        <v>0</v>
      </c>
      <c r="H202" s="440">
        <f t="shared" si="41"/>
        <v>36941870.426050402</v>
      </c>
      <c r="I202" s="156">
        <v>1315531.3963430012</v>
      </c>
      <c r="J202" s="443">
        <f>'B) D RI'!U203</f>
        <v>1338062.0693190417</v>
      </c>
      <c r="K202" s="67">
        <f t="shared" si="32"/>
        <v>28.08132936146092</v>
      </c>
      <c r="L202" s="34">
        <f>'B) D RI'!S203</f>
        <v>61</v>
      </c>
      <c r="M202" s="34">
        <f t="shared" si="27"/>
        <v>32.918670638539083</v>
      </c>
      <c r="N202" s="34">
        <f>'J) Plafonnement effort'!G201+'J) Plafonnement effort'!H201-'K) Plafonnement aide'!I201</f>
        <v>27.224705373158979</v>
      </c>
      <c r="O202" s="34">
        <f t="shared" si="28"/>
        <v>60.143376011698066</v>
      </c>
      <c r="P202" s="48">
        <f t="shared" si="29"/>
        <v>0</v>
      </c>
      <c r="Q202" s="58">
        <f t="shared" si="33"/>
        <v>0</v>
      </c>
      <c r="R202" s="151">
        <f t="shared" si="30"/>
        <v>60.143376011698066</v>
      </c>
      <c r="S202" s="131">
        <f t="shared" si="31"/>
        <v>-0.85662398830193354</v>
      </c>
      <c r="T202" s="150">
        <f t="shared" si="42"/>
        <v>0</v>
      </c>
      <c r="V202" s="12"/>
    </row>
    <row r="203" spans="1:22" x14ac:dyDescent="0.25">
      <c r="A203" s="50">
        <f>'A) Base RI'!A204</f>
        <v>5725</v>
      </c>
      <c r="B203" s="437" t="str">
        <f>'A) Base RI'!B204</f>
        <v>Prangins</v>
      </c>
      <c r="C203" s="156">
        <v>6582484.5492756665</v>
      </c>
      <c r="D203" s="156">
        <v>3863928.2455772958</v>
      </c>
      <c r="E203" s="156">
        <v>0</v>
      </c>
      <c r="F203" s="156">
        <v>0</v>
      </c>
      <c r="G203" s="156">
        <v>0</v>
      </c>
      <c r="H203" s="440">
        <f t="shared" si="41"/>
        <v>10446412.794852963</v>
      </c>
      <c r="I203" s="156">
        <v>298233.5752040816</v>
      </c>
      <c r="J203" s="443">
        <f>'B) D RI'!U204</f>
        <v>324834.78298469388</v>
      </c>
      <c r="K203" s="67">
        <f t="shared" si="32"/>
        <v>35.027621513454577</v>
      </c>
      <c r="L203" s="34">
        <f>'B) D RI'!S204</f>
        <v>56</v>
      </c>
      <c r="M203" s="34">
        <f t="shared" si="27"/>
        <v>20.972378486545423</v>
      </c>
      <c r="N203" s="34">
        <f>'J) Plafonnement effort'!G202+'J) Plafonnement effort'!H202-'K) Plafonnement aide'!I202</f>
        <v>38.873351061083561</v>
      </c>
      <c r="O203" s="34">
        <f t="shared" si="28"/>
        <v>59.845729547628984</v>
      </c>
      <c r="P203" s="48">
        <f t="shared" si="29"/>
        <v>0</v>
      </c>
      <c r="Q203" s="58">
        <f t="shared" si="33"/>
        <v>0</v>
      </c>
      <c r="R203" s="151">
        <f t="shared" si="30"/>
        <v>59.845729547628984</v>
      </c>
      <c r="S203" s="131">
        <f t="shared" si="31"/>
        <v>3.8457295476289843</v>
      </c>
      <c r="T203" s="150">
        <f t="shared" si="42"/>
        <v>0</v>
      </c>
      <c r="V203" s="12"/>
    </row>
    <row r="204" spans="1:22" x14ac:dyDescent="0.25">
      <c r="A204" s="50">
        <f>'A) Base RI'!A205</f>
        <v>5726</v>
      </c>
      <c r="B204" s="437" t="str">
        <f>'A) Base RI'!B205</f>
        <v>La Rippe</v>
      </c>
      <c r="C204" s="156">
        <v>1026537.4361890843</v>
      </c>
      <c r="D204" s="156">
        <v>895877.02160180814</v>
      </c>
      <c r="E204" s="156">
        <v>0</v>
      </c>
      <c r="F204" s="156">
        <v>0</v>
      </c>
      <c r="G204" s="156">
        <v>0</v>
      </c>
      <c r="H204" s="440">
        <f t="shared" si="41"/>
        <v>1922414.4577908926</v>
      </c>
      <c r="I204" s="156">
        <v>56867.973846153851</v>
      </c>
      <c r="J204" s="443">
        <f>'B) D RI'!U205</f>
        <v>59824.020307692314</v>
      </c>
      <c r="K204" s="67">
        <f t="shared" si="32"/>
        <v>33.804869907826181</v>
      </c>
      <c r="L204" s="34">
        <f>'B) D RI'!S205</f>
        <v>65</v>
      </c>
      <c r="M204" s="34">
        <f t="shared" si="27"/>
        <v>31.195130092173819</v>
      </c>
      <c r="N204" s="34">
        <f>'J) Plafonnement effort'!G203+'J) Plafonnement effort'!H203-'K) Plafonnement aide'!I203</f>
        <v>31.591112449033815</v>
      </c>
      <c r="O204" s="34">
        <f t="shared" si="28"/>
        <v>62.786242541207635</v>
      </c>
      <c r="P204" s="48">
        <f t="shared" si="29"/>
        <v>0</v>
      </c>
      <c r="Q204" s="58">
        <f t="shared" si="33"/>
        <v>0</v>
      </c>
      <c r="R204" s="151">
        <f t="shared" si="30"/>
        <v>62.786242541207635</v>
      </c>
      <c r="S204" s="131">
        <f t="shared" si="31"/>
        <v>-2.2137574587923652</v>
      </c>
      <c r="T204" s="150">
        <f t="shared" si="42"/>
        <v>0</v>
      </c>
      <c r="V204" s="12"/>
    </row>
    <row r="205" spans="1:22" x14ac:dyDescent="0.25">
      <c r="A205" s="50">
        <f>'A) Base RI'!A206</f>
        <v>5727</v>
      </c>
      <c r="B205" s="437" t="str">
        <f>'A) Base RI'!B206</f>
        <v>Saint-Cergue</v>
      </c>
      <c r="C205" s="156">
        <v>1849548.039450109</v>
      </c>
      <c r="D205" s="156">
        <v>975470.85007421661</v>
      </c>
      <c r="E205" s="156">
        <v>0</v>
      </c>
      <c r="F205" s="156">
        <v>0</v>
      </c>
      <c r="G205" s="156">
        <v>0</v>
      </c>
      <c r="H205" s="440">
        <f t="shared" si="41"/>
        <v>2825018.8895243257</v>
      </c>
      <c r="I205" s="156">
        <v>100488.23186868687</v>
      </c>
      <c r="J205" s="443">
        <f>'B) D RI'!U206</f>
        <v>84748.014494949501</v>
      </c>
      <c r="K205" s="67">
        <f t="shared" si="32"/>
        <v>28.112932599072128</v>
      </c>
      <c r="L205" s="34">
        <f>'B) D RI'!S206</f>
        <v>66</v>
      </c>
      <c r="M205" s="34">
        <f t="shared" si="27"/>
        <v>37.887067400927876</v>
      </c>
      <c r="N205" s="34">
        <f>'J) Plafonnement effort'!G204+'J) Plafonnement effort'!H204-'K) Plafonnement aide'!I204</f>
        <v>19.997454666997825</v>
      </c>
      <c r="O205" s="34">
        <f t="shared" si="28"/>
        <v>57.884522067925701</v>
      </c>
      <c r="P205" s="48">
        <f t="shared" si="29"/>
        <v>0</v>
      </c>
      <c r="Q205" s="58">
        <f t="shared" si="33"/>
        <v>0</v>
      </c>
      <c r="R205" s="151">
        <f t="shared" si="30"/>
        <v>57.884522067925701</v>
      </c>
      <c r="S205" s="131">
        <f t="shared" si="31"/>
        <v>-8.1154779320742989</v>
      </c>
      <c r="T205" s="150">
        <f t="shared" si="42"/>
        <v>0</v>
      </c>
      <c r="V205" s="12"/>
    </row>
    <row r="206" spans="1:22" x14ac:dyDescent="0.25">
      <c r="A206" s="50">
        <f>'A) Base RI'!A207</f>
        <v>5728</v>
      </c>
      <c r="B206" s="437" t="str">
        <f>'A) Base RI'!B207</f>
        <v>Signy-Avenex</v>
      </c>
      <c r="C206" s="156">
        <v>865786.15202256362</v>
      </c>
      <c r="D206" s="156">
        <v>634577.64703331061</v>
      </c>
      <c r="E206" s="156">
        <v>0</v>
      </c>
      <c r="F206" s="156">
        <v>0</v>
      </c>
      <c r="G206" s="156">
        <v>0</v>
      </c>
      <c r="H206" s="440">
        <f t="shared" si="41"/>
        <v>1500363.7990558743</v>
      </c>
      <c r="I206" s="156">
        <v>39144.261206896554</v>
      </c>
      <c r="J206" s="443">
        <f>'B) D RI'!U207</f>
        <v>44702.007068965519</v>
      </c>
      <c r="K206" s="67">
        <f t="shared" si="32"/>
        <v>38.329087145768781</v>
      </c>
      <c r="L206" s="34">
        <f>'B) D RI'!S207</f>
        <v>58</v>
      </c>
      <c r="M206" s="34">
        <f t="shared" si="27"/>
        <v>19.670912854231219</v>
      </c>
      <c r="N206" s="34">
        <f>'J) Plafonnement effort'!G205+'J) Plafonnement effort'!H205-'K) Plafonnement aide'!I205</f>
        <v>40.259375609435409</v>
      </c>
      <c r="O206" s="34">
        <f t="shared" si="28"/>
        <v>59.930288463666628</v>
      </c>
      <c r="P206" s="48">
        <f t="shared" si="29"/>
        <v>0</v>
      </c>
      <c r="Q206" s="58">
        <f t="shared" si="33"/>
        <v>0</v>
      </c>
      <c r="R206" s="151">
        <f t="shared" si="30"/>
        <v>59.930288463666628</v>
      </c>
      <c r="S206" s="131">
        <f t="shared" si="31"/>
        <v>1.9302884636666278</v>
      </c>
      <c r="T206" s="150">
        <f t="shared" si="42"/>
        <v>0</v>
      </c>
      <c r="V206" s="12"/>
    </row>
    <row r="207" spans="1:22" x14ac:dyDescent="0.25">
      <c r="A207" s="50">
        <f>'A) Base RI'!A208</f>
        <v>5729</v>
      </c>
      <c r="B207" s="437" t="str">
        <f>'A) Base RI'!B208</f>
        <v>Tannay</v>
      </c>
      <c r="C207" s="156">
        <v>5306054.6151741222</v>
      </c>
      <c r="D207" s="156">
        <v>2454960.0123541495</v>
      </c>
      <c r="E207" s="156">
        <v>0</v>
      </c>
      <c r="F207" s="156">
        <v>0</v>
      </c>
      <c r="G207" s="156">
        <v>0</v>
      </c>
      <c r="H207" s="440">
        <f t="shared" si="41"/>
        <v>7761014.6275282716</v>
      </c>
      <c r="I207" s="156">
        <v>175758.22994535521</v>
      </c>
      <c r="J207" s="443">
        <f>'B) D RI'!U208</f>
        <v>146853.68284153001</v>
      </c>
      <c r="K207" s="67">
        <f t="shared" si="32"/>
        <v>44.15733266056013</v>
      </c>
      <c r="L207" s="34">
        <f>'B) D RI'!S208</f>
        <v>61</v>
      </c>
      <c r="M207" s="34">
        <f t="shared" si="27"/>
        <v>16.84266733943987</v>
      </c>
      <c r="N207" s="34">
        <f>'J) Plafonnement effort'!G206+'J) Plafonnement effort'!H206-'K) Plafonnement aide'!I206</f>
        <v>40.777347613426656</v>
      </c>
      <c r="O207" s="34">
        <f t="shared" si="28"/>
        <v>57.620014952866526</v>
      </c>
      <c r="P207" s="48">
        <f t="shared" si="29"/>
        <v>0</v>
      </c>
      <c r="Q207" s="58">
        <f t="shared" si="33"/>
        <v>0</v>
      </c>
      <c r="R207" s="151">
        <f t="shared" si="30"/>
        <v>57.620014952866526</v>
      </c>
      <c r="S207" s="131">
        <f t="shared" si="31"/>
        <v>-3.3799850471334736</v>
      </c>
      <c r="T207" s="150">
        <f t="shared" si="42"/>
        <v>0</v>
      </c>
      <c r="V207" s="12"/>
    </row>
    <row r="208" spans="1:22" x14ac:dyDescent="0.25">
      <c r="A208" s="50">
        <f>'A) Base RI'!A209</f>
        <v>5730</v>
      </c>
      <c r="B208" s="437" t="str">
        <f>'A) Base RI'!B209</f>
        <v>Trélex</v>
      </c>
      <c r="C208" s="156">
        <v>2346118.9873624584</v>
      </c>
      <c r="D208" s="156">
        <v>1579471.0660988581</v>
      </c>
      <c r="E208" s="156">
        <v>0</v>
      </c>
      <c r="F208" s="156">
        <v>0</v>
      </c>
      <c r="G208" s="156">
        <v>0</v>
      </c>
      <c r="H208" s="440">
        <f t="shared" si="41"/>
        <v>3925590.0534613165</v>
      </c>
      <c r="I208" s="156">
        <v>105206.62530214424</v>
      </c>
      <c r="J208" s="443">
        <f>'B) D RI'!U209</f>
        <v>160027.19017543856</v>
      </c>
      <c r="K208" s="67">
        <f t="shared" si="32"/>
        <v>37.313144891658339</v>
      </c>
      <c r="L208" s="34">
        <f>'B) D RI'!S209</f>
        <v>57</v>
      </c>
      <c r="M208" s="34">
        <f t="shared" si="27"/>
        <v>19.686855108341661</v>
      </c>
      <c r="N208" s="34">
        <f>'J) Plafonnement effort'!G207+'J) Plafonnement effort'!H207-'K) Plafonnement aide'!I207</f>
        <v>43.529622227985385</v>
      </c>
      <c r="O208" s="34">
        <f t="shared" si="28"/>
        <v>63.216477336327046</v>
      </c>
      <c r="P208" s="48">
        <f t="shared" si="29"/>
        <v>0</v>
      </c>
      <c r="Q208" s="58">
        <f t="shared" si="33"/>
        <v>0</v>
      </c>
      <c r="R208" s="151">
        <f t="shared" si="30"/>
        <v>63.216477336327046</v>
      </c>
      <c r="S208" s="131">
        <f t="shared" si="31"/>
        <v>6.2164773363270456</v>
      </c>
      <c r="T208" s="150">
        <f t="shared" si="42"/>
        <v>0</v>
      </c>
      <c r="V208" s="12"/>
    </row>
    <row r="209" spans="1:22" x14ac:dyDescent="0.25">
      <c r="A209" s="50">
        <f>'A) Base RI'!A210</f>
        <v>5731</v>
      </c>
      <c r="B209" s="437" t="str">
        <f>'A) Base RI'!B210</f>
        <v>Le Vaud</v>
      </c>
      <c r="C209" s="156">
        <v>946813.68987342319</v>
      </c>
      <c r="D209" s="156">
        <v>597402.75470878405</v>
      </c>
      <c r="E209" s="156">
        <v>0</v>
      </c>
      <c r="F209" s="156">
        <v>0</v>
      </c>
      <c r="G209" s="156">
        <v>0</v>
      </c>
      <c r="H209" s="440">
        <f t="shared" si="41"/>
        <v>1544216.4445822071</v>
      </c>
      <c r="I209" s="156">
        <v>50893.333199999994</v>
      </c>
      <c r="J209" s="443">
        <f>'B) D RI'!U210</f>
        <v>52834.667955555553</v>
      </c>
      <c r="K209" s="67">
        <f t="shared" si="32"/>
        <v>30.342214735941237</v>
      </c>
      <c r="L209" s="34">
        <f>'B) D RI'!S210</f>
        <v>75</v>
      </c>
      <c r="M209" s="34">
        <f t="shared" si="27"/>
        <v>44.657785264058759</v>
      </c>
      <c r="N209" s="34">
        <f>'J) Plafonnement effort'!G208+'J) Plafonnement effort'!H208-'K) Plafonnement aide'!I208</f>
        <v>31.8137434504768</v>
      </c>
      <c r="O209" s="34">
        <f t="shared" si="28"/>
        <v>76.471528714535566</v>
      </c>
      <c r="P209" s="48">
        <f t="shared" si="29"/>
        <v>0</v>
      </c>
      <c r="Q209" s="58">
        <f t="shared" si="33"/>
        <v>0</v>
      </c>
      <c r="R209" s="151">
        <f t="shared" si="30"/>
        <v>76.471528714535566</v>
      </c>
      <c r="S209" s="131">
        <f t="shared" si="31"/>
        <v>1.471528714535566</v>
      </c>
      <c r="T209" s="150">
        <f t="shared" si="42"/>
        <v>0</v>
      </c>
      <c r="V209" s="12"/>
    </row>
    <row r="210" spans="1:22" x14ac:dyDescent="0.25">
      <c r="A210" s="50">
        <f>'A) Base RI'!A211</f>
        <v>5732</v>
      </c>
      <c r="B210" s="437" t="str">
        <f>'A) Base RI'!B211</f>
        <v>Vich</v>
      </c>
      <c r="C210" s="156">
        <v>1386853.1800851633</v>
      </c>
      <c r="D210" s="156">
        <v>1036339.070589295</v>
      </c>
      <c r="E210" s="156">
        <v>0</v>
      </c>
      <c r="F210" s="156">
        <v>0</v>
      </c>
      <c r="G210" s="156">
        <v>0</v>
      </c>
      <c r="H210" s="440">
        <f t="shared" si="41"/>
        <v>2423192.2506744582</v>
      </c>
      <c r="I210" s="156">
        <v>63381.263823529407</v>
      </c>
      <c r="J210" s="443">
        <f>'B) D RI'!U211</f>
        <v>64551.747164179098</v>
      </c>
      <c r="K210" s="67">
        <f t="shared" si="32"/>
        <v>38.231996405456371</v>
      </c>
      <c r="L210" s="34">
        <f>'B) D RI'!S211</f>
        <v>67</v>
      </c>
      <c r="M210" s="34">
        <f t="shared" si="27"/>
        <v>28.768003594543629</v>
      </c>
      <c r="N210" s="34">
        <f>'J) Plafonnement effort'!G209+'J) Plafonnement effort'!H209-'K) Plafonnement aide'!I209</f>
        <v>40.017946946758386</v>
      </c>
      <c r="O210" s="34">
        <f t="shared" si="28"/>
        <v>68.785950541302014</v>
      </c>
      <c r="P210" s="48">
        <f t="shared" si="29"/>
        <v>0</v>
      </c>
      <c r="Q210" s="58">
        <f t="shared" si="33"/>
        <v>0</v>
      </c>
      <c r="R210" s="151">
        <f t="shared" si="30"/>
        <v>68.785950541302014</v>
      </c>
      <c r="S210" s="131">
        <f t="shared" si="31"/>
        <v>1.7859505413020145</v>
      </c>
      <c r="T210" s="150">
        <f t="shared" si="42"/>
        <v>0</v>
      </c>
      <c r="V210" s="12"/>
    </row>
    <row r="211" spans="1:22" x14ac:dyDescent="0.25">
      <c r="A211" s="50">
        <f>'A) Base RI'!A212</f>
        <v>5741</v>
      </c>
      <c r="B211" s="437" t="str">
        <f>'A) Base RI'!B212</f>
        <v>L'Abergement</v>
      </c>
      <c r="C211" s="156">
        <v>131701.5711203611</v>
      </c>
      <c r="D211" s="156">
        <v>-3746.4182189451967</v>
      </c>
      <c r="E211" s="156">
        <v>0</v>
      </c>
      <c r="F211" s="156">
        <v>0</v>
      </c>
      <c r="G211" s="156">
        <v>0</v>
      </c>
      <c r="H211" s="440">
        <f t="shared" si="41"/>
        <v>127955.1529014159</v>
      </c>
      <c r="I211" s="156">
        <v>6650.8402880658423</v>
      </c>
      <c r="J211" s="443">
        <f>'B) D RI'!U212</f>
        <v>7464.3302469135806</v>
      </c>
      <c r="K211" s="67">
        <f t="shared" si="32"/>
        <v>19.238945360185014</v>
      </c>
      <c r="L211" s="34">
        <f>'B) D RI'!S212</f>
        <v>81</v>
      </c>
      <c r="M211" s="34">
        <f t="shared" si="27"/>
        <v>61.761054639814986</v>
      </c>
      <c r="N211" s="34">
        <f>'J) Plafonnement effort'!G210+'J) Plafonnement effort'!H210-'K) Plafonnement aide'!I210</f>
        <v>5.2211461164334523</v>
      </c>
      <c r="O211" s="34">
        <f t="shared" si="28"/>
        <v>66.982200756248432</v>
      </c>
      <c r="P211" s="48">
        <f t="shared" si="29"/>
        <v>0</v>
      </c>
      <c r="Q211" s="58">
        <f t="shared" si="33"/>
        <v>0</v>
      </c>
      <c r="R211" s="151">
        <f t="shared" si="30"/>
        <v>66.982200756248432</v>
      </c>
      <c r="S211" s="131">
        <f t="shared" si="31"/>
        <v>-14.017799243751568</v>
      </c>
      <c r="T211" s="150">
        <f t="shared" si="42"/>
        <v>0</v>
      </c>
      <c r="V211" s="12"/>
    </row>
    <row r="212" spans="1:22" x14ac:dyDescent="0.25">
      <c r="A212" s="50">
        <f>'A) Base RI'!A213</f>
        <v>5742</v>
      </c>
      <c r="B212" s="437" t="str">
        <f>'A) Base RI'!B213</f>
        <v>Agiez</v>
      </c>
      <c r="C212" s="156">
        <v>178587.69917752672</v>
      </c>
      <c r="D212" s="156">
        <v>37617.192377412284</v>
      </c>
      <c r="E212" s="156">
        <v>0</v>
      </c>
      <c r="F212" s="156">
        <v>0</v>
      </c>
      <c r="G212" s="156">
        <v>0</v>
      </c>
      <c r="H212" s="440">
        <f t="shared" si="41"/>
        <v>216204.89155493901</v>
      </c>
      <c r="I212" s="156">
        <v>9444.339473684211</v>
      </c>
      <c r="J212" s="443">
        <f>'B) D RI'!U213</f>
        <v>9132.5030263157914</v>
      </c>
      <c r="K212" s="67">
        <f t="shared" si="32"/>
        <v>22.892537075501593</v>
      </c>
      <c r="L212" s="34">
        <f>'B) D RI'!S213</f>
        <v>76</v>
      </c>
      <c r="M212" s="34">
        <f t="shared" si="27"/>
        <v>53.107462924498407</v>
      </c>
      <c r="N212" s="34">
        <f>'J) Plafonnement effort'!G211+'J) Plafonnement effort'!H211-'K) Plafonnement aide'!I211</f>
        <v>16.494571151544992</v>
      </c>
      <c r="O212" s="34">
        <f t="shared" si="28"/>
        <v>69.602034076043395</v>
      </c>
      <c r="P212" s="48">
        <f t="shared" si="29"/>
        <v>0</v>
      </c>
      <c r="Q212" s="58">
        <f t="shared" si="33"/>
        <v>0</v>
      </c>
      <c r="R212" s="151">
        <f t="shared" si="30"/>
        <v>69.602034076043395</v>
      </c>
      <c r="S212" s="131">
        <f t="shared" si="31"/>
        <v>-6.3979659239566047</v>
      </c>
      <c r="T212" s="150">
        <f t="shared" si="42"/>
        <v>0</v>
      </c>
      <c r="V212" s="12"/>
    </row>
    <row r="213" spans="1:22" x14ac:dyDescent="0.25">
      <c r="A213" s="50">
        <f>'A) Base RI'!A214</f>
        <v>5743</v>
      </c>
      <c r="B213" s="437" t="str">
        <f>'A) Base RI'!B214</f>
        <v>Arnex-sur-Orbe</v>
      </c>
      <c r="C213" s="156">
        <v>349654.81215632847</v>
      </c>
      <c r="D213" s="156">
        <v>28624.160169214883</v>
      </c>
      <c r="E213" s="156">
        <v>0</v>
      </c>
      <c r="F213" s="156">
        <v>0</v>
      </c>
      <c r="G213" s="156">
        <v>0</v>
      </c>
      <c r="H213" s="440">
        <f t="shared" si="41"/>
        <v>378278.97232554335</v>
      </c>
      <c r="I213" s="156">
        <v>17668.924178082194</v>
      </c>
      <c r="J213" s="443">
        <f>'B) D RI'!U214</f>
        <v>18362.90517123288</v>
      </c>
      <c r="K213" s="67">
        <f t="shared" si="32"/>
        <v>21.409281544984378</v>
      </c>
      <c r="L213" s="34">
        <f>'B) D RI'!S214</f>
        <v>73</v>
      </c>
      <c r="M213" s="34">
        <f t="shared" si="27"/>
        <v>51.590718455015619</v>
      </c>
      <c r="N213" s="34">
        <f>'J) Plafonnement effort'!G212+'J) Plafonnement effort'!H212-'K) Plafonnement aide'!I212</f>
        <v>23.447238292571576</v>
      </c>
      <c r="O213" s="34">
        <f t="shared" si="28"/>
        <v>75.037956747587202</v>
      </c>
      <c r="P213" s="48">
        <f t="shared" si="29"/>
        <v>0</v>
      </c>
      <c r="Q213" s="58">
        <f t="shared" si="33"/>
        <v>0</v>
      </c>
      <c r="R213" s="151">
        <f t="shared" si="30"/>
        <v>75.037956747587202</v>
      </c>
      <c r="S213" s="131">
        <f t="shared" si="31"/>
        <v>2.0379567475872022</v>
      </c>
      <c r="T213" s="150">
        <f t="shared" si="42"/>
        <v>0</v>
      </c>
      <c r="V213" s="12"/>
    </row>
    <row r="214" spans="1:22" x14ac:dyDescent="0.25">
      <c r="A214" s="50">
        <f>'A) Base RI'!A215</f>
        <v>5744</v>
      </c>
      <c r="B214" s="437" t="str">
        <f>'A) Base RI'!B215</f>
        <v>Ballaigues</v>
      </c>
      <c r="C214" s="156">
        <v>1371784.3811454633</v>
      </c>
      <c r="D214" s="156">
        <v>991927.40847269387</v>
      </c>
      <c r="E214" s="156">
        <v>0</v>
      </c>
      <c r="F214" s="156">
        <v>0</v>
      </c>
      <c r="G214" s="156">
        <v>0</v>
      </c>
      <c r="H214" s="440">
        <f t="shared" si="41"/>
        <v>2363711.7896181573</v>
      </c>
      <c r="I214" s="156">
        <v>60772.767121212128</v>
      </c>
      <c r="J214" s="443">
        <f>'B) D RI'!U215</f>
        <v>46015.380909090905</v>
      </c>
      <c r="K214" s="67">
        <f t="shared" si="32"/>
        <v>38.894259741434865</v>
      </c>
      <c r="L214" s="34">
        <f>'B) D RI'!S215</f>
        <v>66</v>
      </c>
      <c r="M214" s="34">
        <f t="shared" si="27"/>
        <v>27.105740258565135</v>
      </c>
      <c r="N214" s="34">
        <f>'J) Plafonnement effort'!G213+'J) Plafonnement effort'!H213-'K) Plafonnement aide'!I213</f>
        <v>30.273264415698794</v>
      </c>
      <c r="O214" s="34">
        <f t="shared" si="28"/>
        <v>57.379004674263925</v>
      </c>
      <c r="P214" s="48">
        <f t="shared" si="29"/>
        <v>0</v>
      </c>
      <c r="Q214" s="58">
        <f t="shared" si="33"/>
        <v>0</v>
      </c>
      <c r="R214" s="151">
        <f t="shared" si="30"/>
        <v>57.379004674263925</v>
      </c>
      <c r="S214" s="131">
        <f t="shared" si="31"/>
        <v>-8.6209953257360752</v>
      </c>
      <c r="T214" s="150">
        <f t="shared" si="42"/>
        <v>0</v>
      </c>
      <c r="V214" s="12"/>
    </row>
    <row r="215" spans="1:22" x14ac:dyDescent="0.25">
      <c r="A215" s="50">
        <f>'A) Base RI'!A216</f>
        <v>5745</v>
      </c>
      <c r="B215" s="437" t="str">
        <f>'A) Base RI'!B216</f>
        <v>Baulmes</v>
      </c>
      <c r="C215" s="156">
        <v>479833.56832664274</v>
      </c>
      <c r="D215" s="156">
        <v>-159707.18507703958</v>
      </c>
      <c r="E215" s="156">
        <v>0</v>
      </c>
      <c r="F215" s="156">
        <v>0</v>
      </c>
      <c r="G215" s="156">
        <v>0</v>
      </c>
      <c r="H215" s="440">
        <f t="shared" si="41"/>
        <v>320126.38324960315</v>
      </c>
      <c r="I215" s="156">
        <v>25719.773333333334</v>
      </c>
      <c r="J215" s="443">
        <f>'B) D RI'!U216</f>
        <v>27038.675769230769</v>
      </c>
      <c r="K215" s="67">
        <f t="shared" si="32"/>
        <v>12.446703129949945</v>
      </c>
      <c r="L215" s="34">
        <f>'B) D RI'!S216</f>
        <v>78</v>
      </c>
      <c r="M215" s="34">
        <f t="shared" si="27"/>
        <v>65.553296870050048</v>
      </c>
      <c r="N215" s="34">
        <f>'J) Plafonnement effort'!G214+'J) Plafonnement effort'!H214-'K) Plafonnement aide'!I214</f>
        <v>10.075817837298185</v>
      </c>
      <c r="O215" s="34">
        <f t="shared" si="28"/>
        <v>75.629114707348236</v>
      </c>
      <c r="P215" s="48">
        <f t="shared" si="29"/>
        <v>0</v>
      </c>
      <c r="Q215" s="58">
        <f t="shared" si="33"/>
        <v>0</v>
      </c>
      <c r="R215" s="151">
        <f t="shared" si="30"/>
        <v>75.629114707348236</v>
      </c>
      <c r="S215" s="131">
        <f t="shared" si="31"/>
        <v>-2.3708852926517636</v>
      </c>
      <c r="T215" s="150">
        <f t="shared" si="42"/>
        <v>0</v>
      </c>
      <c r="V215" s="12"/>
    </row>
    <row r="216" spans="1:22" x14ac:dyDescent="0.25">
      <c r="A216" s="50">
        <f>'A) Base RI'!A217</f>
        <v>5746</v>
      </c>
      <c r="B216" s="437" t="str">
        <f>'A) Base RI'!B217</f>
        <v>Bavois</v>
      </c>
      <c r="C216" s="156">
        <v>473736.33254514833</v>
      </c>
      <c r="D216" s="156">
        <v>62728.134450516023</v>
      </c>
      <c r="E216" s="156">
        <v>0</v>
      </c>
      <c r="F216" s="156">
        <v>0</v>
      </c>
      <c r="G216" s="156">
        <v>0</v>
      </c>
      <c r="H216" s="440">
        <f t="shared" si="41"/>
        <v>536464.46699566441</v>
      </c>
      <c r="I216" s="156">
        <v>26078.686575342468</v>
      </c>
      <c r="J216" s="443">
        <f>'B) D RI'!U217</f>
        <v>26753.53392694064</v>
      </c>
      <c r="K216" s="67">
        <f t="shared" si="32"/>
        <v>20.570992540049708</v>
      </c>
      <c r="L216" s="34">
        <f>'B) D RI'!S217</f>
        <v>73</v>
      </c>
      <c r="M216" s="34">
        <f t="shared" si="27"/>
        <v>52.429007459950292</v>
      </c>
      <c r="N216" s="34">
        <f>'J) Plafonnement effort'!G215+'J) Plafonnement effort'!H215-'K) Plafonnement aide'!I215</f>
        <v>12.324825268132843</v>
      </c>
      <c r="O216" s="34">
        <f t="shared" si="28"/>
        <v>64.75383272808314</v>
      </c>
      <c r="P216" s="48">
        <f t="shared" si="29"/>
        <v>0</v>
      </c>
      <c r="Q216" s="58">
        <f t="shared" si="33"/>
        <v>0</v>
      </c>
      <c r="R216" s="151">
        <f t="shared" si="30"/>
        <v>64.75383272808314</v>
      </c>
      <c r="S216" s="131">
        <f t="shared" si="31"/>
        <v>-8.2461672719168604</v>
      </c>
      <c r="T216" s="150">
        <f t="shared" si="42"/>
        <v>0</v>
      </c>
      <c r="V216" s="12"/>
    </row>
    <row r="217" spans="1:22" x14ac:dyDescent="0.25">
      <c r="A217" s="50">
        <f>'A) Base RI'!A218</f>
        <v>5747</v>
      </c>
      <c r="B217" s="437" t="str">
        <f>'A) Base RI'!B218</f>
        <v>Bofflens</v>
      </c>
      <c r="C217" s="156">
        <v>81697.960968204206</v>
      </c>
      <c r="D217" s="156">
        <v>21591.221995657848</v>
      </c>
      <c r="E217" s="156">
        <v>0</v>
      </c>
      <c r="F217" s="156">
        <v>0</v>
      </c>
      <c r="G217" s="156">
        <v>0</v>
      </c>
      <c r="H217" s="440">
        <f t="shared" si="41"/>
        <v>103289.18296386205</v>
      </c>
      <c r="I217" s="156">
        <v>5407.3595652173908</v>
      </c>
      <c r="J217" s="443">
        <f>'B) D RI'!U218</f>
        <v>4985.4308695652171</v>
      </c>
      <c r="K217" s="67">
        <f t="shared" si="32"/>
        <v>19.10159324862828</v>
      </c>
      <c r="L217" s="34">
        <f>'B) D RI'!S218</f>
        <v>69</v>
      </c>
      <c r="M217" s="34">
        <f t="shared" si="27"/>
        <v>49.898406751371724</v>
      </c>
      <c r="N217" s="34">
        <f>'J) Plafonnement effort'!G216+'J) Plafonnement effort'!H216-'K) Plafonnement aide'!I216</f>
        <v>11.98026235270309</v>
      </c>
      <c r="O217" s="34">
        <f t="shared" si="28"/>
        <v>61.878669104074817</v>
      </c>
      <c r="P217" s="48">
        <f t="shared" si="29"/>
        <v>0</v>
      </c>
      <c r="Q217" s="58">
        <f t="shared" si="33"/>
        <v>0</v>
      </c>
      <c r="R217" s="151">
        <f t="shared" si="30"/>
        <v>61.878669104074817</v>
      </c>
      <c r="S217" s="131">
        <f t="shared" si="31"/>
        <v>-7.1213308959251833</v>
      </c>
      <c r="T217" s="150">
        <f t="shared" si="42"/>
        <v>0</v>
      </c>
      <c r="V217" s="12"/>
    </row>
    <row r="218" spans="1:22" x14ac:dyDescent="0.25">
      <c r="A218" s="50">
        <f>'A) Base RI'!A219</f>
        <v>5748</v>
      </c>
      <c r="B218" s="437" t="str">
        <f>'A) Base RI'!B219</f>
        <v>Bretonnières</v>
      </c>
      <c r="C218" s="156">
        <v>224340.86024347559</v>
      </c>
      <c r="D218" s="156">
        <v>32902.201610944932</v>
      </c>
      <c r="E218" s="156">
        <v>0</v>
      </c>
      <c r="F218" s="156">
        <v>0</v>
      </c>
      <c r="G218" s="156">
        <v>0</v>
      </c>
      <c r="H218" s="440">
        <f t="shared" si="41"/>
        <v>257243.06185442052</v>
      </c>
      <c r="I218" s="156">
        <v>7687.1286574074074</v>
      </c>
      <c r="J218" s="443">
        <f>'B) D RI'!U219</f>
        <v>5553.3427314814826</v>
      </c>
      <c r="K218" s="67">
        <f t="shared" si="32"/>
        <v>33.464128586756267</v>
      </c>
      <c r="L218" s="34">
        <f>'B) D RI'!S219</f>
        <v>72</v>
      </c>
      <c r="M218" s="34">
        <f t="shared" si="27"/>
        <v>38.535871413243733</v>
      </c>
      <c r="N218" s="34">
        <f>'J) Plafonnement effort'!G217+'J) Plafonnement effort'!H217-'K) Plafonnement aide'!I217</f>
        <v>0.32617306111630917</v>
      </c>
      <c r="O218" s="34">
        <f t="shared" si="28"/>
        <v>38.86204447436004</v>
      </c>
      <c r="P218" s="48">
        <f t="shared" si="29"/>
        <v>0</v>
      </c>
      <c r="Q218" s="58">
        <f t="shared" si="33"/>
        <v>0</v>
      </c>
      <c r="R218" s="151">
        <f t="shared" si="30"/>
        <v>38.86204447436004</v>
      </c>
      <c r="S218" s="131">
        <f t="shared" si="31"/>
        <v>-33.13795552563996</v>
      </c>
      <c r="T218" s="150">
        <f t="shared" si="42"/>
        <v>0</v>
      </c>
      <c r="V218" s="12"/>
    </row>
    <row r="219" spans="1:22" x14ac:dyDescent="0.25">
      <c r="A219" s="50">
        <f>'A) Base RI'!A220</f>
        <v>5749</v>
      </c>
      <c r="B219" s="437" t="str">
        <f>'A) Base RI'!B220</f>
        <v>Chavornay</v>
      </c>
      <c r="C219" s="156">
        <v>2486586.8798103984</v>
      </c>
      <c r="D219" s="156">
        <v>-918376.46339213755</v>
      </c>
      <c r="E219" s="156">
        <v>0</v>
      </c>
      <c r="F219" s="156">
        <v>0</v>
      </c>
      <c r="G219" s="156">
        <v>0</v>
      </c>
      <c r="H219" s="440">
        <f t="shared" si="41"/>
        <v>1568210.4164182609</v>
      </c>
      <c r="I219" s="156">
        <v>136661.8213888889</v>
      </c>
      <c r="J219" s="443">
        <f>'B) D RI'!U220</f>
        <v>140775.19611111109</v>
      </c>
      <c r="K219" s="67">
        <f t="shared" ref="K219" si="43">H219/I219</f>
        <v>11.475117194258045</v>
      </c>
      <c r="L219" s="34">
        <f>'B) D RI'!S220</f>
        <v>72</v>
      </c>
      <c r="M219" s="34">
        <f t="shared" ref="M219" si="44">L219-K219</f>
        <v>60.524882805741953</v>
      </c>
      <c r="N219" s="34">
        <f>'J) Plafonnement effort'!G218+'J) Plafonnement effort'!H218-'K) Plafonnement aide'!I218</f>
        <v>8.2104851602520803</v>
      </c>
      <c r="O219" s="34">
        <f t="shared" ref="O219" si="45">M219+N219</f>
        <v>68.73536796599403</v>
      </c>
      <c r="P219" s="48">
        <f t="shared" ref="P219" si="46">IF(O219&gt;$P$5,$P$5-O219,0)</f>
        <v>0</v>
      </c>
      <c r="Q219" s="58">
        <f t="shared" ref="Q219" si="47">P219*J219</f>
        <v>0</v>
      </c>
      <c r="R219" s="151">
        <f t="shared" ref="R219" si="48">O219+P219</f>
        <v>68.73536796599403</v>
      </c>
      <c r="S219" s="131">
        <f t="shared" ref="S219" si="49">R219-L219</f>
        <v>-3.2646320340059702</v>
      </c>
      <c r="T219" s="150">
        <f t="shared" si="42"/>
        <v>0</v>
      </c>
      <c r="V219" s="12"/>
    </row>
    <row r="220" spans="1:22" x14ac:dyDescent="0.25">
      <c r="A220" s="50">
        <f>'A) Base RI'!A221</f>
        <v>5750</v>
      </c>
      <c r="B220" s="437" t="str">
        <f>'A) Base RI'!B221</f>
        <v>Les Clées</v>
      </c>
      <c r="C220" s="156">
        <v>86234.962199050438</v>
      </c>
      <c r="D220" s="156">
        <v>-2103.1000275006518</v>
      </c>
      <c r="E220" s="156">
        <v>0</v>
      </c>
      <c r="F220" s="156">
        <v>0</v>
      </c>
      <c r="G220" s="156">
        <v>0</v>
      </c>
      <c r="H220" s="440">
        <f t="shared" si="41"/>
        <v>84131.862171549787</v>
      </c>
      <c r="I220" s="156">
        <v>5052.5065833333338</v>
      </c>
      <c r="J220" s="443">
        <f>'B) D RI'!U221</f>
        <v>5155.3168750000004</v>
      </c>
      <c r="K220" s="67">
        <f t="shared" si="32"/>
        <v>16.651509658408944</v>
      </c>
      <c r="L220" s="34">
        <f>'B) D RI'!S221</f>
        <v>80</v>
      </c>
      <c r="M220" s="34">
        <f t="shared" ref="M220:M261" si="50">L220-K220</f>
        <v>63.348490341591059</v>
      </c>
      <c r="N220" s="34">
        <f>'J) Plafonnement effort'!G219+'J) Plafonnement effort'!H219-'K) Plafonnement aide'!I219</f>
        <v>5.3145879927290718</v>
      </c>
      <c r="O220" s="34">
        <f t="shared" ref="O220:O261" si="51">M220+N220</f>
        <v>68.663078334320133</v>
      </c>
      <c r="P220" s="48">
        <f t="shared" ref="P220:P261" si="52">IF(O220&gt;$P$5,$P$5-O220,0)</f>
        <v>0</v>
      </c>
      <c r="Q220" s="58">
        <f t="shared" si="33"/>
        <v>0</v>
      </c>
      <c r="R220" s="151">
        <f t="shared" ref="R220:R261" si="53">O220+P220</f>
        <v>68.663078334320133</v>
      </c>
      <c r="S220" s="131">
        <f t="shared" ref="S220:S261" si="54">R220-L220</f>
        <v>-11.336921665679867</v>
      </c>
      <c r="T220" s="150">
        <f t="shared" si="42"/>
        <v>0</v>
      </c>
      <c r="V220" s="12"/>
    </row>
    <row r="221" spans="1:22" x14ac:dyDescent="0.25">
      <c r="A221" s="50">
        <f>'A) Base RI'!A222</f>
        <v>5752</v>
      </c>
      <c r="B221" s="437" t="str">
        <f>'A) Base RI'!B222</f>
        <v>Croy</v>
      </c>
      <c r="C221" s="156">
        <v>190603.58927053402</v>
      </c>
      <c r="D221" s="156">
        <v>43563.537984858471</v>
      </c>
      <c r="E221" s="156">
        <v>0</v>
      </c>
      <c r="F221" s="156">
        <v>0</v>
      </c>
      <c r="G221" s="156">
        <v>0</v>
      </c>
      <c r="H221" s="440">
        <f t="shared" si="41"/>
        <v>234167.12725539249</v>
      </c>
      <c r="I221" s="156">
        <v>11188.496891891893</v>
      </c>
      <c r="J221" s="443">
        <f>'B) D RI'!U222</f>
        <v>10753.005424710425</v>
      </c>
      <c r="K221" s="67">
        <f t="shared" ref="K221:K265" si="55">H221/I221</f>
        <v>20.929274907792959</v>
      </c>
      <c r="L221" s="34">
        <f>'B) D RI'!S222</f>
        <v>74</v>
      </c>
      <c r="M221" s="34">
        <f t="shared" si="50"/>
        <v>53.070725092207041</v>
      </c>
      <c r="N221" s="34">
        <f>'J) Plafonnement effort'!G220+'J) Plafonnement effort'!H220-'K) Plafonnement aide'!I220</f>
        <v>4.3315380244188564</v>
      </c>
      <c r="O221" s="34">
        <f t="shared" si="51"/>
        <v>57.402263116625896</v>
      </c>
      <c r="P221" s="48">
        <f t="shared" si="52"/>
        <v>0</v>
      </c>
      <c r="Q221" s="58">
        <f t="shared" si="33"/>
        <v>0</v>
      </c>
      <c r="R221" s="151">
        <f t="shared" si="53"/>
        <v>57.402263116625896</v>
      </c>
      <c r="S221" s="131">
        <f t="shared" si="54"/>
        <v>-16.597736883374104</v>
      </c>
      <c r="T221" s="150">
        <f t="shared" si="42"/>
        <v>0</v>
      </c>
      <c r="V221" s="12"/>
    </row>
    <row r="222" spans="1:22" x14ac:dyDescent="0.25">
      <c r="A222" s="50">
        <f>'A) Base RI'!A223</f>
        <v>5754</v>
      </c>
      <c r="B222" s="437" t="str">
        <f>'A) Base RI'!B223</f>
        <v>Juriens</v>
      </c>
      <c r="C222" s="156">
        <v>126729.78733424401</v>
      </c>
      <c r="D222" s="156">
        <v>-21443.469316758215</v>
      </c>
      <c r="E222" s="156">
        <v>0</v>
      </c>
      <c r="F222" s="156">
        <v>0</v>
      </c>
      <c r="G222" s="156">
        <v>0</v>
      </c>
      <c r="H222" s="440">
        <f t="shared" si="41"/>
        <v>105286.3180174858</v>
      </c>
      <c r="I222" s="156">
        <v>8136.8400000000011</v>
      </c>
      <c r="J222" s="443">
        <f>'B) D RI'!U223</f>
        <v>8035.95670886076</v>
      </c>
      <c r="K222" s="67">
        <f t="shared" si="55"/>
        <v>12.939460284027433</v>
      </c>
      <c r="L222" s="34">
        <f>'B) D RI'!S223</f>
        <v>79</v>
      </c>
      <c r="M222" s="34">
        <f t="shared" si="50"/>
        <v>66.060539715972567</v>
      </c>
      <c r="N222" s="34">
        <f>'J) Plafonnement effort'!G221+'J) Plafonnement effort'!H221-'K) Plafonnement aide'!I221</f>
        <v>9.4154690466511308</v>
      </c>
      <c r="O222" s="34">
        <f t="shared" si="51"/>
        <v>75.476008762623692</v>
      </c>
      <c r="P222" s="48">
        <f t="shared" si="52"/>
        <v>0</v>
      </c>
      <c r="Q222" s="58">
        <f t="shared" ref="Q222:Q266" si="56">P222*J222</f>
        <v>0</v>
      </c>
      <c r="R222" s="151">
        <f t="shared" si="53"/>
        <v>75.476008762623692</v>
      </c>
      <c r="S222" s="131">
        <f t="shared" si="54"/>
        <v>-3.5239912373763076</v>
      </c>
      <c r="T222" s="150">
        <f t="shared" si="42"/>
        <v>0</v>
      </c>
      <c r="V222" s="12"/>
    </row>
    <row r="223" spans="1:22" x14ac:dyDescent="0.25">
      <c r="A223" s="50">
        <f>'A) Base RI'!A224</f>
        <v>5755</v>
      </c>
      <c r="B223" s="437" t="str">
        <f>'A) Base RI'!B224</f>
        <v>Lignerolle</v>
      </c>
      <c r="C223" s="156">
        <v>164714.17439963049</v>
      </c>
      <c r="D223" s="156">
        <v>-102645.18315033824</v>
      </c>
      <c r="E223" s="156">
        <v>0</v>
      </c>
      <c r="F223" s="156">
        <v>0</v>
      </c>
      <c r="G223" s="156">
        <v>0</v>
      </c>
      <c r="H223" s="440">
        <f t="shared" si="41"/>
        <v>62068.991249292245</v>
      </c>
      <c r="I223" s="156">
        <v>9412.5036607142865</v>
      </c>
      <c r="J223" s="443">
        <f>'B) D RI'!U224</f>
        <v>9584.7876607142862</v>
      </c>
      <c r="K223" s="67">
        <f t="shared" si="55"/>
        <v>6.594312574703638</v>
      </c>
      <c r="L223" s="34">
        <f>'B) D RI'!S224</f>
        <v>80</v>
      </c>
      <c r="M223" s="34">
        <f t="shared" si="50"/>
        <v>73.405687425296364</v>
      </c>
      <c r="N223" s="34">
        <f>'J) Plafonnement effort'!G222+'J) Plafonnement effort'!H222-'K) Plafonnement aide'!I222</f>
        <v>-10.713793855862923</v>
      </c>
      <c r="O223" s="34">
        <f t="shared" si="51"/>
        <v>62.691893569433439</v>
      </c>
      <c r="P223" s="48">
        <f t="shared" si="52"/>
        <v>0</v>
      </c>
      <c r="Q223" s="58">
        <f t="shared" si="56"/>
        <v>0</v>
      </c>
      <c r="R223" s="151">
        <f t="shared" si="53"/>
        <v>62.691893569433439</v>
      </c>
      <c r="S223" s="131">
        <f t="shared" si="54"/>
        <v>-17.308106430566561</v>
      </c>
      <c r="T223" s="150">
        <f t="shared" si="42"/>
        <v>0</v>
      </c>
      <c r="V223" s="12"/>
    </row>
    <row r="224" spans="1:22" x14ac:dyDescent="0.25">
      <c r="A224" s="50">
        <f>'A) Base RI'!A225</f>
        <v>5756</v>
      </c>
      <c r="B224" s="437" t="str">
        <f>'A) Base RI'!B225</f>
        <v>Montcherand</v>
      </c>
      <c r="C224" s="156">
        <v>305093.69649804628</v>
      </c>
      <c r="D224" s="156">
        <v>239461.02871280513</v>
      </c>
      <c r="E224" s="156">
        <v>0</v>
      </c>
      <c r="F224" s="156">
        <v>0</v>
      </c>
      <c r="G224" s="156">
        <v>0</v>
      </c>
      <c r="H224" s="440">
        <f t="shared" si="41"/>
        <v>544554.72521085141</v>
      </c>
      <c r="I224" s="156">
        <v>18721.546388888888</v>
      </c>
      <c r="J224" s="443">
        <f>'B) D RI'!U225</f>
        <v>15844.670555555553</v>
      </c>
      <c r="K224" s="67">
        <f t="shared" si="55"/>
        <v>29.087059044120469</v>
      </c>
      <c r="L224" s="34">
        <f>'B) D RI'!S225</f>
        <v>72</v>
      </c>
      <c r="M224" s="34">
        <f t="shared" si="50"/>
        <v>42.912940955879534</v>
      </c>
      <c r="N224" s="34">
        <f>'J) Plafonnement effort'!G223+'J) Plafonnement effort'!H223-'K) Plafonnement aide'!I223</f>
        <v>19.571987533429372</v>
      </c>
      <c r="O224" s="34">
        <f t="shared" si="51"/>
        <v>62.484928489308906</v>
      </c>
      <c r="P224" s="48">
        <f t="shared" si="52"/>
        <v>0</v>
      </c>
      <c r="Q224" s="58">
        <f t="shared" si="56"/>
        <v>0</v>
      </c>
      <c r="R224" s="151">
        <f t="shared" si="53"/>
        <v>62.484928489308906</v>
      </c>
      <c r="S224" s="131">
        <f t="shared" si="54"/>
        <v>-9.5150715106910937</v>
      </c>
      <c r="T224" s="150">
        <f t="shared" si="42"/>
        <v>0</v>
      </c>
      <c r="V224" s="12"/>
    </row>
    <row r="225" spans="1:22" x14ac:dyDescent="0.25">
      <c r="A225" s="50">
        <f>'A) Base RI'!A226</f>
        <v>5757</v>
      </c>
      <c r="B225" s="437" t="str">
        <f>'A) Base RI'!B226</f>
        <v>Orbe</v>
      </c>
      <c r="C225" s="156">
        <v>4321235.9480329342</v>
      </c>
      <c r="D225" s="156">
        <v>-1664402.9160787403</v>
      </c>
      <c r="E225" s="156">
        <v>0</v>
      </c>
      <c r="F225" s="156">
        <v>0</v>
      </c>
      <c r="G225" s="156">
        <v>0</v>
      </c>
      <c r="H225" s="440">
        <f t="shared" si="41"/>
        <v>2656833.031954194</v>
      </c>
      <c r="I225" s="156">
        <v>205952.941948052</v>
      </c>
      <c r="J225" s="443">
        <f>'B) D RI'!U226</f>
        <v>227545.70272727273</v>
      </c>
      <c r="K225" s="67">
        <f t="shared" si="55"/>
        <v>12.900194611564874</v>
      </c>
      <c r="L225" s="34">
        <f>'B) D RI'!S226</f>
        <v>77</v>
      </c>
      <c r="M225" s="34">
        <f t="shared" si="50"/>
        <v>64.099805388435129</v>
      </c>
      <c r="N225" s="34">
        <f>'J) Plafonnement effort'!G224+'J) Plafonnement effort'!H224-'K) Plafonnement aide'!I224</f>
        <v>12.332412819176122</v>
      </c>
      <c r="O225" s="34">
        <f t="shared" si="51"/>
        <v>76.432218207611257</v>
      </c>
      <c r="P225" s="48">
        <f t="shared" si="52"/>
        <v>0</v>
      </c>
      <c r="Q225" s="58">
        <f t="shared" si="56"/>
        <v>0</v>
      </c>
      <c r="R225" s="151">
        <f t="shared" si="53"/>
        <v>76.432218207611257</v>
      </c>
      <c r="S225" s="131">
        <f t="shared" si="54"/>
        <v>-0.56778179238874316</v>
      </c>
      <c r="T225" s="150">
        <f t="shared" si="42"/>
        <v>0</v>
      </c>
      <c r="V225" s="12"/>
    </row>
    <row r="226" spans="1:22" x14ac:dyDescent="0.25">
      <c r="A226" s="50">
        <f>'A) Base RI'!A227</f>
        <v>5758</v>
      </c>
      <c r="B226" s="437" t="str">
        <f>'A) Base RI'!B227</f>
        <v>La Praz</v>
      </c>
      <c r="C226" s="156">
        <v>74885.359072156352</v>
      </c>
      <c r="D226" s="156">
        <v>-63768.743404694702</v>
      </c>
      <c r="E226" s="156">
        <v>0</v>
      </c>
      <c r="F226" s="156">
        <v>0</v>
      </c>
      <c r="G226" s="156">
        <v>0</v>
      </c>
      <c r="H226" s="440">
        <f t="shared" si="41"/>
        <v>11116.61566746165</v>
      </c>
      <c r="I226" s="156">
        <v>3230.1663052208837</v>
      </c>
      <c r="J226" s="443">
        <f>'B) D RI'!U227</f>
        <v>4452.397389558233</v>
      </c>
      <c r="K226" s="67">
        <f t="shared" si="55"/>
        <v>3.4414994823932075</v>
      </c>
      <c r="L226" s="34">
        <f>'B) D RI'!S227</f>
        <v>83</v>
      </c>
      <c r="M226" s="34">
        <f t="shared" si="50"/>
        <v>79.558500517606788</v>
      </c>
      <c r="N226" s="34">
        <f>'J) Plafonnement effort'!G225+'J) Plafonnement effort'!H225-'K) Plafonnement aide'!I225</f>
        <v>13.742510499361224</v>
      </c>
      <c r="O226" s="34">
        <f t="shared" si="51"/>
        <v>93.301011016968005</v>
      </c>
      <c r="P226" s="48">
        <f t="shared" si="52"/>
        <v>-0.8315079868152111</v>
      </c>
      <c r="Q226" s="58">
        <f t="shared" si="56"/>
        <v>-3702.2039898928674</v>
      </c>
      <c r="R226" s="151">
        <f t="shared" si="53"/>
        <v>92.469503030152794</v>
      </c>
      <c r="S226" s="131">
        <f t="shared" si="54"/>
        <v>9.4695030301527936</v>
      </c>
      <c r="T226" s="150">
        <f t="shared" si="42"/>
        <v>0</v>
      </c>
      <c r="V226" s="12"/>
    </row>
    <row r="227" spans="1:22" x14ac:dyDescent="0.25">
      <c r="A227" s="50">
        <f>'A) Base RI'!A228</f>
        <v>5759</v>
      </c>
      <c r="B227" s="437" t="str">
        <f>'A) Base RI'!B228</f>
        <v>Premier</v>
      </c>
      <c r="C227" s="156">
        <v>90572.846933108929</v>
      </c>
      <c r="D227" s="156">
        <v>-55004.407743023447</v>
      </c>
      <c r="E227" s="156">
        <v>0</v>
      </c>
      <c r="F227" s="156">
        <v>0</v>
      </c>
      <c r="G227" s="156">
        <v>0</v>
      </c>
      <c r="H227" s="440">
        <f t="shared" si="41"/>
        <v>35568.439190085483</v>
      </c>
      <c r="I227" s="156">
        <v>4732.7107407407411</v>
      </c>
      <c r="J227" s="443">
        <f>'B) D RI'!U228</f>
        <v>4744.6671604938274</v>
      </c>
      <c r="K227" s="67">
        <f t="shared" si="55"/>
        <v>7.5154475180366678</v>
      </c>
      <c r="L227" s="34">
        <f>'B) D RI'!S228</f>
        <v>81</v>
      </c>
      <c r="M227" s="34">
        <f t="shared" si="50"/>
        <v>73.484552481963334</v>
      </c>
      <c r="N227" s="34">
        <f>'J) Plafonnement effort'!G226+'J) Plafonnement effort'!H226-'K) Plafonnement aide'!I226</f>
        <v>-5.6045520840252578</v>
      </c>
      <c r="O227" s="34">
        <f t="shared" si="51"/>
        <v>67.880000397938076</v>
      </c>
      <c r="P227" s="48">
        <f t="shared" si="52"/>
        <v>0</v>
      </c>
      <c r="Q227" s="58">
        <f t="shared" si="56"/>
        <v>0</v>
      </c>
      <c r="R227" s="151">
        <f t="shared" si="53"/>
        <v>67.880000397938076</v>
      </c>
      <c r="S227" s="131">
        <f t="shared" si="54"/>
        <v>-13.119999602061924</v>
      </c>
      <c r="T227" s="150">
        <f t="shared" si="42"/>
        <v>0</v>
      </c>
      <c r="V227" s="12"/>
    </row>
    <row r="228" spans="1:22" x14ac:dyDescent="0.25">
      <c r="A228" s="50">
        <f>'A) Base RI'!A229</f>
        <v>5760</v>
      </c>
      <c r="B228" s="437" t="str">
        <f>'A) Base RI'!B229</f>
        <v>Rances</v>
      </c>
      <c r="C228" s="156">
        <v>180440.33287868102</v>
      </c>
      <c r="D228" s="156">
        <v>-126266.90848561874</v>
      </c>
      <c r="E228" s="156">
        <v>0</v>
      </c>
      <c r="F228" s="156">
        <v>0</v>
      </c>
      <c r="G228" s="156">
        <v>0</v>
      </c>
      <c r="H228" s="440">
        <f t="shared" si="41"/>
        <v>54173.424393062276</v>
      </c>
      <c r="I228" s="156">
        <v>10468.899999999998</v>
      </c>
      <c r="J228" s="443">
        <f>'B) D RI'!U229</f>
        <v>11427.8147008547</v>
      </c>
      <c r="K228" s="67">
        <f t="shared" si="55"/>
        <v>5.1747007224314192</v>
      </c>
      <c r="L228" s="34">
        <f>'B) D RI'!S229</f>
        <v>78</v>
      </c>
      <c r="M228" s="34">
        <f t="shared" si="50"/>
        <v>72.825299277568575</v>
      </c>
      <c r="N228" s="34">
        <f>'J) Plafonnement effort'!G227+'J) Plafonnement effort'!H227-'K) Plafonnement aide'!I227</f>
        <v>-5.1489993933609313E-2</v>
      </c>
      <c r="O228" s="34">
        <f t="shared" si="51"/>
        <v>72.773809283634961</v>
      </c>
      <c r="P228" s="48">
        <f t="shared" si="52"/>
        <v>0</v>
      </c>
      <c r="Q228" s="58">
        <f t="shared" si="56"/>
        <v>0</v>
      </c>
      <c r="R228" s="151">
        <f t="shared" si="53"/>
        <v>72.773809283634961</v>
      </c>
      <c r="S228" s="131">
        <f t="shared" si="54"/>
        <v>-5.2261907163650392</v>
      </c>
      <c r="T228" s="150">
        <f t="shared" si="42"/>
        <v>0</v>
      </c>
      <c r="V228" s="12"/>
    </row>
    <row r="229" spans="1:22" x14ac:dyDescent="0.25">
      <c r="A229" s="50">
        <f>'A) Base RI'!A230</f>
        <v>5761</v>
      </c>
      <c r="B229" s="437" t="str">
        <f>'A) Base RI'!B230</f>
        <v>Romainmôtier-Envy</v>
      </c>
      <c r="C229" s="156">
        <v>251761.2741865399</v>
      </c>
      <c r="D229" s="156">
        <v>-123197.7130088376</v>
      </c>
      <c r="E229" s="156">
        <v>0</v>
      </c>
      <c r="F229" s="156">
        <v>0</v>
      </c>
      <c r="G229" s="156">
        <v>0</v>
      </c>
      <c r="H229" s="440">
        <f t="shared" si="41"/>
        <v>128563.5611777023</v>
      </c>
      <c r="I229" s="156">
        <v>12891.998383838385</v>
      </c>
      <c r="J229" s="443">
        <f>'B) D RI'!U230</f>
        <v>14843.375263748598</v>
      </c>
      <c r="K229" s="67">
        <f t="shared" si="55"/>
        <v>9.9723531876075651</v>
      </c>
      <c r="L229" s="34">
        <f>'B) D RI'!S230</f>
        <v>81</v>
      </c>
      <c r="M229" s="34">
        <f t="shared" si="50"/>
        <v>71.027646812392433</v>
      </c>
      <c r="N229" s="34">
        <f>'J) Plafonnement effort'!G228+'J) Plafonnement effort'!H228-'K) Plafonnement aide'!I228</f>
        <v>10.535191978810868</v>
      </c>
      <c r="O229" s="34">
        <f t="shared" si="51"/>
        <v>81.562838791203305</v>
      </c>
      <c r="P229" s="48">
        <f t="shared" si="52"/>
        <v>0</v>
      </c>
      <c r="Q229" s="58">
        <f t="shared" si="56"/>
        <v>0</v>
      </c>
      <c r="R229" s="151">
        <f t="shared" si="53"/>
        <v>81.562838791203305</v>
      </c>
      <c r="S229" s="131">
        <f t="shared" si="54"/>
        <v>0.56283879120330482</v>
      </c>
      <c r="T229" s="150">
        <f t="shared" si="42"/>
        <v>0</v>
      </c>
      <c r="V229" s="12"/>
    </row>
    <row r="230" spans="1:22" x14ac:dyDescent="0.25">
      <c r="A230" s="50">
        <f>'A) Base RI'!A231</f>
        <v>5762</v>
      </c>
      <c r="B230" s="437" t="str">
        <f>'A) Base RI'!B231</f>
        <v>Sergey</v>
      </c>
      <c r="C230" s="156">
        <v>63858.700165224014</v>
      </c>
      <c r="D230" s="156">
        <v>10503.175825143706</v>
      </c>
      <c r="E230" s="156">
        <v>0</v>
      </c>
      <c r="F230" s="156">
        <v>0</v>
      </c>
      <c r="G230" s="156">
        <v>0</v>
      </c>
      <c r="H230" s="440">
        <f t="shared" si="41"/>
        <v>74361.875990367727</v>
      </c>
      <c r="I230" s="156">
        <v>4039.8601282051286</v>
      </c>
      <c r="J230" s="443">
        <f>'B) D RI'!U231</f>
        <v>3817.1048717948711</v>
      </c>
      <c r="K230" s="67">
        <f t="shared" si="55"/>
        <v>18.40704223178291</v>
      </c>
      <c r="L230" s="34">
        <f>'B) D RI'!S231</f>
        <v>78</v>
      </c>
      <c r="M230" s="34">
        <f t="shared" si="50"/>
        <v>59.59295776821709</v>
      </c>
      <c r="N230" s="34">
        <f>'J) Plafonnement effort'!G229+'J) Plafonnement effort'!H229-'K) Plafonnement aide'!I229</f>
        <v>7.957299256972159</v>
      </c>
      <c r="O230" s="34">
        <f t="shared" si="51"/>
        <v>67.550257025189254</v>
      </c>
      <c r="P230" s="48">
        <f t="shared" si="52"/>
        <v>0</v>
      </c>
      <c r="Q230" s="58">
        <f t="shared" si="56"/>
        <v>0</v>
      </c>
      <c r="R230" s="151">
        <f t="shared" si="53"/>
        <v>67.550257025189254</v>
      </c>
      <c r="S230" s="131">
        <f t="shared" si="54"/>
        <v>-10.449742974810746</v>
      </c>
      <c r="T230" s="150">
        <f t="shared" si="42"/>
        <v>0</v>
      </c>
      <c r="V230" s="12"/>
    </row>
    <row r="231" spans="1:22" x14ac:dyDescent="0.25">
      <c r="A231" s="50">
        <f>'A) Base RI'!A232</f>
        <v>5763</v>
      </c>
      <c r="B231" s="437" t="str">
        <f>'A) Base RI'!B232</f>
        <v>Valeyres-sous-Rances</v>
      </c>
      <c r="C231" s="156">
        <v>339463.93086287304</v>
      </c>
      <c r="D231" s="156">
        <v>170601.82063483991</v>
      </c>
      <c r="E231" s="156">
        <v>0</v>
      </c>
      <c r="F231" s="156">
        <v>0</v>
      </c>
      <c r="G231" s="156">
        <v>0</v>
      </c>
      <c r="H231" s="440">
        <f t="shared" si="41"/>
        <v>510065.75149771292</v>
      </c>
      <c r="I231" s="156">
        <v>20051.556615384616</v>
      </c>
      <c r="J231" s="443">
        <f>'B) D RI'!U232</f>
        <v>21043.479230769233</v>
      </c>
      <c r="K231" s="67">
        <f t="shared" si="55"/>
        <v>25.437713454443905</v>
      </c>
      <c r="L231" s="34">
        <f>'B) D RI'!S232</f>
        <v>65</v>
      </c>
      <c r="M231" s="34">
        <f t="shared" si="50"/>
        <v>39.562286545556091</v>
      </c>
      <c r="N231" s="34">
        <f>'J) Plafonnement effort'!G230+'J) Plafonnement effort'!H230-'K) Plafonnement aide'!I230</f>
        <v>16.524988662804294</v>
      </c>
      <c r="O231" s="34">
        <f t="shared" si="51"/>
        <v>56.087275208360381</v>
      </c>
      <c r="P231" s="48">
        <f t="shared" si="52"/>
        <v>0</v>
      </c>
      <c r="Q231" s="58">
        <f t="shared" si="56"/>
        <v>0</v>
      </c>
      <c r="R231" s="151">
        <f t="shared" si="53"/>
        <v>56.087275208360381</v>
      </c>
      <c r="S231" s="131">
        <f t="shared" si="54"/>
        <v>-8.9127247916396186</v>
      </c>
      <c r="T231" s="150">
        <f t="shared" si="42"/>
        <v>0</v>
      </c>
      <c r="V231" s="12"/>
    </row>
    <row r="232" spans="1:22" x14ac:dyDescent="0.25">
      <c r="A232" s="50">
        <f>'A) Base RI'!A233</f>
        <v>5764</v>
      </c>
      <c r="B232" s="437" t="str">
        <f>'A) Base RI'!B233</f>
        <v>Vallorbe</v>
      </c>
      <c r="C232" s="156">
        <v>2032940.1633834571</v>
      </c>
      <c r="D232" s="156">
        <v>-1555365.1014462058</v>
      </c>
      <c r="E232" s="156">
        <v>0</v>
      </c>
      <c r="F232" s="156">
        <v>0</v>
      </c>
      <c r="G232" s="156">
        <v>0</v>
      </c>
      <c r="H232" s="440">
        <f t="shared" si="41"/>
        <v>477575.06193725136</v>
      </c>
      <c r="I232" s="156">
        <v>83366.268356164379</v>
      </c>
      <c r="J232" s="443">
        <f>'B) D RI'!U233</f>
        <v>86289.103835616435</v>
      </c>
      <c r="K232" s="67">
        <f t="shared" si="55"/>
        <v>5.7286366698928521</v>
      </c>
      <c r="L232" s="34">
        <f>'B) D RI'!S233</f>
        <v>73</v>
      </c>
      <c r="M232" s="34">
        <f t="shared" si="50"/>
        <v>67.27136333010715</v>
      </c>
      <c r="N232" s="34">
        <f>'J) Plafonnement effort'!G231+'J) Plafonnement effort'!H231-'K) Plafonnement aide'!I231</f>
        <v>-12.59258756600061</v>
      </c>
      <c r="O232" s="34">
        <f t="shared" si="51"/>
        <v>54.67877576410654</v>
      </c>
      <c r="P232" s="48">
        <f t="shared" si="52"/>
        <v>0</v>
      </c>
      <c r="Q232" s="58">
        <f t="shared" si="56"/>
        <v>0</v>
      </c>
      <c r="R232" s="151">
        <f t="shared" si="53"/>
        <v>54.67877576410654</v>
      </c>
      <c r="S232" s="131">
        <f t="shared" si="54"/>
        <v>-18.32122423589346</v>
      </c>
      <c r="T232" s="150">
        <f t="shared" si="42"/>
        <v>0</v>
      </c>
      <c r="V232" s="12"/>
    </row>
    <row r="233" spans="1:22" x14ac:dyDescent="0.25">
      <c r="A233" s="50">
        <f>'A) Base RI'!A234</f>
        <v>5765</v>
      </c>
      <c r="B233" s="437" t="str">
        <f>'A) Base RI'!B234</f>
        <v>Vaulion</v>
      </c>
      <c r="C233" s="156">
        <v>167988.21464778448</v>
      </c>
      <c r="D233" s="156">
        <v>-183036.99068351369</v>
      </c>
      <c r="E233" s="156">
        <v>0</v>
      </c>
      <c r="F233" s="156">
        <v>0</v>
      </c>
      <c r="G233" s="156">
        <v>0</v>
      </c>
      <c r="H233" s="440">
        <f t="shared" si="41"/>
        <v>-15048.776035729214</v>
      </c>
      <c r="I233" s="156">
        <v>9587.663333333332</v>
      </c>
      <c r="J233" s="443">
        <f>'B) D RI'!U234</f>
        <v>9839.660864197529</v>
      </c>
      <c r="K233" s="67">
        <f t="shared" si="55"/>
        <v>-1.5695978793299183</v>
      </c>
      <c r="L233" s="34">
        <f>'B) D RI'!S234</f>
        <v>81</v>
      </c>
      <c r="M233" s="34">
        <f t="shared" si="50"/>
        <v>82.569597879329919</v>
      </c>
      <c r="N233" s="34">
        <f>'J) Plafonnement effort'!G232+'J) Plafonnement effort'!H232-'K) Plafonnement aide'!I232</f>
        <v>-11.064272196072915</v>
      </c>
      <c r="O233" s="34">
        <f t="shared" si="51"/>
        <v>71.505325683256999</v>
      </c>
      <c r="P233" s="48">
        <f t="shared" si="52"/>
        <v>0</v>
      </c>
      <c r="Q233" s="58">
        <f t="shared" si="56"/>
        <v>0</v>
      </c>
      <c r="R233" s="151">
        <f t="shared" si="53"/>
        <v>71.505325683256999</v>
      </c>
      <c r="S233" s="131">
        <f t="shared" si="54"/>
        <v>-9.4946743167430014</v>
      </c>
      <c r="T233" s="150">
        <f t="shared" si="42"/>
        <v>0</v>
      </c>
      <c r="V233" s="12"/>
    </row>
    <row r="234" spans="1:22" x14ac:dyDescent="0.25">
      <c r="A234" s="50">
        <f>'A) Base RI'!A235</f>
        <v>5766</v>
      </c>
      <c r="B234" s="437" t="str">
        <f>'A) Base RI'!B235</f>
        <v>Vuiteboeuf</v>
      </c>
      <c r="C234" s="156">
        <v>241647.72267559939</v>
      </c>
      <c r="D234" s="156">
        <v>-113518.58514657046</v>
      </c>
      <c r="E234" s="156">
        <v>0</v>
      </c>
      <c r="F234" s="156">
        <v>0</v>
      </c>
      <c r="G234" s="156">
        <v>0</v>
      </c>
      <c r="H234" s="440">
        <f t="shared" si="41"/>
        <v>128129.13752902893</v>
      </c>
      <c r="I234" s="156">
        <v>13049.547402597404</v>
      </c>
      <c r="J234" s="443">
        <f>'B) D RI'!U235</f>
        <v>13336.017235621519</v>
      </c>
      <c r="K234" s="67">
        <f t="shared" si="55"/>
        <v>9.818665243786608</v>
      </c>
      <c r="L234" s="34">
        <f>'B) D RI'!S235</f>
        <v>77</v>
      </c>
      <c r="M234" s="34">
        <f t="shared" si="50"/>
        <v>67.181334756213388</v>
      </c>
      <c r="N234" s="34">
        <f>'J) Plafonnement effort'!G233+'J) Plafonnement effort'!H233-'K) Plafonnement aide'!I233</f>
        <v>0.62312091969312444</v>
      </c>
      <c r="O234" s="34">
        <f t="shared" si="51"/>
        <v>67.80445567590651</v>
      </c>
      <c r="P234" s="48">
        <f t="shared" si="52"/>
        <v>0</v>
      </c>
      <c r="Q234" s="58">
        <f t="shared" si="56"/>
        <v>0</v>
      </c>
      <c r="R234" s="151">
        <f t="shared" si="53"/>
        <v>67.80445567590651</v>
      </c>
      <c r="S234" s="131">
        <f t="shared" si="54"/>
        <v>-9.1955443240934898</v>
      </c>
      <c r="T234" s="150">
        <f t="shared" si="42"/>
        <v>0</v>
      </c>
      <c r="V234" s="12"/>
    </row>
    <row r="235" spans="1:22" x14ac:dyDescent="0.25">
      <c r="A235" s="50">
        <f>'A) Base RI'!A236</f>
        <v>5785</v>
      </c>
      <c r="B235" s="437" t="str">
        <f>'A) Base RI'!B236</f>
        <v>Corcelles-le-Jorat</v>
      </c>
      <c r="C235" s="156">
        <v>264866.27870905271</v>
      </c>
      <c r="D235" s="156">
        <v>110996.81553390407</v>
      </c>
      <c r="E235" s="156">
        <v>0</v>
      </c>
      <c r="F235" s="156">
        <v>0</v>
      </c>
      <c r="G235" s="156">
        <v>0</v>
      </c>
      <c r="H235" s="440">
        <f t="shared" si="41"/>
        <v>375863.09424295678</v>
      </c>
      <c r="I235" s="156">
        <v>15263.245714285717</v>
      </c>
      <c r="J235" s="443">
        <f>'B) D RI'!U236</f>
        <v>15649.981168831173</v>
      </c>
      <c r="K235" s="67">
        <f t="shared" si="55"/>
        <v>24.625371384224373</v>
      </c>
      <c r="L235" s="34">
        <f>'B) D RI'!S236</f>
        <v>77</v>
      </c>
      <c r="M235" s="34">
        <f t="shared" si="50"/>
        <v>52.374628615775627</v>
      </c>
      <c r="N235" s="34">
        <f>'J) Plafonnement effort'!G234+'J) Plafonnement effort'!H234-'K) Plafonnement aide'!I234</f>
        <v>22.760041466536848</v>
      </c>
      <c r="O235" s="34">
        <f t="shared" si="51"/>
        <v>75.134670082312482</v>
      </c>
      <c r="P235" s="48">
        <f t="shared" si="52"/>
        <v>0</v>
      </c>
      <c r="Q235" s="58">
        <f t="shared" si="56"/>
        <v>0</v>
      </c>
      <c r="R235" s="151">
        <f t="shared" si="53"/>
        <v>75.134670082312482</v>
      </c>
      <c r="S235" s="131">
        <f t="shared" si="54"/>
        <v>-1.865329917687518</v>
      </c>
      <c r="T235" s="150">
        <f t="shared" si="42"/>
        <v>0</v>
      </c>
      <c r="V235" s="12"/>
    </row>
    <row r="236" spans="1:22" x14ac:dyDescent="0.25">
      <c r="A236" s="50">
        <f>'A) Base RI'!A237</f>
        <v>5788</v>
      </c>
      <c r="B236" s="437" t="str">
        <f>'A) Base RI'!B237</f>
        <v>Essertes</v>
      </c>
      <c r="C236" s="156">
        <v>235411.52447845467</v>
      </c>
      <c r="D236" s="156">
        <v>98519.46867784299</v>
      </c>
      <c r="E236" s="156">
        <v>0</v>
      </c>
      <c r="F236" s="156">
        <v>0</v>
      </c>
      <c r="G236" s="156">
        <v>0</v>
      </c>
      <c r="H236" s="440">
        <f t="shared" si="41"/>
        <v>333930.99315629766</v>
      </c>
      <c r="I236" s="156">
        <v>11561.131666666668</v>
      </c>
      <c r="J236" s="443">
        <f>'B) D RI'!U237</f>
        <v>11949.454583333332</v>
      </c>
      <c r="K236" s="67">
        <f t="shared" si="55"/>
        <v>28.883936519734959</v>
      </c>
      <c r="L236" s="34">
        <f>'B) D RI'!S237</f>
        <v>72</v>
      </c>
      <c r="M236" s="34">
        <f t="shared" si="50"/>
        <v>43.116063480265041</v>
      </c>
      <c r="N236" s="34">
        <f>'J) Plafonnement effort'!G235+'J) Plafonnement effort'!H235-'K) Plafonnement aide'!I235</f>
        <v>22.719664228323385</v>
      </c>
      <c r="O236" s="34">
        <f t="shared" si="51"/>
        <v>65.835727708588422</v>
      </c>
      <c r="P236" s="48">
        <f t="shared" si="52"/>
        <v>0</v>
      </c>
      <c r="Q236" s="58">
        <f t="shared" si="56"/>
        <v>0</v>
      </c>
      <c r="R236" s="151">
        <f t="shared" si="53"/>
        <v>65.835727708588422</v>
      </c>
      <c r="S236" s="131">
        <f t="shared" si="54"/>
        <v>-6.164272291411578</v>
      </c>
      <c r="T236" s="150">
        <f t="shared" si="42"/>
        <v>0</v>
      </c>
      <c r="V236" s="12"/>
    </row>
    <row r="237" spans="1:22" x14ac:dyDescent="0.25">
      <c r="A237" s="50">
        <f>'A) Base RI'!A238</f>
        <v>5790</v>
      </c>
      <c r="B237" s="437" t="str">
        <f>'A) Base RI'!B238</f>
        <v>Maracon</v>
      </c>
      <c r="C237" s="156">
        <v>237511.6860228951</v>
      </c>
      <c r="D237" s="156">
        <v>-35565.007682898897</v>
      </c>
      <c r="E237" s="156">
        <v>0</v>
      </c>
      <c r="F237" s="156">
        <v>0</v>
      </c>
      <c r="G237" s="156">
        <v>0</v>
      </c>
      <c r="H237" s="440">
        <f t="shared" si="41"/>
        <v>201946.6783399962</v>
      </c>
      <c r="I237" s="156">
        <v>12108.806973684212</v>
      </c>
      <c r="J237" s="443">
        <f>'B) D RI'!U238</f>
        <v>13289.151710526314</v>
      </c>
      <c r="K237" s="67">
        <f t="shared" si="55"/>
        <v>16.67766930126826</v>
      </c>
      <c r="L237" s="34">
        <f>'B) D RI'!S238</f>
        <v>76</v>
      </c>
      <c r="M237" s="34">
        <f t="shared" si="50"/>
        <v>59.32233069873174</v>
      </c>
      <c r="N237" s="34">
        <f>'J) Plafonnement effort'!G236+'J) Plafonnement effort'!H236-'K) Plafonnement aide'!I236</f>
        <v>12.38909915163285</v>
      </c>
      <c r="O237" s="34">
        <f t="shared" si="51"/>
        <v>71.711429850364595</v>
      </c>
      <c r="P237" s="48">
        <f t="shared" si="52"/>
        <v>0</v>
      </c>
      <c r="Q237" s="58">
        <f t="shared" si="56"/>
        <v>0</v>
      </c>
      <c r="R237" s="151">
        <f t="shared" si="53"/>
        <v>71.711429850364595</v>
      </c>
      <c r="S237" s="131">
        <f t="shared" si="54"/>
        <v>-4.2885701496354045</v>
      </c>
      <c r="T237" s="150">
        <f t="shared" si="42"/>
        <v>0</v>
      </c>
      <c r="V237" s="12"/>
    </row>
    <row r="238" spans="1:22" x14ac:dyDescent="0.25">
      <c r="A238" s="50">
        <f>'A) Base RI'!A239</f>
        <v>5792</v>
      </c>
      <c r="B238" s="437" t="str">
        <f>'A) Base RI'!B239</f>
        <v>Montpreveyres</v>
      </c>
      <c r="C238" s="156">
        <v>324249.03204841894</v>
      </c>
      <c r="D238" s="156">
        <v>-10829.488745180424</v>
      </c>
      <c r="E238" s="156">
        <v>0</v>
      </c>
      <c r="F238" s="156">
        <v>0</v>
      </c>
      <c r="G238" s="156">
        <v>0</v>
      </c>
      <c r="H238" s="440">
        <f t="shared" si="41"/>
        <v>313419.54330323852</v>
      </c>
      <c r="I238" s="156">
        <v>17523.35194805195</v>
      </c>
      <c r="J238" s="443">
        <f>'B) D RI'!U239</f>
        <v>18753.372987012986</v>
      </c>
      <c r="K238" s="67">
        <f t="shared" si="55"/>
        <v>17.88582140177131</v>
      </c>
      <c r="L238" s="34">
        <f>'B) D RI'!S239</f>
        <v>77</v>
      </c>
      <c r="M238" s="34">
        <f t="shared" si="50"/>
        <v>59.11417859822869</v>
      </c>
      <c r="N238" s="34">
        <f>'J) Plafonnement effort'!G237+'J) Plafonnement effort'!H237-'K) Plafonnement aide'!I237</f>
        <v>14.337183386262026</v>
      </c>
      <c r="O238" s="34">
        <f t="shared" si="51"/>
        <v>73.451361984490717</v>
      </c>
      <c r="P238" s="48">
        <f t="shared" si="52"/>
        <v>0</v>
      </c>
      <c r="Q238" s="58">
        <f t="shared" si="56"/>
        <v>0</v>
      </c>
      <c r="R238" s="151">
        <f t="shared" si="53"/>
        <v>73.451361984490717</v>
      </c>
      <c r="S238" s="131">
        <f t="shared" si="54"/>
        <v>-3.5486380155092832</v>
      </c>
      <c r="T238" s="150">
        <f t="shared" si="42"/>
        <v>0</v>
      </c>
      <c r="V238" s="12"/>
    </row>
    <row r="239" spans="1:22" x14ac:dyDescent="0.25">
      <c r="A239" s="50">
        <f>'A) Base RI'!A240</f>
        <v>5798</v>
      </c>
      <c r="B239" s="437" t="str">
        <f>'A) Base RI'!B240</f>
        <v>Ropraz</v>
      </c>
      <c r="C239" s="156">
        <v>264744.90352427377</v>
      </c>
      <c r="D239" s="156">
        <v>71596.584776756965</v>
      </c>
      <c r="E239" s="156">
        <v>0</v>
      </c>
      <c r="F239" s="156">
        <v>0</v>
      </c>
      <c r="G239" s="156">
        <v>0</v>
      </c>
      <c r="H239" s="440">
        <f t="shared" si="41"/>
        <v>336341.48830103071</v>
      </c>
      <c r="I239" s="156">
        <v>14095.640645161293</v>
      </c>
      <c r="J239" s="443">
        <f>'B) D RI'!U240</f>
        <v>13764.738967741932</v>
      </c>
      <c r="K239" s="67">
        <f t="shared" si="55"/>
        <v>23.861383584327466</v>
      </c>
      <c r="L239" s="34">
        <f>'B) D RI'!S240</f>
        <v>77.5</v>
      </c>
      <c r="M239" s="34">
        <f t="shared" si="50"/>
        <v>53.63861641567253</v>
      </c>
      <c r="N239" s="34">
        <f>'J) Plafonnement effort'!G238+'J) Plafonnement effort'!H238-'K) Plafonnement aide'!I238</f>
        <v>13.533438357758413</v>
      </c>
      <c r="O239" s="34">
        <f t="shared" si="51"/>
        <v>67.172054773430943</v>
      </c>
      <c r="P239" s="48">
        <f t="shared" si="52"/>
        <v>0</v>
      </c>
      <c r="Q239" s="58">
        <f t="shared" si="56"/>
        <v>0</v>
      </c>
      <c r="R239" s="151">
        <f t="shared" si="53"/>
        <v>67.172054773430943</v>
      </c>
      <c r="S239" s="131">
        <f t="shared" si="54"/>
        <v>-10.327945226569057</v>
      </c>
      <c r="T239" s="150">
        <f t="shared" si="42"/>
        <v>0</v>
      </c>
      <c r="V239" s="12"/>
    </row>
    <row r="240" spans="1:22" x14ac:dyDescent="0.25">
      <c r="A240" s="50">
        <f>'A) Base RI'!A241</f>
        <v>5799</v>
      </c>
      <c r="B240" s="437" t="str">
        <f>'A) Base RI'!B241</f>
        <v>Servion</v>
      </c>
      <c r="C240" s="156">
        <v>1110739.9246754455</v>
      </c>
      <c r="D240" s="156">
        <v>434612.73723747162</v>
      </c>
      <c r="E240" s="156">
        <v>0</v>
      </c>
      <c r="F240" s="156">
        <v>0</v>
      </c>
      <c r="G240" s="156">
        <v>0</v>
      </c>
      <c r="H240" s="440">
        <f t="shared" si="41"/>
        <v>1545352.6619129172</v>
      </c>
      <c r="I240" s="156">
        <v>65741.847101449268</v>
      </c>
      <c r="J240" s="443">
        <f>'B) D RI'!U241</f>
        <v>69335.991449275345</v>
      </c>
      <c r="K240" s="67">
        <f t="shared" si="55"/>
        <v>23.506377293114571</v>
      </c>
      <c r="L240" s="34">
        <f>'B) D RI'!S241</f>
        <v>69</v>
      </c>
      <c r="M240" s="34">
        <f t="shared" si="50"/>
        <v>45.493622706885432</v>
      </c>
      <c r="N240" s="34">
        <f>'J) Plafonnement effort'!G239+'J) Plafonnement effort'!H239-'K) Plafonnement aide'!I239</f>
        <v>24.101620442729335</v>
      </c>
      <c r="O240" s="34">
        <f t="shared" si="51"/>
        <v>69.59524314961476</v>
      </c>
      <c r="P240" s="48">
        <f t="shared" si="52"/>
        <v>0</v>
      </c>
      <c r="Q240" s="58">
        <f t="shared" si="56"/>
        <v>0</v>
      </c>
      <c r="R240" s="151">
        <f t="shared" si="53"/>
        <v>69.59524314961476</v>
      </c>
      <c r="S240" s="131">
        <f t="shared" si="54"/>
        <v>0.59524314961475966</v>
      </c>
      <c r="T240" s="150">
        <f t="shared" si="42"/>
        <v>0</v>
      </c>
      <c r="V240" s="12"/>
    </row>
    <row r="241" spans="1:22" x14ac:dyDescent="0.25">
      <c r="A241" s="50">
        <f>'A) Base RI'!A242</f>
        <v>5803</v>
      </c>
      <c r="B241" s="437" t="str">
        <f>'A) Base RI'!B242</f>
        <v>Vulliens</v>
      </c>
      <c r="C241" s="156">
        <v>279215.43554320635</v>
      </c>
      <c r="D241" s="156">
        <v>59015.328937742568</v>
      </c>
      <c r="E241" s="156">
        <v>0</v>
      </c>
      <c r="F241" s="156">
        <v>0</v>
      </c>
      <c r="G241" s="156">
        <v>0</v>
      </c>
      <c r="H241" s="440">
        <f t="shared" si="41"/>
        <v>338230.76448094891</v>
      </c>
      <c r="I241" s="156">
        <v>15644.362692307694</v>
      </c>
      <c r="J241" s="443">
        <f>'B) D RI'!U242</f>
        <v>16619.681923076922</v>
      </c>
      <c r="K241" s="67">
        <f t="shared" si="55"/>
        <v>21.619977184961098</v>
      </c>
      <c r="L241" s="34">
        <f>'B) D RI'!S242</f>
        <v>78</v>
      </c>
      <c r="M241" s="34">
        <f t="shared" si="50"/>
        <v>56.380022815038899</v>
      </c>
      <c r="N241" s="34">
        <f>'J) Plafonnement effort'!G240+'J) Plafonnement effort'!H240-'K) Plafonnement aide'!I240</f>
        <v>15.044908563561746</v>
      </c>
      <c r="O241" s="34">
        <f t="shared" si="51"/>
        <v>71.424931378600647</v>
      </c>
      <c r="P241" s="48">
        <f t="shared" si="52"/>
        <v>0</v>
      </c>
      <c r="Q241" s="58">
        <f t="shared" si="56"/>
        <v>0</v>
      </c>
      <c r="R241" s="151">
        <f t="shared" si="53"/>
        <v>71.424931378600647</v>
      </c>
      <c r="S241" s="131">
        <f t="shared" si="54"/>
        <v>-6.5750686213993532</v>
      </c>
      <c r="T241" s="150">
        <f t="shared" si="42"/>
        <v>0</v>
      </c>
      <c r="V241" s="12"/>
    </row>
    <row r="242" spans="1:22" x14ac:dyDescent="0.25">
      <c r="A242" s="50">
        <f>'A) Base RI'!A243</f>
        <v>5804</v>
      </c>
      <c r="B242" s="437" t="str">
        <f>'A) Base RI'!B243</f>
        <v>Jorat-Menthue</v>
      </c>
      <c r="C242" s="156">
        <v>827870.83574876795</v>
      </c>
      <c r="D242" s="156">
        <v>141943.62927042798</v>
      </c>
      <c r="E242" s="156">
        <v>0</v>
      </c>
      <c r="F242" s="156">
        <v>0</v>
      </c>
      <c r="G242" s="156">
        <v>0</v>
      </c>
      <c r="H242" s="440">
        <f t="shared" si="41"/>
        <v>969814.46501919592</v>
      </c>
      <c r="I242" s="156">
        <v>47020.955555555549</v>
      </c>
      <c r="J242" s="443">
        <f>'B) D RI'!U243</f>
        <v>47559.531944444454</v>
      </c>
      <c r="K242" s="67">
        <f>H242/I242</f>
        <v>20.625154328762079</v>
      </c>
      <c r="L242" s="34">
        <f>'B) D RI'!S243</f>
        <v>72</v>
      </c>
      <c r="M242" s="34">
        <f>L242-K242</f>
        <v>51.374845671237921</v>
      </c>
      <c r="N242" s="34">
        <f>'J) Plafonnement effort'!G241+'J) Plafonnement effort'!H241-'K) Plafonnement aide'!I241</f>
        <v>10.323022542173055</v>
      </c>
      <c r="O242" s="34">
        <f>M242+N242</f>
        <v>61.697868213410977</v>
      </c>
      <c r="P242" s="48">
        <f t="shared" si="52"/>
        <v>0</v>
      </c>
      <c r="Q242" s="58">
        <f>P242*J242</f>
        <v>0</v>
      </c>
      <c r="R242" s="151">
        <f>O242+P242</f>
        <v>61.697868213410977</v>
      </c>
      <c r="S242" s="131">
        <f>R242-L242</f>
        <v>-10.302131786589023</v>
      </c>
      <c r="T242" s="150">
        <f t="shared" si="42"/>
        <v>0</v>
      </c>
      <c r="V242" s="12"/>
    </row>
    <row r="243" spans="1:22" x14ac:dyDescent="0.25">
      <c r="A243" s="50">
        <f>'A) Base RI'!A244</f>
        <v>5805</v>
      </c>
      <c r="B243" s="437" t="str">
        <f>'A) Base RI'!B244</f>
        <v>Oron</v>
      </c>
      <c r="C243" s="156">
        <v>2676047.4748714445</v>
      </c>
      <c r="D243" s="156">
        <v>-1129256.4057064056</v>
      </c>
      <c r="E243" s="156">
        <v>0</v>
      </c>
      <c r="F243" s="156">
        <v>0</v>
      </c>
      <c r="G243" s="156">
        <v>0</v>
      </c>
      <c r="H243" s="440">
        <f t="shared" si="41"/>
        <v>1546791.0691650389</v>
      </c>
      <c r="I243" s="156">
        <v>148409.14060606057</v>
      </c>
      <c r="J243" s="443">
        <f>'B) D RI'!U244</f>
        <v>157344.05109354414</v>
      </c>
      <c r="K243" s="67">
        <f>H243/I243</f>
        <v>10.422478446060571</v>
      </c>
      <c r="L243" s="34">
        <f>'B) D RI'!S244</f>
        <v>69</v>
      </c>
      <c r="M243" s="34">
        <f>L243-K243</f>
        <v>58.577521553939427</v>
      </c>
      <c r="N243" s="34">
        <f>'J) Plafonnement effort'!G242+'J) Plafonnement effort'!H242-'K) Plafonnement aide'!I242</f>
        <v>9.5025848266721429</v>
      </c>
      <c r="O243" s="34">
        <f>M243+N243</f>
        <v>68.080106380611568</v>
      </c>
      <c r="P243" s="48">
        <f t="shared" si="52"/>
        <v>0</v>
      </c>
      <c r="Q243" s="58">
        <f>P243*J243</f>
        <v>0</v>
      </c>
      <c r="R243" s="151">
        <f>O243+P243</f>
        <v>68.080106380611568</v>
      </c>
      <c r="S243" s="131">
        <f>R243-L243</f>
        <v>-0.91989361938843217</v>
      </c>
      <c r="T243" s="150">
        <f t="shared" si="42"/>
        <v>0</v>
      </c>
      <c r="V243" s="12"/>
    </row>
    <row r="244" spans="1:22" x14ac:dyDescent="0.25">
      <c r="A244" s="50">
        <f>'A) Base RI'!A245</f>
        <v>5806</v>
      </c>
      <c r="B244" s="437" t="str">
        <f>'A) Base RI'!B245</f>
        <v>Jorat-Mézières</v>
      </c>
      <c r="C244" s="156">
        <v>1543554.7027185629</v>
      </c>
      <c r="D244" s="156">
        <v>-93720.613729736069</v>
      </c>
      <c r="E244" s="156">
        <v>0</v>
      </c>
      <c r="F244" s="156">
        <v>0</v>
      </c>
      <c r="G244" s="156">
        <v>0</v>
      </c>
      <c r="H244" s="440">
        <f t="shared" si="41"/>
        <v>1449834.0889888268</v>
      </c>
      <c r="I244" s="156">
        <v>86246.382763157875</v>
      </c>
      <c r="J244" s="443">
        <f>'B) D RI'!U245</f>
        <v>90571.355131578952</v>
      </c>
      <c r="K244" s="67">
        <f>H244/I244</f>
        <v>16.810375606942635</v>
      </c>
      <c r="L244" s="34">
        <f>'B) D RI'!S245</f>
        <v>76</v>
      </c>
      <c r="M244" s="34">
        <f>L244-K244</f>
        <v>59.189624393057365</v>
      </c>
      <c r="N244" s="34">
        <f>'J) Plafonnement effort'!G243+'J) Plafonnement effort'!H243-'K) Plafonnement aide'!I243</f>
        <v>15.159220497374807</v>
      </c>
      <c r="O244" s="34">
        <f>M244+N244</f>
        <v>74.348844890432176</v>
      </c>
      <c r="P244" s="48">
        <f t="shared" ref="P244" si="57">IF(O244&gt;$P$5,$P$5-O244,0)</f>
        <v>0</v>
      </c>
      <c r="Q244" s="58">
        <f>P244*J244</f>
        <v>0</v>
      </c>
      <c r="R244" s="151">
        <f>O244+P244</f>
        <v>74.348844890432176</v>
      </c>
      <c r="S244" s="131">
        <f>R244-L244</f>
        <v>-1.6511551095678243</v>
      </c>
      <c r="T244" s="150">
        <f t="shared" si="42"/>
        <v>0</v>
      </c>
      <c r="V244" s="12"/>
    </row>
    <row r="245" spans="1:22" x14ac:dyDescent="0.25">
      <c r="A245" s="50">
        <f>'A) Base RI'!A246</f>
        <v>5812</v>
      </c>
      <c r="B245" s="437" t="str">
        <f>'A) Base RI'!B246</f>
        <v>Champtauroz</v>
      </c>
      <c r="C245" s="156">
        <v>49924.327134521453</v>
      </c>
      <c r="D245" s="156">
        <v>-46167.14409697181</v>
      </c>
      <c r="E245" s="156">
        <v>0</v>
      </c>
      <c r="F245" s="156">
        <v>0</v>
      </c>
      <c r="G245" s="156">
        <v>0</v>
      </c>
      <c r="H245" s="440">
        <f t="shared" si="41"/>
        <v>3757.1830375496429</v>
      </c>
      <c r="I245" s="156">
        <v>2413.8557792207789</v>
      </c>
      <c r="J245" s="443">
        <f>'B) D RI'!U246</f>
        <v>2425.1270779220786</v>
      </c>
      <c r="K245" s="67">
        <f>H245/I245</f>
        <v>1.5565068426592188</v>
      </c>
      <c r="L245" s="34">
        <f>'B) D RI'!S246</f>
        <v>77</v>
      </c>
      <c r="M245" s="34">
        <f>L245-K245</f>
        <v>75.443493157340782</v>
      </c>
      <c r="N245" s="34">
        <f>'J) Plafonnement effort'!G244+'J) Plafonnement effort'!H244-'K) Plafonnement aide'!I244</f>
        <v>-7.4076442737477777</v>
      </c>
      <c r="O245" s="34">
        <f>M245+N245</f>
        <v>68.035848883593005</v>
      </c>
      <c r="P245" s="48">
        <f t="shared" si="52"/>
        <v>0</v>
      </c>
      <c r="Q245" s="58">
        <f>P245*J245</f>
        <v>0</v>
      </c>
      <c r="R245" s="151">
        <f>O245+P245</f>
        <v>68.035848883593005</v>
      </c>
      <c r="S245" s="131">
        <f>R245-L245</f>
        <v>-8.9641511164069954</v>
      </c>
      <c r="T245" s="150">
        <f t="shared" si="42"/>
        <v>0</v>
      </c>
      <c r="V245" s="12"/>
    </row>
    <row r="246" spans="1:22" x14ac:dyDescent="0.25">
      <c r="A246" s="50">
        <f>'A) Base RI'!A247</f>
        <v>5813</v>
      </c>
      <c r="B246" s="437" t="str">
        <f>'A) Base RI'!B247</f>
        <v>Chevroux</v>
      </c>
      <c r="C246" s="156">
        <v>277670.89785740804</v>
      </c>
      <c r="D246" s="156">
        <v>48755.334838630544</v>
      </c>
      <c r="E246" s="156">
        <v>0</v>
      </c>
      <c r="F246" s="156">
        <v>0</v>
      </c>
      <c r="G246" s="156">
        <v>0</v>
      </c>
      <c r="H246" s="440">
        <f t="shared" si="41"/>
        <v>326426.23269603855</v>
      </c>
      <c r="I246" s="156">
        <v>13303.445833333333</v>
      </c>
      <c r="J246" s="443">
        <f>'B) D RI'!U247</f>
        <v>13114.094904761907</v>
      </c>
      <c r="K246" s="67">
        <f t="shared" si="55"/>
        <v>24.536968600882307</v>
      </c>
      <c r="L246" s="34">
        <f>'B) D RI'!S247</f>
        <v>70</v>
      </c>
      <c r="M246" s="34">
        <f t="shared" si="50"/>
        <v>45.463031399117696</v>
      </c>
      <c r="N246" s="34">
        <f>'J) Plafonnement effort'!G245+'J) Plafonnement effort'!H245-'K) Plafonnement aide'!I245</f>
        <v>17.685457645159623</v>
      </c>
      <c r="O246" s="34">
        <f t="shared" si="51"/>
        <v>63.148489044277319</v>
      </c>
      <c r="P246" s="48">
        <f t="shared" si="52"/>
        <v>0</v>
      </c>
      <c r="Q246" s="58">
        <f t="shared" si="56"/>
        <v>0</v>
      </c>
      <c r="R246" s="151">
        <f t="shared" si="53"/>
        <v>63.148489044277319</v>
      </c>
      <c r="S246" s="131">
        <f t="shared" si="54"/>
        <v>-6.8515109557226808</v>
      </c>
      <c r="T246" s="150">
        <f t="shared" si="42"/>
        <v>0</v>
      </c>
      <c r="V246" s="12"/>
    </row>
    <row r="247" spans="1:22" x14ac:dyDescent="0.25">
      <c r="A247" s="50">
        <f>'A) Base RI'!A248</f>
        <v>5816</v>
      </c>
      <c r="B247" s="437" t="str">
        <f>'A) Base RI'!B248</f>
        <v>Corcelles-près-Payerne</v>
      </c>
      <c r="C247" s="156">
        <v>1028848.2769847336</v>
      </c>
      <c r="D247" s="156">
        <v>-592127.99611136038</v>
      </c>
      <c r="E247" s="156">
        <v>0</v>
      </c>
      <c r="F247" s="156">
        <v>0</v>
      </c>
      <c r="G247" s="156">
        <v>0</v>
      </c>
      <c r="H247" s="440">
        <f t="shared" si="41"/>
        <v>436720.28087337327</v>
      </c>
      <c r="I247" s="156">
        <v>57954.816904761909</v>
      </c>
      <c r="J247" s="443">
        <f>'B) D RI'!U248</f>
        <v>56247.882400793642</v>
      </c>
      <c r="K247" s="67">
        <f t="shared" si="55"/>
        <v>7.5355303354860528</v>
      </c>
      <c r="L247" s="34">
        <f>'B) D RI'!S248</f>
        <v>72</v>
      </c>
      <c r="M247" s="34">
        <f t="shared" si="50"/>
        <v>64.464469664513942</v>
      </c>
      <c r="N247" s="34">
        <f>'J) Plafonnement effort'!G246+'J) Plafonnement effort'!H246-'K) Plafonnement aide'!I246</f>
        <v>-1.1844855296537951</v>
      </c>
      <c r="O247" s="34">
        <f t="shared" si="51"/>
        <v>63.279984134860143</v>
      </c>
      <c r="P247" s="48">
        <f t="shared" si="52"/>
        <v>0</v>
      </c>
      <c r="Q247" s="58">
        <f t="shared" si="56"/>
        <v>0</v>
      </c>
      <c r="R247" s="151">
        <f t="shared" si="53"/>
        <v>63.279984134860143</v>
      </c>
      <c r="S247" s="131">
        <f t="shared" si="54"/>
        <v>-8.7200158651398567</v>
      </c>
      <c r="T247" s="150">
        <f t="shared" si="42"/>
        <v>0</v>
      </c>
      <c r="V247" s="12"/>
    </row>
    <row r="248" spans="1:22" x14ac:dyDescent="0.25">
      <c r="A248" s="50">
        <f>'A) Base RI'!A249</f>
        <v>5817</v>
      </c>
      <c r="B248" s="437" t="str">
        <f>'A) Base RI'!B249</f>
        <v>Grandcour</v>
      </c>
      <c r="C248" s="156">
        <v>397309.38300139492</v>
      </c>
      <c r="D248" s="156">
        <v>-118702.59881457337</v>
      </c>
      <c r="E248" s="156">
        <v>0</v>
      </c>
      <c r="F248" s="156">
        <v>0</v>
      </c>
      <c r="G248" s="156">
        <v>0</v>
      </c>
      <c r="H248" s="440">
        <f t="shared" si="41"/>
        <v>278606.78418682155</v>
      </c>
      <c r="I248" s="156">
        <v>22248.358742138364</v>
      </c>
      <c r="J248" s="443">
        <f>'B) D RI'!U249</f>
        <v>23573.392337662339</v>
      </c>
      <c r="K248" s="67">
        <f t="shared" si="55"/>
        <v>12.522576942232627</v>
      </c>
      <c r="L248" s="34">
        <f>'B) D RI'!S249</f>
        <v>77</v>
      </c>
      <c r="M248" s="34">
        <f t="shared" si="50"/>
        <v>64.477423057767368</v>
      </c>
      <c r="N248" s="34">
        <f>'J) Plafonnement effort'!G247+'J) Plafonnement effort'!H247-'K) Plafonnement aide'!I247</f>
        <v>11.747136201553317</v>
      </c>
      <c r="O248" s="34">
        <f t="shared" si="51"/>
        <v>76.224559259320685</v>
      </c>
      <c r="P248" s="48">
        <f t="shared" si="52"/>
        <v>0</v>
      </c>
      <c r="Q248" s="58">
        <f t="shared" si="56"/>
        <v>0</v>
      </c>
      <c r="R248" s="151">
        <f t="shared" si="53"/>
        <v>76.224559259320685</v>
      </c>
      <c r="S248" s="131">
        <f t="shared" si="54"/>
        <v>-0.7754407406793149</v>
      </c>
      <c r="T248" s="150">
        <f t="shared" si="42"/>
        <v>0</v>
      </c>
      <c r="V248" s="12"/>
    </row>
    <row r="249" spans="1:22" x14ac:dyDescent="0.25">
      <c r="A249" s="50">
        <f>'A) Base RI'!A250</f>
        <v>5819</v>
      </c>
      <c r="B249" s="437" t="str">
        <f>'A) Base RI'!B250</f>
        <v>Henniez</v>
      </c>
      <c r="C249" s="156">
        <v>258546.23857148798</v>
      </c>
      <c r="D249" s="156">
        <v>216717.00619673473</v>
      </c>
      <c r="E249" s="156">
        <v>0</v>
      </c>
      <c r="F249" s="156">
        <v>0</v>
      </c>
      <c r="G249" s="156">
        <v>0</v>
      </c>
      <c r="H249" s="440">
        <f t="shared" si="41"/>
        <v>475263.24476822268</v>
      </c>
      <c r="I249" s="156">
        <v>14874.063333333332</v>
      </c>
      <c r="J249" s="443">
        <f>'B) D RI'!U250</f>
        <v>13558.497971014494</v>
      </c>
      <c r="K249" s="67">
        <f t="shared" si="55"/>
        <v>31.952482258371187</v>
      </c>
      <c r="L249" s="34">
        <f>'B) D RI'!S250</f>
        <v>69</v>
      </c>
      <c r="M249" s="34">
        <f t="shared" si="50"/>
        <v>37.047517741628809</v>
      </c>
      <c r="N249" s="34">
        <f>'J) Plafonnement effort'!G248+'J) Plafonnement effort'!H248-'K) Plafonnement aide'!I248</f>
        <v>26.146609072576098</v>
      </c>
      <c r="O249" s="34">
        <f t="shared" si="51"/>
        <v>63.194126814204907</v>
      </c>
      <c r="P249" s="48">
        <f t="shared" si="52"/>
        <v>0</v>
      </c>
      <c r="Q249" s="58">
        <f t="shared" si="56"/>
        <v>0</v>
      </c>
      <c r="R249" s="151">
        <f t="shared" si="53"/>
        <v>63.194126814204907</v>
      </c>
      <c r="S249" s="131">
        <f t="shared" si="54"/>
        <v>-5.8058731857950931</v>
      </c>
      <c r="T249" s="150">
        <f t="shared" si="42"/>
        <v>0</v>
      </c>
      <c r="V249" s="12"/>
    </row>
    <row r="250" spans="1:22" x14ac:dyDescent="0.25">
      <c r="A250" s="50">
        <f>'A) Base RI'!A251</f>
        <v>5821</v>
      </c>
      <c r="B250" s="437" t="str">
        <f>'A) Base RI'!B251</f>
        <v>Missy</v>
      </c>
      <c r="C250" s="156">
        <v>121378.18226160484</v>
      </c>
      <c r="D250" s="156">
        <v>-60846.249003961129</v>
      </c>
      <c r="E250" s="156">
        <v>0</v>
      </c>
      <c r="F250" s="156">
        <v>0</v>
      </c>
      <c r="G250" s="156">
        <v>0</v>
      </c>
      <c r="H250" s="440">
        <f t="shared" si="41"/>
        <v>60531.933257643715</v>
      </c>
      <c r="I250" s="156">
        <v>7639.0673611111124</v>
      </c>
      <c r="J250" s="443">
        <f>'B) D RI'!U251</f>
        <v>8603.5648611111101</v>
      </c>
      <c r="K250" s="67">
        <f t="shared" si="55"/>
        <v>7.9239952203850272</v>
      </c>
      <c r="L250" s="34">
        <f>'B) D RI'!S251</f>
        <v>72</v>
      </c>
      <c r="M250" s="34">
        <f t="shared" si="50"/>
        <v>64.076004779614976</v>
      </c>
      <c r="N250" s="34">
        <f>'J) Plafonnement effort'!G249+'J) Plafonnement effort'!H249-'K) Plafonnement aide'!I249</f>
        <v>9.9901307474409826</v>
      </c>
      <c r="O250" s="34">
        <f t="shared" si="51"/>
        <v>74.066135527055962</v>
      </c>
      <c r="P250" s="48">
        <f t="shared" si="52"/>
        <v>0</v>
      </c>
      <c r="Q250" s="58">
        <f t="shared" si="56"/>
        <v>0</v>
      </c>
      <c r="R250" s="151">
        <f t="shared" si="53"/>
        <v>74.066135527055962</v>
      </c>
      <c r="S250" s="131">
        <f t="shared" si="54"/>
        <v>2.0661355270559625</v>
      </c>
      <c r="T250" s="150">
        <f t="shared" si="42"/>
        <v>0</v>
      </c>
      <c r="V250" s="12"/>
    </row>
    <row r="251" spans="1:22" x14ac:dyDescent="0.25">
      <c r="A251" s="50">
        <f>'A) Base RI'!A252</f>
        <v>5822</v>
      </c>
      <c r="B251" s="437" t="str">
        <f>'A) Base RI'!B252</f>
        <v>Payerne</v>
      </c>
      <c r="C251" s="156">
        <v>4411743.234723418</v>
      </c>
      <c r="D251" s="156">
        <v>-4412099.8725093966</v>
      </c>
      <c r="E251" s="156">
        <v>0</v>
      </c>
      <c r="F251" s="156">
        <v>0</v>
      </c>
      <c r="G251" s="156">
        <v>0</v>
      </c>
      <c r="H251" s="440">
        <f t="shared" si="41"/>
        <v>-356.63778597861528</v>
      </c>
      <c r="I251" s="156">
        <v>246397.68826666669</v>
      </c>
      <c r="J251" s="443">
        <f>'B) D RI'!U252</f>
        <v>249319.03186666669</v>
      </c>
      <c r="K251" s="67">
        <f t="shared" si="55"/>
        <v>-1.4474071915505961E-3</v>
      </c>
      <c r="L251" s="34">
        <f>'B) D RI'!S252</f>
        <v>75</v>
      </c>
      <c r="M251" s="34">
        <f t="shared" si="50"/>
        <v>75.001447407191549</v>
      </c>
      <c r="N251" s="34">
        <f>'J) Plafonnement effort'!G250+'J) Plafonnement effort'!H250-'K) Plafonnement aide'!I250</f>
        <v>-6.2389373995969537</v>
      </c>
      <c r="O251" s="34">
        <f t="shared" si="51"/>
        <v>68.762510007594599</v>
      </c>
      <c r="P251" s="48">
        <f t="shared" si="52"/>
        <v>0</v>
      </c>
      <c r="Q251" s="58">
        <f t="shared" si="56"/>
        <v>0</v>
      </c>
      <c r="R251" s="151">
        <f t="shared" si="53"/>
        <v>68.762510007594599</v>
      </c>
      <c r="S251" s="131">
        <f t="shared" si="54"/>
        <v>-6.2374899924054006</v>
      </c>
      <c r="T251" s="150">
        <f t="shared" si="42"/>
        <v>0</v>
      </c>
      <c r="V251" s="12"/>
    </row>
    <row r="252" spans="1:22" x14ac:dyDescent="0.25">
      <c r="A252" s="50">
        <f>'A) Base RI'!A253</f>
        <v>5827</v>
      </c>
      <c r="B252" s="437" t="str">
        <f>'A) Base RI'!B253</f>
        <v>Trey</v>
      </c>
      <c r="C252" s="156">
        <v>116664.19303053818</v>
      </c>
      <c r="D252" s="156">
        <v>-35107.774741204878</v>
      </c>
      <c r="E252" s="156">
        <v>0</v>
      </c>
      <c r="F252" s="156">
        <v>0</v>
      </c>
      <c r="G252" s="156">
        <v>0</v>
      </c>
      <c r="H252" s="440">
        <f t="shared" si="41"/>
        <v>81556.418289333305</v>
      </c>
      <c r="I252" s="156">
        <v>6752.2672499999999</v>
      </c>
      <c r="J252" s="443">
        <f>'B) D RI'!U253</f>
        <v>7228.8600000000006</v>
      </c>
      <c r="K252" s="67">
        <f t="shared" si="55"/>
        <v>12.078375347085574</v>
      </c>
      <c r="L252" s="34">
        <f>'B) D RI'!S253</f>
        <v>80</v>
      </c>
      <c r="M252" s="34">
        <f t="shared" si="50"/>
        <v>67.921624652914431</v>
      </c>
      <c r="N252" s="34">
        <f>'J) Plafonnement effort'!G251+'J) Plafonnement effort'!H251-'K) Plafonnement aide'!I251</f>
        <v>8.6511186436956322</v>
      </c>
      <c r="O252" s="34">
        <f t="shared" si="51"/>
        <v>76.572743296610071</v>
      </c>
      <c r="P252" s="48">
        <f t="shared" si="52"/>
        <v>0</v>
      </c>
      <c r="Q252" s="58">
        <f t="shared" si="56"/>
        <v>0</v>
      </c>
      <c r="R252" s="151">
        <f t="shared" si="53"/>
        <v>76.572743296610071</v>
      </c>
      <c r="S252" s="131">
        <f t="shared" si="54"/>
        <v>-3.4272567033899293</v>
      </c>
      <c r="T252" s="150">
        <f t="shared" si="42"/>
        <v>0</v>
      </c>
      <c r="V252" s="12"/>
    </row>
    <row r="253" spans="1:22" x14ac:dyDescent="0.25">
      <c r="A253" s="50">
        <f>'A) Base RI'!A254</f>
        <v>5828</v>
      </c>
      <c r="B253" s="437" t="str">
        <f>'A) Base RI'!B254</f>
        <v>Treytorrens (Payerne)</v>
      </c>
      <c r="C253" s="156">
        <v>52259.784046705681</v>
      </c>
      <c r="D253" s="156">
        <v>-59091.487401289145</v>
      </c>
      <c r="E253" s="156">
        <v>0</v>
      </c>
      <c r="F253" s="156">
        <v>0</v>
      </c>
      <c r="G253" s="156">
        <v>0</v>
      </c>
      <c r="H253" s="440">
        <f t="shared" si="41"/>
        <v>-6831.7033545834638</v>
      </c>
      <c r="I253" s="156">
        <v>2280.7091269841271</v>
      </c>
      <c r="J253" s="443">
        <f>'B) D RI'!U254</f>
        <v>2672.2867063492063</v>
      </c>
      <c r="K253" s="67">
        <f t="shared" si="55"/>
        <v>-2.9954294801359866</v>
      </c>
      <c r="L253" s="34">
        <f>'B) D RI'!S254</f>
        <v>84</v>
      </c>
      <c r="M253" s="34">
        <f t="shared" si="50"/>
        <v>86.995429480135982</v>
      </c>
      <c r="N253" s="34">
        <f>'J) Plafonnement effort'!G252+'J) Plafonnement effort'!H252-'K) Plafonnement aide'!I252</f>
        <v>-7.7295974195120376</v>
      </c>
      <c r="O253" s="34">
        <f t="shared" si="51"/>
        <v>79.26583206062395</v>
      </c>
      <c r="P253" s="48">
        <f t="shared" si="52"/>
        <v>0</v>
      </c>
      <c r="Q253" s="58">
        <f t="shared" si="56"/>
        <v>0</v>
      </c>
      <c r="R253" s="151">
        <f t="shared" si="53"/>
        <v>79.26583206062395</v>
      </c>
      <c r="S253" s="131">
        <f t="shared" si="54"/>
        <v>-4.7341679393760501</v>
      </c>
      <c r="T253" s="150">
        <f t="shared" si="42"/>
        <v>0</v>
      </c>
      <c r="V253" s="12"/>
    </row>
    <row r="254" spans="1:22" x14ac:dyDescent="0.25">
      <c r="A254" s="50">
        <f>'A) Base RI'!A255</f>
        <v>5830</v>
      </c>
      <c r="B254" s="437" t="str">
        <f>'A) Base RI'!B255</f>
        <v>Villarzel</v>
      </c>
      <c r="C254" s="156">
        <v>189395.0059925564</v>
      </c>
      <c r="D254" s="156">
        <v>-48753.093109508394</v>
      </c>
      <c r="E254" s="156">
        <v>0</v>
      </c>
      <c r="F254" s="156">
        <v>0</v>
      </c>
      <c r="G254" s="156">
        <v>0</v>
      </c>
      <c r="H254" s="440">
        <f t="shared" si="41"/>
        <v>140641.912883048</v>
      </c>
      <c r="I254" s="156">
        <v>10522.833037974684</v>
      </c>
      <c r="J254" s="443">
        <f>'B) D RI'!U255</f>
        <v>12137.70417721519</v>
      </c>
      <c r="K254" s="67">
        <f t="shared" si="55"/>
        <v>13.365403820007504</v>
      </c>
      <c r="L254" s="34">
        <f>'B) D RI'!S255</f>
        <v>79</v>
      </c>
      <c r="M254" s="34">
        <f t="shared" si="50"/>
        <v>65.634596179992499</v>
      </c>
      <c r="N254" s="34">
        <f>'J) Plafonnement effort'!G253+'J) Plafonnement effort'!H253-'K) Plafonnement aide'!I253</f>
        <v>8.9882789785756358</v>
      </c>
      <c r="O254" s="34">
        <f t="shared" si="51"/>
        <v>74.622875158568135</v>
      </c>
      <c r="P254" s="48">
        <f t="shared" si="52"/>
        <v>0</v>
      </c>
      <c r="Q254" s="58">
        <f t="shared" si="56"/>
        <v>0</v>
      </c>
      <c r="R254" s="151">
        <f t="shared" si="53"/>
        <v>74.622875158568135</v>
      </c>
      <c r="S254" s="131">
        <f t="shared" si="54"/>
        <v>-4.3771248414318649</v>
      </c>
      <c r="T254" s="150">
        <f t="shared" si="42"/>
        <v>0</v>
      </c>
      <c r="V254" s="12"/>
    </row>
    <row r="255" spans="1:22" x14ac:dyDescent="0.25">
      <c r="A255" s="50">
        <f>'A) Base RI'!A256</f>
        <v>5831</v>
      </c>
      <c r="B255" s="437" t="str">
        <f>'A) Base RI'!B256</f>
        <v>Valbroye</v>
      </c>
      <c r="C255" s="156">
        <v>1577211.5950761423</v>
      </c>
      <c r="D255" s="156">
        <v>-400496.66268023802</v>
      </c>
      <c r="E255" s="156">
        <v>0</v>
      </c>
      <c r="F255" s="156">
        <v>0</v>
      </c>
      <c r="G255" s="156">
        <v>0</v>
      </c>
      <c r="H255" s="440">
        <f t="shared" si="41"/>
        <v>1176714.9323959043</v>
      </c>
      <c r="I255" s="156">
        <v>82821.588904109609</v>
      </c>
      <c r="J255" s="443">
        <f>'B) D RI'!U256</f>
        <v>85960.311415525095</v>
      </c>
      <c r="K255" s="67">
        <f>H255/I255</f>
        <v>14.207828513870925</v>
      </c>
      <c r="L255" s="34">
        <f>'B) D RI'!S256</f>
        <v>73</v>
      </c>
      <c r="M255" s="34">
        <f>L255-K255</f>
        <v>58.792171486129078</v>
      </c>
      <c r="N255" s="34">
        <f>'J) Plafonnement effort'!G254+'J) Plafonnement effort'!H254-'K) Plafonnement aide'!I254</f>
        <v>5.4145096071807846</v>
      </c>
      <c r="O255" s="34">
        <f>M255+N255</f>
        <v>64.206681093309868</v>
      </c>
      <c r="P255" s="48">
        <f t="shared" si="52"/>
        <v>0</v>
      </c>
      <c r="Q255" s="58">
        <f>P255*J255</f>
        <v>0</v>
      </c>
      <c r="R255" s="151">
        <f>O255+P255</f>
        <v>64.206681093309868</v>
      </c>
      <c r="S255" s="131">
        <f>R255-L255</f>
        <v>-8.7933189066901321</v>
      </c>
      <c r="T255" s="150">
        <f t="shared" si="42"/>
        <v>0</v>
      </c>
      <c r="V255" s="12"/>
    </row>
    <row r="256" spans="1:22" x14ac:dyDescent="0.25">
      <c r="A256" s="50">
        <f>'A) Base RI'!A257</f>
        <v>5841</v>
      </c>
      <c r="B256" s="437" t="str">
        <f>'A) Base RI'!B257</f>
        <v>Château-d'Oex</v>
      </c>
      <c r="C256" s="156">
        <v>2258793.9366498915</v>
      </c>
      <c r="D256" s="156">
        <v>-47808.743026686599</v>
      </c>
      <c r="E256" s="156">
        <v>0</v>
      </c>
      <c r="F256" s="156">
        <v>0</v>
      </c>
      <c r="G256" s="156">
        <v>0</v>
      </c>
      <c r="H256" s="440">
        <f t="shared" si="41"/>
        <v>2210985.1936232047</v>
      </c>
      <c r="I256" s="156">
        <v>112619.72</v>
      </c>
      <c r="J256" s="443">
        <f>'B) D RI'!U257</f>
        <v>118196.91686746987</v>
      </c>
      <c r="K256" s="67">
        <f>H256/I256</f>
        <v>19.632309453648123</v>
      </c>
      <c r="L256" s="34">
        <f>'B) D RI'!S257</f>
        <v>83</v>
      </c>
      <c r="M256" s="34">
        <f>L256-K256</f>
        <v>63.367690546351881</v>
      </c>
      <c r="N256" s="34">
        <f>'J) Plafonnement effort'!G255+'J) Plafonnement effort'!H255-'K) Plafonnement aide'!I255</f>
        <v>5.2322679518967199</v>
      </c>
      <c r="O256" s="34">
        <f>M256+N256</f>
        <v>68.599958498248597</v>
      </c>
      <c r="P256" s="48">
        <f t="shared" si="52"/>
        <v>0</v>
      </c>
      <c r="Q256" s="58">
        <f>P256*J256</f>
        <v>0</v>
      </c>
      <c r="R256" s="151">
        <f>O256+P256</f>
        <v>68.599958498248597</v>
      </c>
      <c r="S256" s="131">
        <f>R256-L256</f>
        <v>-14.400041501751403</v>
      </c>
      <c r="T256" s="150">
        <f t="shared" si="42"/>
        <v>0</v>
      </c>
      <c r="V256" s="12"/>
    </row>
    <row r="257" spans="1:22" x14ac:dyDescent="0.25">
      <c r="A257" s="50">
        <f>'A) Base RI'!A258</f>
        <v>5842</v>
      </c>
      <c r="B257" s="437" t="str">
        <f>'A) Base RI'!B258</f>
        <v>Rossinière</v>
      </c>
      <c r="C257" s="156">
        <v>231191.31582834601</v>
      </c>
      <c r="D257" s="156">
        <v>-131630.13707244745</v>
      </c>
      <c r="E257" s="156">
        <v>0</v>
      </c>
      <c r="F257" s="156">
        <v>0</v>
      </c>
      <c r="G257" s="156">
        <v>0</v>
      </c>
      <c r="H257" s="440">
        <f t="shared" si="41"/>
        <v>99561.178755898552</v>
      </c>
      <c r="I257" s="156">
        <v>12532.166460905351</v>
      </c>
      <c r="J257" s="443">
        <f>'B) D RI'!U258</f>
        <v>16178.883744855966</v>
      </c>
      <c r="K257" s="67">
        <f t="shared" si="55"/>
        <v>7.9444507114140288</v>
      </c>
      <c r="L257" s="34">
        <f>'B) D RI'!S258</f>
        <v>81</v>
      </c>
      <c r="M257" s="34">
        <f t="shared" si="50"/>
        <v>73.055549288585965</v>
      </c>
      <c r="N257" s="34">
        <f>'J) Plafonnement effort'!G256+'J) Plafonnement effort'!H256-'K) Plafonnement aide'!I256</f>
        <v>10.260992558596742</v>
      </c>
      <c r="O257" s="34">
        <f t="shared" si="51"/>
        <v>83.316541847182705</v>
      </c>
      <c r="P257" s="48">
        <f t="shared" si="52"/>
        <v>0</v>
      </c>
      <c r="Q257" s="58">
        <f t="shared" si="56"/>
        <v>0</v>
      </c>
      <c r="R257" s="151">
        <f t="shared" si="53"/>
        <v>83.316541847182705</v>
      </c>
      <c r="S257" s="131">
        <f t="shared" si="54"/>
        <v>2.3165418471827053</v>
      </c>
      <c r="T257" s="150">
        <f t="shared" si="42"/>
        <v>0</v>
      </c>
      <c r="V257" s="12"/>
    </row>
    <row r="258" spans="1:22" x14ac:dyDescent="0.25">
      <c r="A258" s="50">
        <f>'A) Base RI'!A259</f>
        <v>5843</v>
      </c>
      <c r="B258" s="437" t="str">
        <f>'A) Base RI'!B259</f>
        <v>Rougemont</v>
      </c>
      <c r="C258" s="156">
        <v>2909434.7932680594</v>
      </c>
      <c r="D258" s="156">
        <v>1330038.24387311</v>
      </c>
      <c r="E258" s="156">
        <v>0</v>
      </c>
      <c r="F258" s="156">
        <v>0</v>
      </c>
      <c r="G258" s="156">
        <v>0</v>
      </c>
      <c r="H258" s="440">
        <f t="shared" si="41"/>
        <v>4239473.0371411694</v>
      </c>
      <c r="I258" s="156">
        <v>87898.663243243253</v>
      </c>
      <c r="J258" s="443">
        <f>'B) D RI'!U259</f>
        <v>96518.030855855861</v>
      </c>
      <c r="K258" s="67">
        <f t="shared" si="55"/>
        <v>48.231370998318987</v>
      </c>
      <c r="L258" s="34">
        <f>'B) D RI'!S259</f>
        <v>74</v>
      </c>
      <c r="M258" s="34">
        <f t="shared" si="50"/>
        <v>25.768629001681013</v>
      </c>
      <c r="N258" s="34">
        <f>'J) Plafonnement effort'!G257+'J) Plafonnement effort'!H257-'K) Plafonnement aide'!I257</f>
        <v>45</v>
      </c>
      <c r="O258" s="34">
        <f t="shared" si="51"/>
        <v>70.768629001681006</v>
      </c>
      <c r="P258" s="48">
        <f t="shared" si="52"/>
        <v>0</v>
      </c>
      <c r="Q258" s="58">
        <f t="shared" si="56"/>
        <v>0</v>
      </c>
      <c r="R258" s="151">
        <f t="shared" si="53"/>
        <v>70.768629001681006</v>
      </c>
      <c r="S258" s="131">
        <f t="shared" si="54"/>
        <v>-3.2313709983189938</v>
      </c>
      <c r="T258" s="150">
        <f t="shared" si="42"/>
        <v>0</v>
      </c>
      <c r="V258" s="12"/>
    </row>
    <row r="259" spans="1:22" x14ac:dyDescent="0.25">
      <c r="A259" s="50">
        <f>'A) Base RI'!A260</f>
        <v>5851</v>
      </c>
      <c r="B259" s="437" t="str">
        <f>'A) Base RI'!B260</f>
        <v>Allaman</v>
      </c>
      <c r="C259" s="156">
        <v>549256.64069992374</v>
      </c>
      <c r="D259" s="156">
        <v>467975.44367501611</v>
      </c>
      <c r="E259" s="156">
        <v>0</v>
      </c>
      <c r="F259" s="156">
        <v>0</v>
      </c>
      <c r="G259" s="156">
        <v>0</v>
      </c>
      <c r="H259" s="440">
        <f t="shared" si="41"/>
        <v>1017232.0843749398</v>
      </c>
      <c r="I259" s="156">
        <v>28628.932741935481</v>
      </c>
      <c r="J259" s="443">
        <f>'B) D RI'!U260</f>
        <v>29511.189985337249</v>
      </c>
      <c r="K259" s="67">
        <f t="shared" si="55"/>
        <v>35.531610400722506</v>
      </c>
      <c r="L259" s="34">
        <f>'B) D RI'!S260</f>
        <v>62</v>
      </c>
      <c r="M259" s="34">
        <f t="shared" si="50"/>
        <v>26.468389599277494</v>
      </c>
      <c r="N259" s="34">
        <f>'J) Plafonnement effort'!G258+'J) Plafonnement effort'!H258-'K) Plafonnement aide'!I258</f>
        <v>44.768869336392726</v>
      </c>
      <c r="O259" s="34">
        <f t="shared" si="51"/>
        <v>71.237258935670212</v>
      </c>
      <c r="P259" s="48">
        <f t="shared" si="52"/>
        <v>0</v>
      </c>
      <c r="Q259" s="58">
        <f t="shared" si="56"/>
        <v>0</v>
      </c>
      <c r="R259" s="151">
        <f t="shared" si="53"/>
        <v>71.237258935670212</v>
      </c>
      <c r="S259" s="131">
        <f t="shared" si="54"/>
        <v>9.2372589356702122</v>
      </c>
      <c r="T259" s="150">
        <f t="shared" si="42"/>
        <v>0</v>
      </c>
      <c r="V259" s="12"/>
    </row>
    <row r="260" spans="1:22" x14ac:dyDescent="0.25">
      <c r="A260" s="50">
        <f>'A) Base RI'!A261</f>
        <v>5852</v>
      </c>
      <c r="B260" s="437" t="str">
        <f>'A) Base RI'!B261</f>
        <v>Bursinel</v>
      </c>
      <c r="C260" s="156">
        <v>2344579.778131438</v>
      </c>
      <c r="D260" s="156">
        <v>612324.68058202066</v>
      </c>
      <c r="E260" s="156">
        <v>0</v>
      </c>
      <c r="F260" s="156">
        <v>-746473.90988343093</v>
      </c>
      <c r="G260" s="156">
        <v>0</v>
      </c>
      <c r="H260" s="440">
        <f t="shared" si="41"/>
        <v>2210430.5488300277</v>
      </c>
      <c r="I260" s="156">
        <v>38777.824427480911</v>
      </c>
      <c r="J260" s="443">
        <f>'B) D RI'!U261</f>
        <v>39767.165954198477</v>
      </c>
      <c r="K260" s="67">
        <f t="shared" si="55"/>
        <v>57.002438415899078</v>
      </c>
      <c r="L260" s="34">
        <f>'B) D RI'!S261</f>
        <v>65.5</v>
      </c>
      <c r="M260" s="34">
        <f t="shared" si="50"/>
        <v>8.4975615841009216</v>
      </c>
      <c r="N260" s="34">
        <f>'J) Plafonnement effort'!G259+'J) Plafonnement effort'!H259-'K) Plafonnement aide'!I259</f>
        <v>43.235655770095448</v>
      </c>
      <c r="O260" s="34">
        <f t="shared" si="51"/>
        <v>51.73321735419637</v>
      </c>
      <c r="P260" s="48">
        <f t="shared" si="52"/>
        <v>0</v>
      </c>
      <c r="Q260" s="58">
        <f t="shared" si="56"/>
        <v>0</v>
      </c>
      <c r="R260" s="151">
        <f t="shared" si="53"/>
        <v>51.73321735419637</v>
      </c>
      <c r="S260" s="131">
        <f t="shared" si="54"/>
        <v>-13.76678264580363</v>
      </c>
      <c r="T260" s="150">
        <f t="shared" si="42"/>
        <v>0</v>
      </c>
      <c r="V260" s="12"/>
    </row>
    <row r="261" spans="1:22" x14ac:dyDescent="0.25">
      <c r="A261" s="50">
        <f>'A) Base RI'!A262</f>
        <v>5853</v>
      </c>
      <c r="B261" s="437" t="str">
        <f>'A) Base RI'!B262</f>
        <v>Bursins</v>
      </c>
      <c r="C261" s="156">
        <v>694536.66913378134</v>
      </c>
      <c r="D261" s="156">
        <v>594372.70768196043</v>
      </c>
      <c r="E261" s="156">
        <v>0</v>
      </c>
      <c r="F261" s="156">
        <v>0</v>
      </c>
      <c r="G261" s="156">
        <v>0</v>
      </c>
      <c r="H261" s="440">
        <f t="shared" si="41"/>
        <v>1288909.3768157419</v>
      </c>
      <c r="I261" s="156">
        <v>36130.042112676056</v>
      </c>
      <c r="J261" s="443">
        <f>'B) D RI'!U262</f>
        <v>36845.197464788725</v>
      </c>
      <c r="K261" s="67">
        <f t="shared" si="55"/>
        <v>35.674173110457964</v>
      </c>
      <c r="L261" s="34">
        <f>'B) D RI'!S262</f>
        <v>71</v>
      </c>
      <c r="M261" s="34">
        <f t="shared" si="50"/>
        <v>35.325826889542036</v>
      </c>
      <c r="N261" s="34">
        <f>'J) Plafonnement effort'!G260+'J) Plafonnement effort'!H260-'K) Plafonnement aide'!I260</f>
        <v>35.197094050863981</v>
      </c>
      <c r="O261" s="34">
        <f t="shared" si="51"/>
        <v>70.52292094040601</v>
      </c>
      <c r="P261" s="48">
        <f t="shared" si="52"/>
        <v>0</v>
      </c>
      <c r="Q261" s="58">
        <f t="shared" si="56"/>
        <v>0</v>
      </c>
      <c r="R261" s="151">
        <f t="shared" si="53"/>
        <v>70.52292094040601</v>
      </c>
      <c r="S261" s="131">
        <f t="shared" si="54"/>
        <v>-0.47707905959399</v>
      </c>
      <c r="T261" s="150">
        <f t="shared" si="42"/>
        <v>0</v>
      </c>
      <c r="V261" s="12"/>
    </row>
    <row r="262" spans="1:22" x14ac:dyDescent="0.25">
      <c r="A262" s="50">
        <f>'A) Base RI'!A263</f>
        <v>5854</v>
      </c>
      <c r="B262" s="437" t="str">
        <f>'A) Base RI'!B263</f>
        <v>Burtigny</v>
      </c>
      <c r="C262" s="156">
        <v>222075.7620058399</v>
      </c>
      <c r="D262" s="156">
        <v>359.81040140919504</v>
      </c>
      <c r="E262" s="156">
        <v>0</v>
      </c>
      <c r="F262" s="156">
        <v>0</v>
      </c>
      <c r="G262" s="156">
        <v>0</v>
      </c>
      <c r="H262" s="440">
        <f t="shared" si="41"/>
        <v>222435.5724072491</v>
      </c>
      <c r="I262" s="156">
        <v>10180.844041666667</v>
      </c>
      <c r="J262" s="443">
        <f>'B) D RI'!U263</f>
        <v>15320.932833333329</v>
      </c>
      <c r="K262" s="67">
        <f t="shared" si="55"/>
        <v>21.84844119965863</v>
      </c>
      <c r="L262" s="34">
        <f>'B) D RI'!S263</f>
        <v>80</v>
      </c>
      <c r="M262" s="34">
        <f t="shared" ref="M262:M291" si="58">L262-K262</f>
        <v>58.15155880034137</v>
      </c>
      <c r="N262" s="34">
        <f>'J) Plafonnement effort'!G261+'J) Plafonnement effort'!H261-'K) Plafonnement aide'!I261</f>
        <v>33.873764743599622</v>
      </c>
      <c r="O262" s="34">
        <f t="shared" ref="O262:O314" si="59">M262+N262</f>
        <v>92.025323543940999</v>
      </c>
      <c r="P262" s="48">
        <f t="shared" ref="P262:P314" si="60">IF(O262&gt;$P$5,$P$5-O262,0)</f>
        <v>0</v>
      </c>
      <c r="Q262" s="58">
        <f t="shared" si="56"/>
        <v>0</v>
      </c>
      <c r="R262" s="151">
        <f t="shared" ref="R262:R314" si="61">O262+P262</f>
        <v>92.025323543940999</v>
      </c>
      <c r="S262" s="131">
        <f t="shared" ref="S262:S314" si="62">R262-L262</f>
        <v>12.025323543940999</v>
      </c>
      <c r="T262" s="150">
        <f t="shared" si="42"/>
        <v>0</v>
      </c>
      <c r="V262" s="12"/>
    </row>
    <row r="263" spans="1:22" x14ac:dyDescent="0.25">
      <c r="A263" s="50">
        <f>'A) Base RI'!A264</f>
        <v>5855</v>
      </c>
      <c r="B263" s="437" t="str">
        <f>'A) Base RI'!B264</f>
        <v>Dully</v>
      </c>
      <c r="C263" s="156">
        <v>2084153.716862442</v>
      </c>
      <c r="D263" s="156">
        <v>1137311.8417564367</v>
      </c>
      <c r="E263" s="156">
        <v>0</v>
      </c>
      <c r="F263" s="156">
        <v>0</v>
      </c>
      <c r="G263" s="156">
        <v>0</v>
      </c>
      <c r="H263" s="440">
        <f t="shared" ref="H263:H314" si="63">SUM(C263:G263)</f>
        <v>3221465.5586188789</v>
      </c>
      <c r="I263" s="156">
        <v>78426.610408163266</v>
      </c>
      <c r="J263" s="443">
        <f>'B) D RI'!U264</f>
        <v>91198.462040816317</v>
      </c>
      <c r="K263" s="67">
        <f t="shared" si="55"/>
        <v>41.076179906961315</v>
      </c>
      <c r="L263" s="34">
        <f>'B) D RI'!S264</f>
        <v>49</v>
      </c>
      <c r="M263" s="34">
        <f t="shared" si="58"/>
        <v>7.9238200930386853</v>
      </c>
      <c r="N263" s="34">
        <f>'J) Plafonnement effort'!G262+'J) Plafonnement effort'!H262-'K) Plafonnement aide'!I262</f>
        <v>45</v>
      </c>
      <c r="O263" s="34">
        <f t="shared" si="59"/>
        <v>52.923820093038685</v>
      </c>
      <c r="P263" s="48">
        <f t="shared" si="60"/>
        <v>0</v>
      </c>
      <c r="Q263" s="58">
        <f t="shared" si="56"/>
        <v>0</v>
      </c>
      <c r="R263" s="151">
        <f t="shared" si="61"/>
        <v>52.923820093038685</v>
      </c>
      <c r="S263" s="131">
        <f t="shared" si="62"/>
        <v>3.9238200930386853</v>
      </c>
      <c r="T263" s="150">
        <f t="shared" ref="T263:T314" si="64">+C263+D263+E263+F263+G263-H263</f>
        <v>0</v>
      </c>
      <c r="V263" s="12"/>
    </row>
    <row r="264" spans="1:22" x14ac:dyDescent="0.25">
      <c r="A264" s="50">
        <f>'A) Base RI'!A265</f>
        <v>5856</v>
      </c>
      <c r="B264" s="437" t="str">
        <f>'A) Base RI'!B265</f>
        <v>Essertines-sur-Rolle</v>
      </c>
      <c r="C264" s="156">
        <v>675911.81201400934</v>
      </c>
      <c r="D264" s="156">
        <v>566406.83446698543</v>
      </c>
      <c r="E264" s="156">
        <v>0</v>
      </c>
      <c r="F264" s="156">
        <v>0</v>
      </c>
      <c r="G264" s="156">
        <v>0</v>
      </c>
      <c r="H264" s="440">
        <f t="shared" si="63"/>
        <v>1242318.6464809948</v>
      </c>
      <c r="I264" s="156">
        <v>34355.55787330318</v>
      </c>
      <c r="J264" s="443">
        <f>'B) D RI'!U265</f>
        <v>37425.966018099534</v>
      </c>
      <c r="K264" s="67">
        <f t="shared" si="55"/>
        <v>36.160630866843491</v>
      </c>
      <c r="L264" s="34">
        <f>'B) D RI'!S265</f>
        <v>68</v>
      </c>
      <c r="M264" s="34">
        <f t="shared" si="58"/>
        <v>31.839369133156509</v>
      </c>
      <c r="N264" s="34">
        <f>'J) Plafonnement effort'!G263+'J) Plafonnement effort'!H263-'K) Plafonnement aide'!I263</f>
        <v>36.534631077673183</v>
      </c>
      <c r="O264" s="34">
        <f t="shared" si="59"/>
        <v>68.374000210829692</v>
      </c>
      <c r="P264" s="48">
        <f t="shared" si="60"/>
        <v>0</v>
      </c>
      <c r="Q264" s="58">
        <f t="shared" si="56"/>
        <v>0</v>
      </c>
      <c r="R264" s="151">
        <f t="shared" si="61"/>
        <v>68.374000210829692</v>
      </c>
      <c r="S264" s="131">
        <f t="shared" si="62"/>
        <v>0.37400021082969204</v>
      </c>
      <c r="T264" s="150">
        <f t="shared" si="64"/>
        <v>0</v>
      </c>
      <c r="V264" s="12"/>
    </row>
    <row r="265" spans="1:22" x14ac:dyDescent="0.25">
      <c r="A265" s="50">
        <f>'A) Base RI'!A266</f>
        <v>5857</v>
      </c>
      <c r="B265" s="437" t="str">
        <f>'A) Base RI'!B266</f>
        <v>Gilly</v>
      </c>
      <c r="C265" s="156">
        <v>1524335.2528728312</v>
      </c>
      <c r="D265" s="156">
        <v>1199421.1275816322</v>
      </c>
      <c r="E265" s="156">
        <v>0</v>
      </c>
      <c r="F265" s="156">
        <v>0</v>
      </c>
      <c r="G265" s="156">
        <v>0</v>
      </c>
      <c r="H265" s="440">
        <f t="shared" si="63"/>
        <v>2723756.3804544634</v>
      </c>
      <c r="I265" s="156">
        <v>76893.262272727268</v>
      </c>
      <c r="J265" s="443">
        <f>'B) D RI'!U266</f>
        <v>89905.642121212135</v>
      </c>
      <c r="K265" s="67">
        <f t="shared" si="55"/>
        <v>35.42256239296708</v>
      </c>
      <c r="L265" s="34">
        <f>'B) D RI'!S266</f>
        <v>66</v>
      </c>
      <c r="M265" s="34">
        <f t="shared" si="58"/>
        <v>30.57743760703292</v>
      </c>
      <c r="N265" s="34">
        <f>'J) Plafonnement effort'!G264+'J) Plafonnement effort'!H264-'K) Plafonnement aide'!I264</f>
        <v>36.755929023944766</v>
      </c>
      <c r="O265" s="34">
        <f t="shared" si="59"/>
        <v>67.333366630977679</v>
      </c>
      <c r="P265" s="48">
        <f t="shared" si="60"/>
        <v>0</v>
      </c>
      <c r="Q265" s="58">
        <f t="shared" si="56"/>
        <v>0</v>
      </c>
      <c r="R265" s="151">
        <f t="shared" si="61"/>
        <v>67.333366630977679</v>
      </c>
      <c r="S265" s="131">
        <f t="shared" si="62"/>
        <v>1.3333666309776788</v>
      </c>
      <c r="T265" s="150">
        <f t="shared" si="64"/>
        <v>0</v>
      </c>
      <c r="V265" s="12"/>
    </row>
    <row r="266" spans="1:22" x14ac:dyDescent="0.25">
      <c r="A266" s="50">
        <f>'A) Base RI'!A267</f>
        <v>5858</v>
      </c>
      <c r="B266" s="437" t="str">
        <f>'A) Base RI'!B267</f>
        <v>Luins</v>
      </c>
      <c r="C266" s="156">
        <v>577926.26690094743</v>
      </c>
      <c r="D266" s="156">
        <v>570841.88569599763</v>
      </c>
      <c r="E266" s="156">
        <v>0</v>
      </c>
      <c r="F266" s="156">
        <v>0</v>
      </c>
      <c r="G266" s="156">
        <v>0</v>
      </c>
      <c r="H266" s="440">
        <f t="shared" si="63"/>
        <v>1148768.1525969449</v>
      </c>
      <c r="I266" s="156">
        <v>34234.109777777776</v>
      </c>
      <c r="J266" s="443">
        <f>'B) D RI'!U267</f>
        <v>43824.152277777779</v>
      </c>
      <c r="K266" s="67">
        <f t="shared" ref="K266:K314" si="65">H266/I266</f>
        <v>33.556244343839758</v>
      </c>
      <c r="L266" s="34">
        <f>'B) D RI'!S267</f>
        <v>60</v>
      </c>
      <c r="M266" s="34">
        <f t="shared" si="58"/>
        <v>26.443755656160242</v>
      </c>
      <c r="N266" s="34">
        <f>'J) Plafonnement effort'!G265+'J) Plafonnement effort'!H265-'K) Plafonnement aide'!I265</f>
        <v>37.897993517610679</v>
      </c>
      <c r="O266" s="34">
        <f t="shared" si="59"/>
        <v>64.341749173770921</v>
      </c>
      <c r="P266" s="48">
        <f t="shared" si="60"/>
        <v>0</v>
      </c>
      <c r="Q266" s="58">
        <f t="shared" si="56"/>
        <v>0</v>
      </c>
      <c r="R266" s="151">
        <f t="shared" si="61"/>
        <v>64.341749173770921</v>
      </c>
      <c r="S266" s="131">
        <f t="shared" si="62"/>
        <v>4.3417491737709213</v>
      </c>
      <c r="T266" s="150">
        <f t="shared" si="64"/>
        <v>0</v>
      </c>
      <c r="V266" s="12"/>
    </row>
    <row r="267" spans="1:22" x14ac:dyDescent="0.25">
      <c r="A267" s="50">
        <f>'A) Base RI'!A268</f>
        <v>5859</v>
      </c>
      <c r="B267" s="437" t="str">
        <f>'A) Base RI'!B268</f>
        <v>Mont-sur-Rolle</v>
      </c>
      <c r="C267" s="156">
        <v>2656389.0476101865</v>
      </c>
      <c r="D267" s="156">
        <v>1843857.0459612901</v>
      </c>
      <c r="E267" s="156">
        <v>0</v>
      </c>
      <c r="F267" s="156">
        <v>0</v>
      </c>
      <c r="G267" s="156">
        <v>0</v>
      </c>
      <c r="H267" s="440">
        <f t="shared" si="63"/>
        <v>4500246.0935714766</v>
      </c>
      <c r="I267" s="156">
        <v>136889.24374999999</v>
      </c>
      <c r="J267" s="443">
        <f>'B) D RI'!U268</f>
        <v>142920.65553846155</v>
      </c>
      <c r="K267" s="67">
        <f t="shared" si="65"/>
        <v>32.875089161791621</v>
      </c>
      <c r="L267" s="34">
        <f>'B) D RI'!S268</f>
        <v>65</v>
      </c>
      <c r="M267" s="34">
        <f t="shared" si="58"/>
        <v>32.124910838208379</v>
      </c>
      <c r="N267" s="34">
        <f>'J) Plafonnement effort'!G266+'J) Plafonnement effort'!H266-'K) Plafonnement aide'!I266</f>
        <v>30.69021212030114</v>
      </c>
      <c r="O267" s="34">
        <f t="shared" si="59"/>
        <v>62.815122958509519</v>
      </c>
      <c r="P267" s="48">
        <f t="shared" si="60"/>
        <v>0</v>
      </c>
      <c r="Q267" s="58">
        <f t="shared" ref="Q267:Q314" si="66">P267*J267</f>
        <v>0</v>
      </c>
      <c r="R267" s="151">
        <f t="shared" si="61"/>
        <v>62.815122958509519</v>
      </c>
      <c r="S267" s="131">
        <f t="shared" si="62"/>
        <v>-2.1848770414904806</v>
      </c>
      <c r="T267" s="150">
        <f t="shared" si="64"/>
        <v>0</v>
      </c>
      <c r="V267" s="12"/>
    </row>
    <row r="268" spans="1:22" x14ac:dyDescent="0.25">
      <c r="A268" s="50">
        <f>'A) Base RI'!A269</f>
        <v>5860</v>
      </c>
      <c r="B268" s="437" t="str">
        <f>'A) Base RI'!B269</f>
        <v>Perroy</v>
      </c>
      <c r="C268" s="156">
        <v>1690277.1915649003</v>
      </c>
      <c r="D268" s="156">
        <v>1331532.1701616733</v>
      </c>
      <c r="E268" s="156">
        <v>0</v>
      </c>
      <c r="F268" s="156">
        <v>0</v>
      </c>
      <c r="G268" s="156">
        <v>0</v>
      </c>
      <c r="H268" s="440">
        <f t="shared" si="63"/>
        <v>3021809.3617265737</v>
      </c>
      <c r="I268" s="156">
        <v>87860.762038461558</v>
      </c>
      <c r="J268" s="443">
        <f>'B) D RI'!U269</f>
        <v>95739.614192307679</v>
      </c>
      <c r="K268" s="67">
        <f t="shared" si="65"/>
        <v>34.393161311345779</v>
      </c>
      <c r="L268" s="34">
        <f>'B) D RI'!S269</f>
        <v>60</v>
      </c>
      <c r="M268" s="34">
        <f t="shared" si="58"/>
        <v>25.606838688654221</v>
      </c>
      <c r="N268" s="34">
        <f>'J) Plafonnement effort'!G267+'J) Plafonnement effort'!H267-'K) Plafonnement aide'!I267</f>
        <v>38.044456767900527</v>
      </c>
      <c r="O268" s="34">
        <f t="shared" si="59"/>
        <v>63.651295456554749</v>
      </c>
      <c r="P268" s="48">
        <f t="shared" si="60"/>
        <v>0</v>
      </c>
      <c r="Q268" s="58">
        <f t="shared" si="66"/>
        <v>0</v>
      </c>
      <c r="R268" s="151">
        <f t="shared" si="61"/>
        <v>63.651295456554749</v>
      </c>
      <c r="S268" s="131">
        <f t="shared" si="62"/>
        <v>3.6512954565547489</v>
      </c>
      <c r="T268" s="150">
        <f t="shared" si="64"/>
        <v>0</v>
      </c>
      <c r="V268" s="12"/>
    </row>
    <row r="269" spans="1:22" x14ac:dyDescent="0.25">
      <c r="A269" s="50">
        <f>'A) Base RI'!A270</f>
        <v>5861</v>
      </c>
      <c r="B269" s="437" t="str">
        <f>'A) Base RI'!B270</f>
        <v>Rolle</v>
      </c>
      <c r="C269" s="156">
        <v>24962418.042191312</v>
      </c>
      <c r="D269" s="156">
        <v>9893345.9531137645</v>
      </c>
      <c r="E269" s="156">
        <v>0</v>
      </c>
      <c r="F269" s="156">
        <v>0</v>
      </c>
      <c r="G269" s="156">
        <v>0</v>
      </c>
      <c r="H269" s="440">
        <f t="shared" si="63"/>
        <v>34855763.995305076</v>
      </c>
      <c r="I269" s="156">
        <v>824107.17394957971</v>
      </c>
      <c r="J269" s="443">
        <f>'B) D RI'!U270</f>
        <v>654027.21747899149</v>
      </c>
      <c r="K269" s="67">
        <f t="shared" si="65"/>
        <v>42.295183317306751</v>
      </c>
      <c r="L269" s="34">
        <f>'B) D RI'!S270</f>
        <v>59.5</v>
      </c>
      <c r="M269" s="34">
        <f t="shared" si="58"/>
        <v>17.204816682693249</v>
      </c>
      <c r="N269" s="34">
        <f>'J) Plafonnement effort'!G268+'J) Plafonnement effort'!H268-'K) Plafonnement aide'!I268</f>
        <v>40.409308476457753</v>
      </c>
      <c r="O269" s="34">
        <f t="shared" si="59"/>
        <v>57.614125159151001</v>
      </c>
      <c r="P269" s="48">
        <f t="shared" si="60"/>
        <v>0</v>
      </c>
      <c r="Q269" s="58">
        <f t="shared" si="66"/>
        <v>0</v>
      </c>
      <c r="R269" s="151">
        <f t="shared" si="61"/>
        <v>57.614125159151001</v>
      </c>
      <c r="S269" s="131">
        <f t="shared" si="62"/>
        <v>-1.8858748408489987</v>
      </c>
      <c r="T269" s="150">
        <f t="shared" si="64"/>
        <v>0</v>
      </c>
      <c r="V269" s="12"/>
    </row>
    <row r="270" spans="1:22" x14ac:dyDescent="0.25">
      <c r="A270" s="50">
        <f>'A) Base RI'!A271</f>
        <v>5862</v>
      </c>
      <c r="B270" s="437" t="str">
        <f>'A) Base RI'!B271</f>
        <v>Tartegnin</v>
      </c>
      <c r="C270" s="156">
        <v>232523.04855051017</v>
      </c>
      <c r="D270" s="156">
        <v>173310.40312015859</v>
      </c>
      <c r="E270" s="156">
        <v>0</v>
      </c>
      <c r="F270" s="156">
        <v>0</v>
      </c>
      <c r="G270" s="156">
        <v>-6324.0122778541308</v>
      </c>
      <c r="H270" s="440">
        <f t="shared" si="63"/>
        <v>399509.43939281465</v>
      </c>
      <c r="I270" s="156">
        <v>10629.942633744855</v>
      </c>
      <c r="J270" s="443">
        <f>'B) D RI'!U271</f>
        <v>12310.23827160494</v>
      </c>
      <c r="K270" s="67">
        <f t="shared" si="65"/>
        <v>37.583405024648776</v>
      </c>
      <c r="L270" s="34">
        <f>'B) D RI'!S271</f>
        <v>81</v>
      </c>
      <c r="M270" s="34">
        <f t="shared" si="58"/>
        <v>43.416594975351224</v>
      </c>
      <c r="N270" s="34">
        <f>'J) Plafonnement effort'!G269+'J) Plafonnement effort'!H269-'K) Plafonnement aide'!I269</f>
        <v>33.604839194229513</v>
      </c>
      <c r="O270" s="34">
        <f t="shared" si="59"/>
        <v>77.021434169580743</v>
      </c>
      <c r="P270" s="48">
        <f t="shared" si="60"/>
        <v>0</v>
      </c>
      <c r="Q270" s="58">
        <f t="shared" si="66"/>
        <v>0</v>
      </c>
      <c r="R270" s="151">
        <f t="shared" si="61"/>
        <v>77.021434169580743</v>
      </c>
      <c r="S270" s="131">
        <f t="shared" si="62"/>
        <v>-3.9785658304192566</v>
      </c>
      <c r="T270" s="150">
        <f t="shared" si="64"/>
        <v>0</v>
      </c>
      <c r="V270" s="12"/>
    </row>
    <row r="271" spans="1:22" x14ac:dyDescent="0.25">
      <c r="A271" s="50">
        <f>'A) Base RI'!A272</f>
        <v>5863</v>
      </c>
      <c r="B271" s="437" t="str">
        <f>'A) Base RI'!B272</f>
        <v>Vinzel</v>
      </c>
      <c r="C271" s="156">
        <v>397973.77172962966</v>
      </c>
      <c r="D271" s="156">
        <v>376364.76355373184</v>
      </c>
      <c r="E271" s="156">
        <v>0</v>
      </c>
      <c r="F271" s="156">
        <v>0</v>
      </c>
      <c r="G271" s="156">
        <v>0</v>
      </c>
      <c r="H271" s="440">
        <f t="shared" si="63"/>
        <v>774338.53528336156</v>
      </c>
      <c r="I271" s="156">
        <v>22869.43104477612</v>
      </c>
      <c r="J271" s="443">
        <f>'B) D RI'!U272</f>
        <v>22498.98940298508</v>
      </c>
      <c r="K271" s="67">
        <f t="shared" si="65"/>
        <v>33.859107984246833</v>
      </c>
      <c r="L271" s="34">
        <f>'B) D RI'!S272</f>
        <v>67</v>
      </c>
      <c r="M271" s="34">
        <f t="shared" si="58"/>
        <v>33.140892015753167</v>
      </c>
      <c r="N271" s="34">
        <f>'J) Plafonnement effort'!G270+'J) Plafonnement effort'!H270-'K) Plafonnement aide'!I270</f>
        <v>35.625856811262238</v>
      </c>
      <c r="O271" s="34">
        <f t="shared" si="59"/>
        <v>68.766748827015405</v>
      </c>
      <c r="P271" s="48">
        <f t="shared" si="60"/>
        <v>0</v>
      </c>
      <c r="Q271" s="58">
        <f t="shared" si="66"/>
        <v>0</v>
      </c>
      <c r="R271" s="151">
        <f t="shared" si="61"/>
        <v>68.766748827015405</v>
      </c>
      <c r="S271" s="131">
        <f t="shared" si="62"/>
        <v>1.7667488270154053</v>
      </c>
      <c r="T271" s="150">
        <f t="shared" si="64"/>
        <v>0</v>
      </c>
      <c r="V271" s="12"/>
    </row>
    <row r="272" spans="1:22" x14ac:dyDescent="0.25">
      <c r="A272" s="50">
        <f>'A) Base RI'!A273</f>
        <v>5871</v>
      </c>
      <c r="B272" s="437" t="str">
        <f>'A) Base RI'!B273</f>
        <v>L'Abbaye</v>
      </c>
      <c r="C272" s="156">
        <v>1057505.6338549205</v>
      </c>
      <c r="D272" s="156">
        <v>163079.81546664203</v>
      </c>
      <c r="E272" s="156">
        <v>0</v>
      </c>
      <c r="F272" s="156">
        <v>0</v>
      </c>
      <c r="G272" s="156">
        <v>0</v>
      </c>
      <c r="H272" s="440">
        <f t="shared" si="63"/>
        <v>1220585.4493215624</v>
      </c>
      <c r="I272" s="156">
        <v>47794.781759379046</v>
      </c>
      <c r="J272" s="443">
        <f>'B) D RI'!U273</f>
        <v>44627.892122623205</v>
      </c>
      <c r="K272" s="67">
        <f t="shared" si="65"/>
        <v>25.538048389185079</v>
      </c>
      <c r="L272" s="34">
        <f>'B) D RI'!S273</f>
        <v>77.31</v>
      </c>
      <c r="M272" s="34">
        <f t="shared" si="58"/>
        <v>51.771951610814924</v>
      </c>
      <c r="N272" s="34">
        <f>'J) Plafonnement effort'!G271+'J) Plafonnement effort'!H271-'K) Plafonnement aide'!I271</f>
        <v>14.260396787211103</v>
      </c>
      <c r="O272" s="34">
        <f t="shared" si="59"/>
        <v>66.032348398026031</v>
      </c>
      <c r="P272" s="48">
        <f t="shared" si="60"/>
        <v>0</v>
      </c>
      <c r="Q272" s="58">
        <f t="shared" si="66"/>
        <v>0</v>
      </c>
      <c r="R272" s="151">
        <f t="shared" si="61"/>
        <v>66.032348398026031</v>
      </c>
      <c r="S272" s="131">
        <f t="shared" si="62"/>
        <v>-11.277651601973972</v>
      </c>
      <c r="T272" s="150">
        <f t="shared" si="64"/>
        <v>0</v>
      </c>
      <c r="V272" s="12"/>
    </row>
    <row r="273" spans="1:22" x14ac:dyDescent="0.25">
      <c r="A273" s="50">
        <f>'A) Base RI'!A274</f>
        <v>5872</v>
      </c>
      <c r="B273" s="437" t="str">
        <f>'A) Base RI'!B274</f>
        <v>Le Chenit</v>
      </c>
      <c r="C273" s="156">
        <v>5186913.4260983104</v>
      </c>
      <c r="D273" s="156">
        <v>2528211.5570195289</v>
      </c>
      <c r="E273" s="156">
        <v>0</v>
      </c>
      <c r="F273" s="156">
        <v>0</v>
      </c>
      <c r="G273" s="156">
        <v>0</v>
      </c>
      <c r="H273" s="440">
        <f t="shared" si="63"/>
        <v>7715124.9831178393</v>
      </c>
      <c r="I273" s="156">
        <v>222566.8809866097</v>
      </c>
      <c r="J273" s="443">
        <f>'B) D RI'!U274</f>
        <v>195855.08877191509</v>
      </c>
      <c r="K273" s="67">
        <f t="shared" si="65"/>
        <v>34.664299328443235</v>
      </c>
      <c r="L273" s="34">
        <f>'B) D RI'!S274</f>
        <v>68.12</v>
      </c>
      <c r="M273" s="34">
        <f t="shared" si="58"/>
        <v>33.45570067155677</v>
      </c>
      <c r="N273" s="34">
        <f>'J) Plafonnement effort'!G272+'J) Plafonnement effort'!H272-'K) Plafonnement aide'!I272</f>
        <v>29.248311964638447</v>
      </c>
      <c r="O273" s="34">
        <f t="shared" si="59"/>
        <v>62.704012636195216</v>
      </c>
      <c r="P273" s="48">
        <f t="shared" si="60"/>
        <v>0</v>
      </c>
      <c r="Q273" s="58">
        <f t="shared" si="66"/>
        <v>0</v>
      </c>
      <c r="R273" s="151">
        <f t="shared" si="61"/>
        <v>62.704012636195216</v>
      </c>
      <c r="S273" s="131">
        <f t="shared" si="62"/>
        <v>-5.4159873638047884</v>
      </c>
      <c r="T273" s="150">
        <f t="shared" si="64"/>
        <v>0</v>
      </c>
      <c r="V273" s="12"/>
    </row>
    <row r="274" spans="1:22" x14ac:dyDescent="0.25">
      <c r="A274" s="50">
        <f>'A) Base RI'!A275</f>
        <v>5873</v>
      </c>
      <c r="B274" s="437" t="str">
        <f>'A) Base RI'!B275</f>
        <v>Le Lieu</v>
      </c>
      <c r="C274" s="156">
        <v>783809.7338766756</v>
      </c>
      <c r="D274" s="156">
        <v>441009.50729093241</v>
      </c>
      <c r="E274" s="156">
        <v>0</v>
      </c>
      <c r="F274" s="156">
        <v>0</v>
      </c>
      <c r="G274" s="156">
        <v>0</v>
      </c>
      <c r="H274" s="440">
        <f t="shared" si="63"/>
        <v>1224819.241167608</v>
      </c>
      <c r="I274" s="156">
        <v>33457.98871794872</v>
      </c>
      <c r="J274" s="443">
        <f>'B) D RI'!U275</f>
        <v>31663.23595238095</v>
      </c>
      <c r="K274" s="67">
        <f t="shared" si="65"/>
        <v>36.607676913661791</v>
      </c>
      <c r="L274" s="34">
        <f>'B) D RI'!S275</f>
        <v>70</v>
      </c>
      <c r="M274" s="34">
        <f t="shared" si="58"/>
        <v>33.392323086338209</v>
      </c>
      <c r="N274" s="34">
        <f>'J) Plafonnement effort'!G273+'J) Plafonnement effort'!H273-'K) Plafonnement aide'!I273</f>
        <v>12.974281601151134</v>
      </c>
      <c r="O274" s="34">
        <f t="shared" si="59"/>
        <v>46.366604687489342</v>
      </c>
      <c r="P274" s="48">
        <f t="shared" si="60"/>
        <v>0</v>
      </c>
      <c r="Q274" s="58">
        <f t="shared" si="66"/>
        <v>0</v>
      </c>
      <c r="R274" s="151">
        <f t="shared" si="61"/>
        <v>46.366604687489342</v>
      </c>
      <c r="S274" s="131">
        <f t="shared" si="62"/>
        <v>-23.633395312510658</v>
      </c>
      <c r="T274" s="150">
        <f t="shared" si="64"/>
        <v>0</v>
      </c>
      <c r="V274" s="12"/>
    </row>
    <row r="275" spans="1:22" x14ac:dyDescent="0.25">
      <c r="A275" s="50">
        <f>'A) Base RI'!A276</f>
        <v>5881</v>
      </c>
      <c r="B275" s="437" t="str">
        <f>'A) Base RI'!B276</f>
        <v>Blonay</v>
      </c>
      <c r="C275" s="156">
        <v>5748071.2252428075</v>
      </c>
      <c r="D275" s="156">
        <v>3800736.2799309506</v>
      </c>
      <c r="E275" s="156">
        <v>0</v>
      </c>
      <c r="F275" s="156">
        <v>0</v>
      </c>
      <c r="G275" s="156">
        <v>0</v>
      </c>
      <c r="H275" s="440">
        <f t="shared" si="63"/>
        <v>9548807.5051737577</v>
      </c>
      <c r="I275" s="156">
        <v>339692.04942857131</v>
      </c>
      <c r="J275" s="443">
        <f>'B) D RI'!U276</f>
        <v>333471.52885714278</v>
      </c>
      <c r="K275" s="67">
        <f t="shared" si="65"/>
        <v>28.110188393389617</v>
      </c>
      <c r="L275" s="34">
        <f>'B) D RI'!S276</f>
        <v>70</v>
      </c>
      <c r="M275" s="34">
        <f t="shared" si="58"/>
        <v>41.88981160661038</v>
      </c>
      <c r="N275" s="34">
        <f>'J) Plafonnement effort'!G274+'J) Plafonnement effort'!H274-'K) Plafonnement aide'!I274</f>
        <v>26.471843042045997</v>
      </c>
      <c r="O275" s="34">
        <f t="shared" si="59"/>
        <v>68.361654648656383</v>
      </c>
      <c r="P275" s="48">
        <f t="shared" si="60"/>
        <v>0</v>
      </c>
      <c r="Q275" s="58">
        <f t="shared" si="66"/>
        <v>0</v>
      </c>
      <c r="R275" s="151">
        <f t="shared" si="61"/>
        <v>68.361654648656383</v>
      </c>
      <c r="S275" s="131">
        <f t="shared" si="62"/>
        <v>-1.6383453513436166</v>
      </c>
      <c r="T275" s="150">
        <f t="shared" si="64"/>
        <v>0</v>
      </c>
      <c r="V275" s="12"/>
    </row>
    <row r="276" spans="1:22" x14ac:dyDescent="0.25">
      <c r="A276" s="50">
        <f>'A) Base RI'!A277</f>
        <v>5882</v>
      </c>
      <c r="B276" s="437" t="str">
        <f>'A) Base RI'!B277</f>
        <v>Chardonne</v>
      </c>
      <c r="C276" s="156">
        <v>3645811.0051283855</v>
      </c>
      <c r="D276" s="156">
        <v>2146745.6772348778</v>
      </c>
      <c r="E276" s="156">
        <v>0</v>
      </c>
      <c r="F276" s="156">
        <v>0</v>
      </c>
      <c r="G276" s="156">
        <v>0</v>
      </c>
      <c r="H276" s="440">
        <f t="shared" si="63"/>
        <v>5792556.6823632633</v>
      </c>
      <c r="I276" s="156">
        <v>157386.77911764712</v>
      </c>
      <c r="J276" s="443">
        <f>'B) D RI'!U277</f>
        <v>161419.68117647059</v>
      </c>
      <c r="K276" s="67">
        <f t="shared" si="65"/>
        <v>36.804595118077287</v>
      </c>
      <c r="L276" s="34">
        <f>'B) D RI'!S277</f>
        <v>68</v>
      </c>
      <c r="M276" s="34">
        <f t="shared" si="58"/>
        <v>31.195404881922713</v>
      </c>
      <c r="N276" s="34">
        <f>'J) Plafonnement effort'!G275+'J) Plafonnement effort'!H275-'K) Plafonnement aide'!I275</f>
        <v>32.442761205179742</v>
      </c>
      <c r="O276" s="34">
        <f t="shared" si="59"/>
        <v>63.638166087102455</v>
      </c>
      <c r="P276" s="48">
        <f t="shared" si="60"/>
        <v>0</v>
      </c>
      <c r="Q276" s="58">
        <f t="shared" si="66"/>
        <v>0</v>
      </c>
      <c r="R276" s="151">
        <f t="shared" si="61"/>
        <v>63.638166087102455</v>
      </c>
      <c r="S276" s="131">
        <f t="shared" si="62"/>
        <v>-4.361833912897545</v>
      </c>
      <c r="T276" s="150">
        <f t="shared" si="64"/>
        <v>0</v>
      </c>
      <c r="V276" s="12"/>
    </row>
    <row r="277" spans="1:22" x14ac:dyDescent="0.25">
      <c r="A277" s="50">
        <f>'A) Base RI'!A278</f>
        <v>5883</v>
      </c>
      <c r="B277" s="437" t="str">
        <f>'A) Base RI'!B278</f>
        <v>Corseaux</v>
      </c>
      <c r="C277" s="156">
        <v>3209910.8178310189</v>
      </c>
      <c r="D277" s="156">
        <v>2144738.8198742815</v>
      </c>
      <c r="E277" s="156">
        <v>0</v>
      </c>
      <c r="F277" s="156">
        <v>0</v>
      </c>
      <c r="G277" s="156">
        <v>0</v>
      </c>
      <c r="H277" s="440">
        <f t="shared" si="63"/>
        <v>5354649.6377053</v>
      </c>
      <c r="I277" s="156">
        <v>151056.33637681158</v>
      </c>
      <c r="J277" s="443">
        <f>'B) D RI'!U278</f>
        <v>156359.79318840581</v>
      </c>
      <c r="K277" s="67">
        <f t="shared" si="65"/>
        <v>35.448030623144938</v>
      </c>
      <c r="L277" s="34">
        <f>'B) D RI'!S278</f>
        <v>69</v>
      </c>
      <c r="M277" s="34">
        <f t="shared" si="58"/>
        <v>33.551969376855062</v>
      </c>
      <c r="N277" s="34">
        <f>'J) Plafonnement effort'!G276+'J) Plafonnement effort'!H276-'K) Plafonnement aide'!I276</f>
        <v>44.827633455745584</v>
      </c>
      <c r="O277" s="34">
        <f t="shared" si="59"/>
        <v>78.379602832600654</v>
      </c>
      <c r="P277" s="48">
        <f t="shared" si="60"/>
        <v>0</v>
      </c>
      <c r="Q277" s="58">
        <f t="shared" si="66"/>
        <v>0</v>
      </c>
      <c r="R277" s="151">
        <f t="shared" si="61"/>
        <v>78.379602832600654</v>
      </c>
      <c r="S277" s="131">
        <f t="shared" si="62"/>
        <v>9.3796028326006535</v>
      </c>
      <c r="T277" s="150">
        <f t="shared" si="64"/>
        <v>0</v>
      </c>
      <c r="V277" s="12"/>
    </row>
    <row r="278" spans="1:22" x14ac:dyDescent="0.25">
      <c r="A278" s="50">
        <f>'A) Base RI'!A279</f>
        <v>5884</v>
      </c>
      <c r="B278" s="437" t="str">
        <f>'A) Base RI'!B279</f>
        <v>Corsier-sur-Vevey</v>
      </c>
      <c r="C278" s="156">
        <v>2403202.4686434856</v>
      </c>
      <c r="D278" s="156">
        <v>1104316.4558363918</v>
      </c>
      <c r="E278" s="156">
        <v>0</v>
      </c>
      <c r="F278" s="156">
        <v>0</v>
      </c>
      <c r="G278" s="156">
        <v>0</v>
      </c>
      <c r="H278" s="440">
        <f t="shared" si="63"/>
        <v>3507518.9244798776</v>
      </c>
      <c r="I278" s="156">
        <v>131937.87883838385</v>
      </c>
      <c r="J278" s="443">
        <f>'B) D RI'!U279</f>
        <v>119111.03626262626</v>
      </c>
      <c r="K278" s="67">
        <f t="shared" si="65"/>
        <v>26.584624183449108</v>
      </c>
      <c r="L278" s="34">
        <f>'B) D RI'!S279</f>
        <v>66</v>
      </c>
      <c r="M278" s="34">
        <f t="shared" si="58"/>
        <v>39.415375816550892</v>
      </c>
      <c r="N278" s="34">
        <f>'J) Plafonnement effort'!G277+'J) Plafonnement effort'!H277-'K) Plafonnement aide'!I277</f>
        <v>13.844872717586968</v>
      </c>
      <c r="O278" s="34">
        <f t="shared" si="59"/>
        <v>53.260248534137858</v>
      </c>
      <c r="P278" s="48">
        <f t="shared" si="60"/>
        <v>0</v>
      </c>
      <c r="Q278" s="58">
        <f t="shared" si="66"/>
        <v>0</v>
      </c>
      <c r="R278" s="151">
        <f t="shared" si="61"/>
        <v>53.260248534137858</v>
      </c>
      <c r="S278" s="131">
        <f t="shared" si="62"/>
        <v>-12.739751465862142</v>
      </c>
      <c r="T278" s="150">
        <f t="shared" si="64"/>
        <v>0</v>
      </c>
      <c r="V278" s="12"/>
    </row>
    <row r="279" spans="1:22" x14ac:dyDescent="0.25">
      <c r="A279" s="50">
        <f>'A) Base RI'!A280</f>
        <v>5885</v>
      </c>
      <c r="B279" s="437" t="str">
        <f>'A) Base RI'!B280</f>
        <v>Jongny</v>
      </c>
      <c r="C279" s="156">
        <v>1920754.1638495026</v>
      </c>
      <c r="D279" s="156">
        <v>1415829.9624016869</v>
      </c>
      <c r="E279" s="156">
        <v>0</v>
      </c>
      <c r="F279" s="156">
        <v>0</v>
      </c>
      <c r="G279" s="156">
        <v>0</v>
      </c>
      <c r="H279" s="440">
        <f t="shared" si="63"/>
        <v>3336584.1262511895</v>
      </c>
      <c r="I279" s="156">
        <v>94073.949178403767</v>
      </c>
      <c r="J279" s="443">
        <f>'B) D RI'!U280</f>
        <v>83805.46166666667</v>
      </c>
      <c r="K279" s="67">
        <f t="shared" si="65"/>
        <v>35.467673626878607</v>
      </c>
      <c r="L279" s="34">
        <f>'B) D RI'!S280</f>
        <v>71</v>
      </c>
      <c r="M279" s="34">
        <f t="shared" si="58"/>
        <v>35.532326373121393</v>
      </c>
      <c r="N279" s="34">
        <f>'J) Plafonnement effort'!G278+'J) Plafonnement effort'!H278-'K) Plafonnement aide'!I278</f>
        <v>37.534243758421098</v>
      </c>
      <c r="O279" s="34">
        <f t="shared" si="59"/>
        <v>73.066570131542491</v>
      </c>
      <c r="P279" s="48">
        <f t="shared" si="60"/>
        <v>0</v>
      </c>
      <c r="Q279" s="58">
        <f t="shared" si="66"/>
        <v>0</v>
      </c>
      <c r="R279" s="151">
        <f t="shared" si="61"/>
        <v>73.066570131542491</v>
      </c>
      <c r="S279" s="131">
        <f t="shared" si="62"/>
        <v>2.0665701315424911</v>
      </c>
      <c r="T279" s="150">
        <f t="shared" si="64"/>
        <v>0</v>
      </c>
      <c r="V279" s="12"/>
    </row>
    <row r="280" spans="1:22" x14ac:dyDescent="0.25">
      <c r="A280" s="50">
        <f>'A) Base RI'!A281</f>
        <v>5886</v>
      </c>
      <c r="B280" s="437" t="str">
        <f>'A) Base RI'!B281</f>
        <v>Montreux</v>
      </c>
      <c r="C280" s="156">
        <v>25078674.876560818</v>
      </c>
      <c r="D280" s="156">
        <v>-1950782.4255455062</v>
      </c>
      <c r="E280" s="156">
        <v>0</v>
      </c>
      <c r="F280" s="156">
        <v>0</v>
      </c>
      <c r="G280" s="156">
        <v>0</v>
      </c>
      <c r="H280" s="440">
        <f t="shared" si="63"/>
        <v>23127892.451015312</v>
      </c>
      <c r="I280" s="156">
        <v>1128562.492051282</v>
      </c>
      <c r="J280" s="443">
        <f>'B) D RI'!U281</f>
        <v>1120949.2064615386</v>
      </c>
      <c r="K280" s="67">
        <f t="shared" si="65"/>
        <v>20.493231534726903</v>
      </c>
      <c r="L280" s="34">
        <f>'B) D RI'!S281</f>
        <v>65</v>
      </c>
      <c r="M280" s="34">
        <f t="shared" si="58"/>
        <v>44.506768465273097</v>
      </c>
      <c r="N280" s="34">
        <f>'J) Plafonnement effort'!G279+'J) Plafonnement effort'!H279-'K) Plafonnement aide'!I279</f>
        <v>19.082285118888837</v>
      </c>
      <c r="O280" s="34">
        <f t="shared" si="59"/>
        <v>63.589053584161931</v>
      </c>
      <c r="P280" s="48">
        <f t="shared" si="60"/>
        <v>0</v>
      </c>
      <c r="Q280" s="58">
        <f t="shared" si="66"/>
        <v>0</v>
      </c>
      <c r="R280" s="151">
        <f t="shared" si="61"/>
        <v>63.589053584161931</v>
      </c>
      <c r="S280" s="131">
        <f t="shared" si="62"/>
        <v>-1.4109464158380689</v>
      </c>
      <c r="T280" s="150">
        <f t="shared" si="64"/>
        <v>0</v>
      </c>
      <c r="V280" s="12"/>
    </row>
    <row r="281" spans="1:22" x14ac:dyDescent="0.25">
      <c r="A281" s="50">
        <f>'A) Base RI'!A282</f>
        <v>5888</v>
      </c>
      <c r="B281" s="437" t="str">
        <f>'A) Base RI'!B282</f>
        <v>Saint-Légier-La Chiésaz</v>
      </c>
      <c r="C281" s="156">
        <v>5574925.4082159344</v>
      </c>
      <c r="D281" s="156">
        <v>3532117.8403737438</v>
      </c>
      <c r="E281" s="156">
        <v>0</v>
      </c>
      <c r="F281" s="156">
        <v>0</v>
      </c>
      <c r="G281" s="156">
        <v>0</v>
      </c>
      <c r="H281" s="440">
        <f t="shared" si="63"/>
        <v>9107043.2485896777</v>
      </c>
      <c r="I281" s="156">
        <v>294301.72840796027</v>
      </c>
      <c r="J281" s="443">
        <f>'B) D RI'!U282</f>
        <v>318719.43035714288</v>
      </c>
      <c r="K281" s="67">
        <f t="shared" si="65"/>
        <v>30.944579557363383</v>
      </c>
      <c r="L281" s="34">
        <f>'B) D RI'!S282</f>
        <v>70</v>
      </c>
      <c r="M281" s="34">
        <f t="shared" si="58"/>
        <v>39.055420442636617</v>
      </c>
      <c r="N281" s="34">
        <f>'J) Plafonnement effort'!G280+'J) Plafonnement effort'!H280-'K) Plafonnement aide'!I280</f>
        <v>30.890280262771466</v>
      </c>
      <c r="O281" s="34">
        <f t="shared" si="59"/>
        <v>69.945700705408086</v>
      </c>
      <c r="P281" s="48">
        <f t="shared" si="60"/>
        <v>0</v>
      </c>
      <c r="Q281" s="58">
        <f t="shared" si="66"/>
        <v>0</v>
      </c>
      <c r="R281" s="151">
        <f t="shared" si="61"/>
        <v>69.945700705408086</v>
      </c>
      <c r="S281" s="131">
        <f t="shared" si="62"/>
        <v>-5.4299294591913849E-2</v>
      </c>
      <c r="T281" s="150">
        <f t="shared" si="64"/>
        <v>0</v>
      </c>
      <c r="V281" s="12"/>
    </row>
    <row r="282" spans="1:22" x14ac:dyDescent="0.25">
      <c r="A282" s="50">
        <f>'A) Base RI'!A283</f>
        <v>5889</v>
      </c>
      <c r="B282" s="437" t="str">
        <f>'A) Base RI'!B283</f>
        <v>La Tour-de-Peilz</v>
      </c>
      <c r="C282" s="156">
        <v>12032528.117789729</v>
      </c>
      <c r="D282" s="156">
        <v>5781459.3969478477</v>
      </c>
      <c r="E282" s="156">
        <v>0</v>
      </c>
      <c r="F282" s="156">
        <v>0</v>
      </c>
      <c r="G282" s="156">
        <v>0</v>
      </c>
      <c r="H282" s="440">
        <f t="shared" si="63"/>
        <v>17813987.514737576</v>
      </c>
      <c r="I282" s="156">
        <v>666166.0371614584</v>
      </c>
      <c r="J282" s="443">
        <f>'B) D RI'!U283</f>
        <v>645590.04875000007</v>
      </c>
      <c r="K282" s="67">
        <f t="shared" si="65"/>
        <v>26.741062319302848</v>
      </c>
      <c r="L282" s="34">
        <f>'B) D RI'!S283</f>
        <v>64</v>
      </c>
      <c r="M282" s="34">
        <f t="shared" si="58"/>
        <v>37.258937680697152</v>
      </c>
      <c r="N282" s="34">
        <f>'J) Plafonnement effort'!G281+'J) Plafonnement effort'!H281-'K) Plafonnement aide'!I281</f>
        <v>29.701923346061179</v>
      </c>
      <c r="O282" s="34">
        <f t="shared" si="59"/>
        <v>66.960861026758323</v>
      </c>
      <c r="P282" s="48">
        <f t="shared" si="60"/>
        <v>0</v>
      </c>
      <c r="Q282" s="58">
        <f t="shared" si="66"/>
        <v>0</v>
      </c>
      <c r="R282" s="151">
        <f t="shared" si="61"/>
        <v>66.960861026758323</v>
      </c>
      <c r="S282" s="131">
        <f t="shared" si="62"/>
        <v>2.9608610267583231</v>
      </c>
      <c r="T282" s="150">
        <f t="shared" si="64"/>
        <v>0</v>
      </c>
      <c r="V282" s="12"/>
    </row>
    <row r="283" spans="1:22" x14ac:dyDescent="0.25">
      <c r="A283" s="50">
        <f>'A) Base RI'!A284</f>
        <v>5890</v>
      </c>
      <c r="B283" s="437" t="str">
        <f>'A) Base RI'!B284</f>
        <v>Vevey</v>
      </c>
      <c r="C283" s="156">
        <v>17723171.761181466</v>
      </c>
      <c r="D283" s="156">
        <v>3403863.2017245237</v>
      </c>
      <c r="E283" s="156">
        <v>0</v>
      </c>
      <c r="F283" s="156">
        <v>0</v>
      </c>
      <c r="G283" s="156">
        <v>0</v>
      </c>
      <c r="H283" s="440">
        <f t="shared" si="63"/>
        <v>21127034.962905988</v>
      </c>
      <c r="I283" s="156">
        <v>976058.24146118714</v>
      </c>
      <c r="J283" s="443">
        <f>'B) D RI'!U284</f>
        <v>923815.49078947364</v>
      </c>
      <c r="K283" s="67">
        <f t="shared" si="65"/>
        <v>21.645260564859544</v>
      </c>
      <c r="L283" s="34">
        <f>'B) D RI'!S284</f>
        <v>76</v>
      </c>
      <c r="M283" s="34">
        <f t="shared" si="58"/>
        <v>54.354739435140459</v>
      </c>
      <c r="N283" s="34">
        <f>'J) Plafonnement effort'!G282+'J) Plafonnement effort'!H282-'K) Plafonnement aide'!I282</f>
        <v>18.511856138780374</v>
      </c>
      <c r="O283" s="34">
        <f t="shared" si="59"/>
        <v>72.866595573920833</v>
      </c>
      <c r="P283" s="48">
        <f t="shared" si="60"/>
        <v>0</v>
      </c>
      <c r="Q283" s="58">
        <f t="shared" si="66"/>
        <v>0</v>
      </c>
      <c r="R283" s="151">
        <f t="shared" si="61"/>
        <v>72.866595573920833</v>
      </c>
      <c r="S283" s="131">
        <f t="shared" si="62"/>
        <v>-3.1334044260791671</v>
      </c>
      <c r="T283" s="150">
        <f t="shared" si="64"/>
        <v>0</v>
      </c>
      <c r="V283" s="12"/>
    </row>
    <row r="284" spans="1:22" x14ac:dyDescent="0.25">
      <c r="A284" s="50">
        <f>'A) Base RI'!A285</f>
        <v>5891</v>
      </c>
      <c r="B284" s="437" t="str">
        <f>'A) Base RI'!B285</f>
        <v>Veytaux</v>
      </c>
      <c r="C284" s="156">
        <v>650631.80512564851</v>
      </c>
      <c r="D284" s="156">
        <v>494623.56036466331</v>
      </c>
      <c r="E284" s="156">
        <v>0</v>
      </c>
      <c r="F284" s="156">
        <v>0</v>
      </c>
      <c r="G284" s="156">
        <v>0</v>
      </c>
      <c r="H284" s="440">
        <f t="shared" si="63"/>
        <v>1145255.3654903118</v>
      </c>
      <c r="I284" s="156">
        <v>35228.276473429949</v>
      </c>
      <c r="J284" s="443">
        <f>'B) D RI'!U285</f>
        <v>37468.229154929577</v>
      </c>
      <c r="K284" s="67">
        <f t="shared" si="65"/>
        <v>32.50954858248862</v>
      </c>
      <c r="L284" s="34">
        <f>'B) D RI'!S285</f>
        <v>71</v>
      </c>
      <c r="M284" s="34">
        <f t="shared" si="58"/>
        <v>38.49045141751138</v>
      </c>
      <c r="N284" s="34">
        <f>'J) Plafonnement effort'!G283+'J) Plafonnement effort'!H283-'K) Plafonnement aide'!I283</f>
        <v>29.864968075163475</v>
      </c>
      <c r="O284" s="34">
        <f t="shared" si="59"/>
        <v>68.355419492674855</v>
      </c>
      <c r="P284" s="48">
        <f t="shared" si="60"/>
        <v>0</v>
      </c>
      <c r="Q284" s="58">
        <f t="shared" si="66"/>
        <v>0</v>
      </c>
      <c r="R284" s="151">
        <f t="shared" si="61"/>
        <v>68.355419492674855</v>
      </c>
      <c r="S284" s="131">
        <f t="shared" si="62"/>
        <v>-2.6445805073251449</v>
      </c>
      <c r="T284" s="150">
        <f t="shared" si="64"/>
        <v>0</v>
      </c>
      <c r="V284" s="12"/>
    </row>
    <row r="285" spans="1:22" x14ac:dyDescent="0.25">
      <c r="A285" s="50">
        <f>'A) Base RI'!A286</f>
        <v>5902</v>
      </c>
      <c r="B285" s="437" t="str">
        <f>'A) Base RI'!B286</f>
        <v>Belmont-sur-Yverdon</v>
      </c>
      <c r="C285" s="156">
        <v>180448.27157552022</v>
      </c>
      <c r="D285" s="156">
        <v>-15351.315299288282</v>
      </c>
      <c r="E285" s="156">
        <v>0</v>
      </c>
      <c r="F285" s="156">
        <v>0</v>
      </c>
      <c r="G285" s="156">
        <v>0</v>
      </c>
      <c r="H285" s="440">
        <f t="shared" si="63"/>
        <v>165096.95627623194</v>
      </c>
      <c r="I285" s="156">
        <v>9905.4513157894726</v>
      </c>
      <c r="J285" s="443">
        <f>'B) D RI'!U286</f>
        <v>10322.452500000001</v>
      </c>
      <c r="K285" s="67">
        <f t="shared" si="65"/>
        <v>16.667282591461969</v>
      </c>
      <c r="L285" s="34">
        <f>'B) D RI'!S286</f>
        <v>76</v>
      </c>
      <c r="M285" s="34">
        <f t="shared" si="58"/>
        <v>59.332717408538031</v>
      </c>
      <c r="N285" s="34">
        <f>'J) Plafonnement effort'!G284+'J) Plafonnement effort'!H284-'K) Plafonnement aide'!I284</f>
        <v>13.793995169852948</v>
      </c>
      <c r="O285" s="34">
        <f t="shared" si="59"/>
        <v>73.126712578390979</v>
      </c>
      <c r="P285" s="48">
        <f t="shared" si="60"/>
        <v>0</v>
      </c>
      <c r="Q285" s="58">
        <f t="shared" si="66"/>
        <v>0</v>
      </c>
      <c r="R285" s="151">
        <f t="shared" si="61"/>
        <v>73.126712578390979</v>
      </c>
      <c r="S285" s="131">
        <f t="shared" si="62"/>
        <v>-2.873287421609021</v>
      </c>
      <c r="T285" s="150">
        <f t="shared" si="64"/>
        <v>0</v>
      </c>
      <c r="V285" s="12"/>
    </row>
    <row r="286" spans="1:22" x14ac:dyDescent="0.25">
      <c r="A286" s="50">
        <f>'A) Base RI'!A287</f>
        <v>5903</v>
      </c>
      <c r="B286" s="437" t="str">
        <f>'A) Base RI'!B287</f>
        <v>Bioley-Magnoux</v>
      </c>
      <c r="C286" s="156">
        <v>105284.85473750488</v>
      </c>
      <c r="D286" s="156">
        <v>-785.53799754756619</v>
      </c>
      <c r="E286" s="156">
        <v>0</v>
      </c>
      <c r="F286" s="156">
        <v>0</v>
      </c>
      <c r="G286" s="156">
        <v>0</v>
      </c>
      <c r="H286" s="440">
        <f t="shared" si="63"/>
        <v>104499.31673995731</v>
      </c>
      <c r="I286" s="156">
        <v>5979.8765830115835</v>
      </c>
      <c r="J286" s="443">
        <f>'B) D RI'!U287</f>
        <v>5492.9202895752896</v>
      </c>
      <c r="K286" s="67">
        <f t="shared" si="65"/>
        <v>17.475162787946605</v>
      </c>
      <c r="L286" s="34">
        <f>'B) D RI'!S287</f>
        <v>74</v>
      </c>
      <c r="M286" s="34">
        <f t="shared" si="58"/>
        <v>56.524837212053399</v>
      </c>
      <c r="N286" s="34">
        <f>'J) Plafonnement effort'!G285+'J) Plafonnement effort'!H285-'K) Plafonnement aide'!I285</f>
        <v>-24.28666237358242</v>
      </c>
      <c r="O286" s="34">
        <f t="shared" si="59"/>
        <v>32.238174838470982</v>
      </c>
      <c r="P286" s="48">
        <f t="shared" si="60"/>
        <v>0</v>
      </c>
      <c r="Q286" s="58">
        <f t="shared" si="66"/>
        <v>0</v>
      </c>
      <c r="R286" s="151">
        <f t="shared" si="61"/>
        <v>32.238174838470982</v>
      </c>
      <c r="S286" s="131">
        <f t="shared" si="62"/>
        <v>-41.761825161529018</v>
      </c>
      <c r="T286" s="150">
        <f t="shared" si="64"/>
        <v>0</v>
      </c>
      <c r="V286" s="12"/>
    </row>
    <row r="287" spans="1:22" x14ac:dyDescent="0.25">
      <c r="A287" s="50">
        <f>'A) Base RI'!A288</f>
        <v>5904</v>
      </c>
      <c r="B287" s="437" t="str">
        <f>'A) Base RI'!B288</f>
        <v>Chamblon</v>
      </c>
      <c r="C287" s="156">
        <v>377471.1613365697</v>
      </c>
      <c r="D287" s="156">
        <v>310888.34053482197</v>
      </c>
      <c r="E287" s="156">
        <v>0</v>
      </c>
      <c r="F287" s="156">
        <v>0</v>
      </c>
      <c r="G287" s="156">
        <v>0</v>
      </c>
      <c r="H287" s="440">
        <f t="shared" si="63"/>
        <v>688359.50187139167</v>
      </c>
      <c r="I287" s="156">
        <v>21723.445757575762</v>
      </c>
      <c r="J287" s="443">
        <f>'B) D RI'!U288</f>
        <v>20041.272272727278</v>
      </c>
      <c r="K287" s="67">
        <f t="shared" si="65"/>
        <v>31.687399391108819</v>
      </c>
      <c r="L287" s="34">
        <f>'B) D RI'!S288</f>
        <v>66</v>
      </c>
      <c r="M287" s="34">
        <f t="shared" si="58"/>
        <v>34.312600608891181</v>
      </c>
      <c r="N287" s="34">
        <f>'J) Plafonnement effort'!G286+'J) Plafonnement effort'!H286-'K) Plafonnement aide'!I286</f>
        <v>28.850329980385059</v>
      </c>
      <c r="O287" s="34">
        <f t="shared" si="59"/>
        <v>63.162930589276243</v>
      </c>
      <c r="P287" s="48">
        <f t="shared" si="60"/>
        <v>0</v>
      </c>
      <c r="Q287" s="58">
        <f t="shared" si="66"/>
        <v>0</v>
      </c>
      <c r="R287" s="151">
        <f t="shared" si="61"/>
        <v>63.162930589276243</v>
      </c>
      <c r="S287" s="131">
        <f t="shared" si="62"/>
        <v>-2.8370694107237568</v>
      </c>
      <c r="T287" s="150">
        <f t="shared" si="64"/>
        <v>0</v>
      </c>
      <c r="V287" s="12"/>
    </row>
    <row r="288" spans="1:22" x14ac:dyDescent="0.25">
      <c r="A288" s="50">
        <f>'A) Base RI'!A289</f>
        <v>5905</v>
      </c>
      <c r="B288" s="437" t="str">
        <f>'A) Base RI'!B289</f>
        <v>Champvent</v>
      </c>
      <c r="C288" s="156">
        <v>407523.94432475348</v>
      </c>
      <c r="D288" s="156">
        <v>230362.93815238905</v>
      </c>
      <c r="E288" s="156">
        <v>0</v>
      </c>
      <c r="F288" s="156">
        <v>0</v>
      </c>
      <c r="G288" s="156">
        <v>0</v>
      </c>
      <c r="H288" s="440">
        <f t="shared" si="63"/>
        <v>637886.8824771425</v>
      </c>
      <c r="I288" s="156">
        <v>23277.051267605631</v>
      </c>
      <c r="J288" s="443">
        <f>'B) D RI'!U289</f>
        <v>24102.36943661972</v>
      </c>
      <c r="K288" s="67">
        <f t="shared" si="65"/>
        <v>27.404110389398049</v>
      </c>
      <c r="L288" s="34">
        <f>'B) D RI'!S289</f>
        <v>71</v>
      </c>
      <c r="M288" s="34">
        <f t="shared" si="58"/>
        <v>43.595889610601951</v>
      </c>
      <c r="N288" s="34">
        <f>'J) Plafonnement effort'!G287+'J) Plafonnement effort'!H287-'K) Plafonnement aide'!I287</f>
        <v>25.995652036973869</v>
      </c>
      <c r="O288" s="34">
        <f t="shared" si="59"/>
        <v>69.591541647575824</v>
      </c>
      <c r="P288" s="48">
        <f t="shared" si="60"/>
        <v>0</v>
      </c>
      <c r="Q288" s="58">
        <f t="shared" si="66"/>
        <v>0</v>
      </c>
      <c r="R288" s="151">
        <f t="shared" si="61"/>
        <v>69.591541647575824</v>
      </c>
      <c r="S288" s="131">
        <f t="shared" si="62"/>
        <v>-1.4084583524241765</v>
      </c>
      <c r="T288" s="150">
        <f t="shared" si="64"/>
        <v>0</v>
      </c>
      <c r="V288" s="12"/>
    </row>
    <row r="289" spans="1:22" x14ac:dyDescent="0.25">
      <c r="A289" s="50">
        <f>'A) Base RI'!A290</f>
        <v>5907</v>
      </c>
      <c r="B289" s="437" t="str">
        <f>'A) Base RI'!B290</f>
        <v>Chavannes-le-Chêne</v>
      </c>
      <c r="C289" s="156">
        <v>136408.32817437782</v>
      </c>
      <c r="D289" s="156">
        <v>16864.803514757863</v>
      </c>
      <c r="E289" s="156">
        <v>0</v>
      </c>
      <c r="F289" s="156">
        <v>0</v>
      </c>
      <c r="G289" s="156">
        <v>0</v>
      </c>
      <c r="H289" s="440">
        <f t="shared" si="63"/>
        <v>153273.13168913568</v>
      </c>
      <c r="I289" s="156">
        <v>8647.1699999999983</v>
      </c>
      <c r="J289" s="443">
        <f>'B) D RI'!U290</f>
        <v>8071.0708974358949</v>
      </c>
      <c r="K289" s="67">
        <f t="shared" si="65"/>
        <v>17.725236313052214</v>
      </c>
      <c r="L289" s="34">
        <f>'B) D RI'!S290</f>
        <v>78</v>
      </c>
      <c r="M289" s="34">
        <f t="shared" si="58"/>
        <v>60.274763686947786</v>
      </c>
      <c r="N289" s="34">
        <f>'J) Plafonnement effort'!G288+'J) Plafonnement effort'!H288-'K) Plafonnement aide'!I288</f>
        <v>6.5190977581612204</v>
      </c>
      <c r="O289" s="34">
        <f t="shared" si="59"/>
        <v>66.793861445109002</v>
      </c>
      <c r="P289" s="48">
        <f t="shared" si="60"/>
        <v>0</v>
      </c>
      <c r="Q289" s="58">
        <f t="shared" si="66"/>
        <v>0</v>
      </c>
      <c r="R289" s="151">
        <f t="shared" si="61"/>
        <v>66.793861445109002</v>
      </c>
      <c r="S289" s="131">
        <f t="shared" si="62"/>
        <v>-11.206138554890998</v>
      </c>
      <c r="T289" s="150">
        <f t="shared" si="64"/>
        <v>0</v>
      </c>
      <c r="V289" s="12"/>
    </row>
    <row r="290" spans="1:22" x14ac:dyDescent="0.25">
      <c r="A290" s="50">
        <f>'A) Base RI'!A291</f>
        <v>5908</v>
      </c>
      <c r="B290" s="437" t="str">
        <f>'A) Base RI'!B291</f>
        <v>Chêne-Pâquier</v>
      </c>
      <c r="C290" s="156">
        <v>42736.095836480359</v>
      </c>
      <c r="D290" s="156">
        <v>-48960.819083928196</v>
      </c>
      <c r="E290" s="156">
        <v>0</v>
      </c>
      <c r="F290" s="156">
        <v>0</v>
      </c>
      <c r="G290" s="156">
        <v>0</v>
      </c>
      <c r="H290" s="440">
        <f t="shared" si="63"/>
        <v>-6224.7232474478369</v>
      </c>
      <c r="I290" s="156">
        <v>2751.637341772152</v>
      </c>
      <c r="J290" s="443">
        <f>'B) D RI'!U291</f>
        <v>3125.58</v>
      </c>
      <c r="K290" s="67">
        <f t="shared" si="65"/>
        <v>-2.2621888258860792</v>
      </c>
      <c r="L290" s="34">
        <f>'B) D RI'!S291</f>
        <v>79</v>
      </c>
      <c r="M290" s="34">
        <f t="shared" si="58"/>
        <v>81.262188825886085</v>
      </c>
      <c r="N290" s="34">
        <f>'J) Plafonnement effort'!G289+'J) Plafonnement effort'!H289-'K) Plafonnement aide'!I289</f>
        <v>12.563989503260069</v>
      </c>
      <c r="O290" s="34">
        <f t="shared" si="59"/>
        <v>93.82617832914616</v>
      </c>
      <c r="P290" s="48">
        <f t="shared" si="60"/>
        <v>-1.3566752989933661</v>
      </c>
      <c r="Q290" s="58">
        <f t="shared" si="66"/>
        <v>-4240.3971810276853</v>
      </c>
      <c r="R290" s="151">
        <f t="shared" si="61"/>
        <v>92.469503030152794</v>
      </c>
      <c r="S290" s="131">
        <f t="shared" si="62"/>
        <v>13.469503030152794</v>
      </c>
      <c r="T290" s="150">
        <f t="shared" si="64"/>
        <v>0</v>
      </c>
      <c r="V290" s="12"/>
    </row>
    <row r="291" spans="1:22" x14ac:dyDescent="0.25">
      <c r="A291" s="50">
        <f>'A) Base RI'!A292</f>
        <v>5909</v>
      </c>
      <c r="B291" s="437" t="str">
        <f>'A) Base RI'!B292</f>
        <v>Cheseaux-Noréaz</v>
      </c>
      <c r="C291" s="156">
        <v>557264.46159392199</v>
      </c>
      <c r="D291" s="156">
        <v>377370.96163493372</v>
      </c>
      <c r="E291" s="156">
        <v>0</v>
      </c>
      <c r="F291" s="156">
        <v>0</v>
      </c>
      <c r="G291" s="156">
        <v>0</v>
      </c>
      <c r="H291" s="440">
        <f t="shared" si="63"/>
        <v>934635.42322885571</v>
      </c>
      <c r="I291" s="156">
        <v>27973.27357142857</v>
      </c>
      <c r="J291" s="443">
        <f>'B) D RI'!U292</f>
        <v>32763.333428571434</v>
      </c>
      <c r="K291" s="67">
        <f t="shared" si="65"/>
        <v>33.411728550192876</v>
      </c>
      <c r="L291" s="34">
        <f>'B) D RI'!S292</f>
        <v>70</v>
      </c>
      <c r="M291" s="34">
        <f t="shared" si="58"/>
        <v>36.588271449807124</v>
      </c>
      <c r="N291" s="34">
        <f>'J) Plafonnement effort'!G290+'J) Plafonnement effort'!H290-'K) Plafonnement aide'!I290</f>
        <v>32.08666406165203</v>
      </c>
      <c r="O291" s="34">
        <f t="shared" si="59"/>
        <v>68.674935511459154</v>
      </c>
      <c r="P291" s="48">
        <f t="shared" si="60"/>
        <v>0</v>
      </c>
      <c r="Q291" s="58">
        <f t="shared" si="66"/>
        <v>0</v>
      </c>
      <c r="R291" s="151">
        <f t="shared" si="61"/>
        <v>68.674935511459154</v>
      </c>
      <c r="S291" s="131">
        <f t="shared" si="62"/>
        <v>-1.3250644885408462</v>
      </c>
      <c r="T291" s="150">
        <f t="shared" si="64"/>
        <v>0</v>
      </c>
      <c r="V291" s="12"/>
    </row>
    <row r="292" spans="1:22" x14ac:dyDescent="0.25">
      <c r="A292" s="50">
        <f>'A) Base RI'!A293</f>
        <v>5910</v>
      </c>
      <c r="B292" s="437" t="str">
        <f>'A) Base RI'!B293</f>
        <v>Cronay</v>
      </c>
      <c r="C292" s="156">
        <v>156298.52928537357</v>
      </c>
      <c r="D292" s="156">
        <v>-21112.686882950016</v>
      </c>
      <c r="E292" s="156">
        <v>0</v>
      </c>
      <c r="F292" s="156">
        <v>0</v>
      </c>
      <c r="G292" s="156">
        <v>0</v>
      </c>
      <c r="H292" s="440">
        <f t="shared" si="63"/>
        <v>135185.84240242356</v>
      </c>
      <c r="I292" s="156">
        <v>10127.988607594936</v>
      </c>
      <c r="J292" s="443">
        <f>'B) D RI'!U293</f>
        <v>9653.2049367088639</v>
      </c>
      <c r="K292" s="67">
        <f t="shared" si="65"/>
        <v>13.347748268698512</v>
      </c>
      <c r="L292" s="34">
        <f>'B) D RI'!S293</f>
        <v>79</v>
      </c>
      <c r="M292" s="34">
        <f t="shared" ref="M292:M314" si="67">L292-K292</f>
        <v>65.65225173130149</v>
      </c>
      <c r="N292" s="34">
        <f>'J) Plafonnement effort'!G291+'J) Plafonnement effort'!H291-'K) Plafonnement aide'!I291</f>
        <v>2.8551888377188792</v>
      </c>
      <c r="O292" s="34">
        <f t="shared" si="59"/>
        <v>68.507440569020375</v>
      </c>
      <c r="P292" s="48">
        <f t="shared" si="60"/>
        <v>0</v>
      </c>
      <c r="Q292" s="58">
        <f t="shared" si="66"/>
        <v>0</v>
      </c>
      <c r="R292" s="151">
        <f t="shared" si="61"/>
        <v>68.507440569020375</v>
      </c>
      <c r="S292" s="131">
        <f t="shared" si="62"/>
        <v>-10.492559430979625</v>
      </c>
      <c r="T292" s="150">
        <f t="shared" si="64"/>
        <v>0</v>
      </c>
      <c r="V292" s="12"/>
    </row>
    <row r="293" spans="1:22" x14ac:dyDescent="0.25">
      <c r="A293" s="50">
        <f>'A) Base RI'!A294</f>
        <v>5911</v>
      </c>
      <c r="B293" s="437" t="str">
        <f>'A) Base RI'!B294</f>
        <v>Cuarny</v>
      </c>
      <c r="C293" s="156">
        <v>111533.89084132623</v>
      </c>
      <c r="D293" s="156">
        <v>14830.230354213461</v>
      </c>
      <c r="E293" s="156">
        <v>0</v>
      </c>
      <c r="F293" s="156">
        <v>0</v>
      </c>
      <c r="G293" s="156">
        <v>0</v>
      </c>
      <c r="H293" s="440">
        <f t="shared" si="63"/>
        <v>126364.12119553969</v>
      </c>
      <c r="I293" s="156">
        <v>7075.4874683544303</v>
      </c>
      <c r="J293" s="443">
        <f>'B) D RI'!U294</f>
        <v>6896.824556962024</v>
      </c>
      <c r="K293" s="67">
        <f t="shared" si="65"/>
        <v>17.859422656136598</v>
      </c>
      <c r="L293" s="34">
        <f>'B) D RI'!S294</f>
        <v>79</v>
      </c>
      <c r="M293" s="34">
        <f t="shared" si="67"/>
        <v>61.140577343863399</v>
      </c>
      <c r="N293" s="34">
        <f>'J) Plafonnement effort'!G292+'J) Plafonnement effort'!H292-'K) Plafonnement aide'!I292</f>
        <v>5.356517186540243</v>
      </c>
      <c r="O293" s="34">
        <f t="shared" si="59"/>
        <v>66.497094530403643</v>
      </c>
      <c r="P293" s="48">
        <f t="shared" si="60"/>
        <v>0</v>
      </c>
      <c r="Q293" s="58">
        <f t="shared" si="66"/>
        <v>0</v>
      </c>
      <c r="R293" s="151">
        <f t="shared" si="61"/>
        <v>66.497094530403643</v>
      </c>
      <c r="S293" s="131">
        <f t="shared" si="62"/>
        <v>-12.502905469596357</v>
      </c>
      <c r="T293" s="150">
        <f t="shared" si="64"/>
        <v>0</v>
      </c>
      <c r="V293" s="12"/>
    </row>
    <row r="294" spans="1:22" x14ac:dyDescent="0.25">
      <c r="A294" s="50">
        <f>'A) Base RI'!A295</f>
        <v>5912</v>
      </c>
      <c r="B294" s="437" t="str">
        <f>'A) Base RI'!B295</f>
        <v>Démoret</v>
      </c>
      <c r="C294" s="156">
        <v>55029.746675149378</v>
      </c>
      <c r="D294" s="156">
        <v>-42707.523067450275</v>
      </c>
      <c r="E294" s="156">
        <v>0</v>
      </c>
      <c r="F294" s="156">
        <v>0</v>
      </c>
      <c r="G294" s="156">
        <v>0</v>
      </c>
      <c r="H294" s="440">
        <f t="shared" si="63"/>
        <v>12322.223607699103</v>
      </c>
      <c r="I294" s="156">
        <v>3190.0809876543208</v>
      </c>
      <c r="J294" s="443">
        <f>'B) D RI'!U295</f>
        <v>3136.4120987654323</v>
      </c>
      <c r="K294" s="67">
        <f t="shared" si="65"/>
        <v>3.8626679558877539</v>
      </c>
      <c r="L294" s="34">
        <f>'B) D RI'!S295</f>
        <v>81</v>
      </c>
      <c r="M294" s="34">
        <f t="shared" si="67"/>
        <v>77.137332044112242</v>
      </c>
      <c r="N294" s="34">
        <f>'J) Plafonnement effort'!G293+'J) Plafonnement effort'!H293-'K) Plafonnement aide'!I293</f>
        <v>-14.131517254617114</v>
      </c>
      <c r="O294" s="34">
        <f t="shared" si="59"/>
        <v>63.005814789495126</v>
      </c>
      <c r="P294" s="48">
        <f t="shared" si="60"/>
        <v>0</v>
      </c>
      <c r="Q294" s="58">
        <f t="shared" si="66"/>
        <v>0</v>
      </c>
      <c r="R294" s="151">
        <f t="shared" si="61"/>
        <v>63.005814789495126</v>
      </c>
      <c r="S294" s="131">
        <f t="shared" si="62"/>
        <v>-17.994185210504874</v>
      </c>
      <c r="T294" s="150">
        <f t="shared" si="64"/>
        <v>0</v>
      </c>
      <c r="V294" s="12"/>
    </row>
    <row r="295" spans="1:22" x14ac:dyDescent="0.25">
      <c r="A295" s="50">
        <f>'A) Base RI'!A296</f>
        <v>5913</v>
      </c>
      <c r="B295" s="437" t="str">
        <f>'A) Base RI'!B296</f>
        <v>Donneloye</v>
      </c>
      <c r="C295" s="156">
        <v>348454.26859279501</v>
      </c>
      <c r="D295" s="156">
        <v>-49295.150389810093</v>
      </c>
      <c r="E295" s="156">
        <v>0</v>
      </c>
      <c r="F295" s="156">
        <v>0</v>
      </c>
      <c r="G295" s="156">
        <v>0</v>
      </c>
      <c r="H295" s="440">
        <f t="shared" si="63"/>
        <v>299159.11820298492</v>
      </c>
      <c r="I295" s="156">
        <v>20217.518082191778</v>
      </c>
      <c r="J295" s="443">
        <f>'B) D RI'!U296</f>
        <v>20372.909452054791</v>
      </c>
      <c r="K295" s="67">
        <f t="shared" si="65"/>
        <v>14.7970248863778</v>
      </c>
      <c r="L295" s="34">
        <f>'B) D RI'!S296</f>
        <v>73</v>
      </c>
      <c r="M295" s="34">
        <f t="shared" si="67"/>
        <v>58.202975113622202</v>
      </c>
      <c r="N295" s="34">
        <f>'J) Plafonnement effort'!G294+'J) Plafonnement effort'!H294-'K) Plafonnement aide'!I294</f>
        <v>15.025641351899392</v>
      </c>
      <c r="O295" s="34">
        <f t="shared" si="59"/>
        <v>73.228616465521597</v>
      </c>
      <c r="P295" s="48">
        <f t="shared" si="60"/>
        <v>0</v>
      </c>
      <c r="Q295" s="58">
        <f t="shared" si="66"/>
        <v>0</v>
      </c>
      <c r="R295" s="151">
        <f t="shared" si="61"/>
        <v>73.228616465521597</v>
      </c>
      <c r="S295" s="131">
        <f t="shared" si="62"/>
        <v>0.22861646552159698</v>
      </c>
      <c r="T295" s="150">
        <f t="shared" si="64"/>
        <v>0</v>
      </c>
      <c r="V295" s="12"/>
    </row>
    <row r="296" spans="1:22" x14ac:dyDescent="0.25">
      <c r="A296" s="50">
        <f>'A) Base RI'!A297</f>
        <v>5914</v>
      </c>
      <c r="B296" s="437" t="str">
        <f>'A) Base RI'!B297</f>
        <v>Ependes</v>
      </c>
      <c r="C296" s="156">
        <v>168994.49585355975</v>
      </c>
      <c r="D296" s="156">
        <v>11361.410313243599</v>
      </c>
      <c r="E296" s="156">
        <v>0</v>
      </c>
      <c r="F296" s="156">
        <v>0</v>
      </c>
      <c r="G296" s="156">
        <v>0</v>
      </c>
      <c r="H296" s="440">
        <f t="shared" si="63"/>
        <v>180355.90616680335</v>
      </c>
      <c r="I296" s="156">
        <v>9998.8652000000002</v>
      </c>
      <c r="J296" s="443">
        <f>'B) D RI'!U297</f>
        <v>9355.5792000000001</v>
      </c>
      <c r="K296" s="67">
        <f t="shared" si="65"/>
        <v>18.037637527786988</v>
      </c>
      <c r="L296" s="34">
        <f>'B) D RI'!S297</f>
        <v>75</v>
      </c>
      <c r="M296" s="34">
        <f t="shared" si="67"/>
        <v>56.962362472213016</v>
      </c>
      <c r="N296" s="34">
        <f>'J) Plafonnement effort'!G295+'J) Plafonnement effort'!H295-'K) Plafonnement aide'!I295</f>
        <v>10.834519121576259</v>
      </c>
      <c r="O296" s="34">
        <f t="shared" si="59"/>
        <v>67.79688159378928</v>
      </c>
      <c r="P296" s="48">
        <f t="shared" si="60"/>
        <v>0</v>
      </c>
      <c r="Q296" s="58">
        <f t="shared" si="66"/>
        <v>0</v>
      </c>
      <c r="R296" s="151">
        <f t="shared" si="61"/>
        <v>67.79688159378928</v>
      </c>
      <c r="S296" s="131">
        <f t="shared" si="62"/>
        <v>-7.2031184062107201</v>
      </c>
      <c r="T296" s="150">
        <f t="shared" si="64"/>
        <v>0</v>
      </c>
      <c r="V296" s="12"/>
    </row>
    <row r="297" spans="1:22" x14ac:dyDescent="0.25">
      <c r="A297" s="50">
        <f>'A) Base RI'!A298</f>
        <v>5919</v>
      </c>
      <c r="B297" s="437" t="str">
        <f>'A) Base RI'!B298</f>
        <v>Mathod</v>
      </c>
      <c r="C297" s="156">
        <v>252298.00716047914</v>
      </c>
      <c r="D297" s="156">
        <v>-5687.7009152862593</v>
      </c>
      <c r="E297" s="156">
        <v>0</v>
      </c>
      <c r="F297" s="156">
        <v>0</v>
      </c>
      <c r="G297" s="156">
        <v>0</v>
      </c>
      <c r="H297" s="440">
        <f t="shared" si="63"/>
        <v>246610.30624519289</v>
      </c>
      <c r="I297" s="156">
        <v>15974.205138888889</v>
      </c>
      <c r="J297" s="443">
        <f>'B) D RI'!U298</f>
        <v>17162.928379629626</v>
      </c>
      <c r="K297" s="67">
        <f t="shared" si="65"/>
        <v>15.438033010157415</v>
      </c>
      <c r="L297" s="34">
        <f>'B) D RI'!S298</f>
        <v>72</v>
      </c>
      <c r="M297" s="34">
        <f t="shared" si="67"/>
        <v>56.561966989842588</v>
      </c>
      <c r="N297" s="34">
        <f>'J) Plafonnement effort'!G296+'J) Plafonnement effort'!H296-'K) Plafonnement aide'!I296</f>
        <v>20.522664128885399</v>
      </c>
      <c r="O297" s="34">
        <f t="shared" si="59"/>
        <v>77.084631118727984</v>
      </c>
      <c r="P297" s="48">
        <f t="shared" si="60"/>
        <v>0</v>
      </c>
      <c r="Q297" s="58">
        <f t="shared" si="66"/>
        <v>0</v>
      </c>
      <c r="R297" s="151">
        <f t="shared" si="61"/>
        <v>77.084631118727984</v>
      </c>
      <c r="S297" s="131">
        <f t="shared" si="62"/>
        <v>5.0846311187279838</v>
      </c>
      <c r="T297" s="150">
        <f t="shared" si="64"/>
        <v>0</v>
      </c>
      <c r="V297" s="12"/>
    </row>
    <row r="298" spans="1:22" x14ac:dyDescent="0.25">
      <c r="A298" s="50">
        <f>'A) Base RI'!A299</f>
        <v>5921</v>
      </c>
      <c r="B298" s="437" t="str">
        <f>'A) Base RI'!B299</f>
        <v>Molondin</v>
      </c>
      <c r="C298" s="156">
        <v>93480.087931515431</v>
      </c>
      <c r="D298" s="156">
        <v>-51865.285733505065</v>
      </c>
      <c r="E298" s="156">
        <v>0</v>
      </c>
      <c r="F298" s="156">
        <v>0</v>
      </c>
      <c r="G298" s="156">
        <v>0</v>
      </c>
      <c r="H298" s="440">
        <f t="shared" si="63"/>
        <v>41614.802198010366</v>
      </c>
      <c r="I298" s="156">
        <v>5428.3767901234569</v>
      </c>
      <c r="J298" s="443">
        <f>'B) D RI'!U299</f>
        <v>5558.427777777777</v>
      </c>
      <c r="K298" s="67">
        <f t="shared" si="65"/>
        <v>7.6661594813620013</v>
      </c>
      <c r="L298" s="34">
        <f>'B) D RI'!S299</f>
        <v>81</v>
      </c>
      <c r="M298" s="34">
        <f t="shared" si="67"/>
        <v>73.333840518637999</v>
      </c>
      <c r="N298" s="34">
        <f>'J) Plafonnement effort'!G297+'J) Plafonnement effort'!H297-'K) Plafonnement aide'!I297</f>
        <v>1.1154048624502853</v>
      </c>
      <c r="O298" s="34">
        <f t="shared" si="59"/>
        <v>74.449245381088289</v>
      </c>
      <c r="P298" s="48">
        <f t="shared" si="60"/>
        <v>0</v>
      </c>
      <c r="Q298" s="58">
        <f t="shared" si="66"/>
        <v>0</v>
      </c>
      <c r="R298" s="151">
        <f t="shared" si="61"/>
        <v>74.449245381088289</v>
      </c>
      <c r="S298" s="131">
        <f t="shared" si="62"/>
        <v>-6.5507546189117107</v>
      </c>
      <c r="T298" s="150">
        <f t="shared" si="64"/>
        <v>0</v>
      </c>
      <c r="V298" s="12"/>
    </row>
    <row r="299" spans="1:22" x14ac:dyDescent="0.25">
      <c r="A299" s="50">
        <f>'A) Base RI'!A300</f>
        <v>5922</v>
      </c>
      <c r="B299" s="437" t="str">
        <f>'A) Base RI'!B300</f>
        <v>Montagny-près-Yverdon</v>
      </c>
      <c r="C299" s="156">
        <v>1000181.9108635731</v>
      </c>
      <c r="D299" s="156">
        <v>782363.85908095865</v>
      </c>
      <c r="E299" s="156">
        <v>0</v>
      </c>
      <c r="F299" s="156">
        <v>0</v>
      </c>
      <c r="G299" s="156">
        <v>0</v>
      </c>
      <c r="H299" s="440">
        <f t="shared" si="63"/>
        <v>1782545.7699445318</v>
      </c>
      <c r="I299" s="156">
        <v>48081.180040983607</v>
      </c>
      <c r="J299" s="443">
        <f>'B) D RI'!U300</f>
        <v>39297.928807692319</v>
      </c>
      <c r="K299" s="67">
        <f t="shared" si="65"/>
        <v>37.073669332265119</v>
      </c>
      <c r="L299" s="34">
        <f>'B) D RI'!S300</f>
        <v>65</v>
      </c>
      <c r="M299" s="34">
        <f t="shared" si="67"/>
        <v>27.926330667734881</v>
      </c>
      <c r="N299" s="34">
        <f>'J) Plafonnement effort'!G298+'J) Plafonnement effort'!H298-'K) Plafonnement aide'!I298</f>
        <v>33.994298382729134</v>
      </c>
      <c r="O299" s="34">
        <f t="shared" si="59"/>
        <v>61.920629050464015</v>
      </c>
      <c r="P299" s="48">
        <f t="shared" si="60"/>
        <v>0</v>
      </c>
      <c r="Q299" s="58">
        <f t="shared" si="66"/>
        <v>0</v>
      </c>
      <c r="R299" s="151">
        <f t="shared" si="61"/>
        <v>61.920629050464015</v>
      </c>
      <c r="S299" s="131">
        <f t="shared" si="62"/>
        <v>-3.0793709495359849</v>
      </c>
      <c r="T299" s="150">
        <f t="shared" si="64"/>
        <v>0</v>
      </c>
      <c r="V299" s="12"/>
    </row>
    <row r="300" spans="1:22" x14ac:dyDescent="0.25">
      <c r="A300" s="50">
        <f>'A) Base RI'!A301</f>
        <v>5923</v>
      </c>
      <c r="B300" s="437" t="str">
        <f>'A) Base RI'!B301</f>
        <v>Oppens</v>
      </c>
      <c r="C300" s="156">
        <v>79893.877619510255</v>
      </c>
      <c r="D300" s="156">
        <v>-29338.514494026356</v>
      </c>
      <c r="E300" s="156">
        <v>0</v>
      </c>
      <c r="F300" s="156">
        <v>0</v>
      </c>
      <c r="G300" s="156">
        <v>0</v>
      </c>
      <c r="H300" s="440">
        <f t="shared" si="63"/>
        <v>50555.363125483898</v>
      </c>
      <c r="I300" s="156">
        <v>4655.3639506172849</v>
      </c>
      <c r="J300" s="443">
        <f>'B) D RI'!U301</f>
        <v>5148.3425925925922</v>
      </c>
      <c r="K300" s="67">
        <f t="shared" si="65"/>
        <v>10.859594150266261</v>
      </c>
      <c r="L300" s="34">
        <f>'B) D RI'!S301</f>
        <v>81</v>
      </c>
      <c r="M300" s="34">
        <f t="shared" si="67"/>
        <v>70.140405849733739</v>
      </c>
      <c r="N300" s="34">
        <f>'J) Plafonnement effort'!G299+'J) Plafonnement effort'!H299-'K) Plafonnement aide'!I299</f>
        <v>6.6998740959636907</v>
      </c>
      <c r="O300" s="34">
        <f t="shared" si="59"/>
        <v>76.840279945697432</v>
      </c>
      <c r="P300" s="48">
        <f t="shared" si="60"/>
        <v>0</v>
      </c>
      <c r="Q300" s="58">
        <f t="shared" si="66"/>
        <v>0</v>
      </c>
      <c r="R300" s="151">
        <f t="shared" si="61"/>
        <v>76.840279945697432</v>
      </c>
      <c r="S300" s="131">
        <f t="shared" si="62"/>
        <v>-4.1597200543025679</v>
      </c>
      <c r="T300" s="150">
        <f t="shared" si="64"/>
        <v>0</v>
      </c>
      <c r="V300" s="12"/>
    </row>
    <row r="301" spans="1:22" x14ac:dyDescent="0.25">
      <c r="A301" s="50">
        <f>'A) Base RI'!A302</f>
        <v>5924</v>
      </c>
      <c r="B301" s="437" t="str">
        <f>'A) Base RI'!B302</f>
        <v>Orges</v>
      </c>
      <c r="C301" s="156">
        <v>169493.41458186595</v>
      </c>
      <c r="D301" s="156">
        <v>65392.992261398467</v>
      </c>
      <c r="E301" s="156">
        <v>0</v>
      </c>
      <c r="F301" s="156">
        <v>0</v>
      </c>
      <c r="G301" s="156">
        <v>0</v>
      </c>
      <c r="H301" s="440">
        <f t="shared" si="63"/>
        <v>234886.40684326441</v>
      </c>
      <c r="I301" s="156">
        <v>10584.548243243244</v>
      </c>
      <c r="J301" s="443">
        <f>'B) D RI'!U302</f>
        <v>10554.565405405407</v>
      </c>
      <c r="K301" s="67">
        <f t="shared" si="65"/>
        <v>22.191443739056751</v>
      </c>
      <c r="L301" s="34">
        <f>'B) D RI'!S302</f>
        <v>74</v>
      </c>
      <c r="M301" s="34">
        <f t="shared" si="67"/>
        <v>51.808556260943249</v>
      </c>
      <c r="N301" s="34">
        <f>'J) Plafonnement effort'!G300+'J) Plafonnement effort'!H300-'K) Plafonnement aide'!I300</f>
        <v>23.464838648297693</v>
      </c>
      <c r="O301" s="34">
        <f t="shared" si="59"/>
        <v>75.273394909240949</v>
      </c>
      <c r="P301" s="48">
        <f t="shared" si="60"/>
        <v>0</v>
      </c>
      <c r="Q301" s="58">
        <f t="shared" si="66"/>
        <v>0</v>
      </c>
      <c r="R301" s="151">
        <f t="shared" si="61"/>
        <v>75.273394909240949</v>
      </c>
      <c r="S301" s="131">
        <f t="shared" si="62"/>
        <v>1.2733949092409489</v>
      </c>
      <c r="T301" s="150">
        <f t="shared" si="64"/>
        <v>0</v>
      </c>
      <c r="V301" s="12"/>
    </row>
    <row r="302" spans="1:22" x14ac:dyDescent="0.25">
      <c r="A302" s="50">
        <f>'A) Base RI'!A303</f>
        <v>5925</v>
      </c>
      <c r="B302" s="437" t="str">
        <f>'A) Base RI'!B303</f>
        <v>Orzens</v>
      </c>
      <c r="C302" s="156">
        <v>75861.540212369291</v>
      </c>
      <c r="D302" s="156">
        <v>-28833.218296365478</v>
      </c>
      <c r="E302" s="156">
        <v>0</v>
      </c>
      <c r="F302" s="156">
        <v>0</v>
      </c>
      <c r="G302" s="156">
        <v>0</v>
      </c>
      <c r="H302" s="440">
        <f t="shared" si="63"/>
        <v>47028.321916003813</v>
      </c>
      <c r="I302" s="156">
        <v>4781.2708860759494</v>
      </c>
      <c r="J302" s="443">
        <f>'B) D RI'!U303</f>
        <v>5593.0722784810123</v>
      </c>
      <c r="K302" s="67">
        <f t="shared" si="65"/>
        <v>9.8359459308109951</v>
      </c>
      <c r="L302" s="34">
        <f>'B) D RI'!S303</f>
        <v>79</v>
      </c>
      <c r="M302" s="34">
        <f t="shared" si="67"/>
        <v>69.164054069189007</v>
      </c>
      <c r="N302" s="34">
        <f>'J) Plafonnement effort'!G301+'J) Plafonnement effort'!H301-'K) Plafonnement aide'!I301</f>
        <v>17.553287703852188</v>
      </c>
      <c r="O302" s="34">
        <f t="shared" si="59"/>
        <v>86.717341773041198</v>
      </c>
      <c r="P302" s="48">
        <f t="shared" si="60"/>
        <v>0</v>
      </c>
      <c r="Q302" s="58">
        <f t="shared" si="66"/>
        <v>0</v>
      </c>
      <c r="R302" s="151">
        <f t="shared" si="61"/>
        <v>86.717341773041198</v>
      </c>
      <c r="S302" s="131">
        <f t="shared" si="62"/>
        <v>7.7173417730411984</v>
      </c>
      <c r="T302" s="150">
        <f t="shared" si="64"/>
        <v>0</v>
      </c>
      <c r="V302" s="12"/>
    </row>
    <row r="303" spans="1:22" x14ac:dyDescent="0.25">
      <c r="A303" s="50">
        <f>'A) Base RI'!A304</f>
        <v>5926</v>
      </c>
      <c r="B303" s="437" t="str">
        <f>'A) Base RI'!B304</f>
        <v>Pomy</v>
      </c>
      <c r="C303" s="156">
        <v>395702.99005533132</v>
      </c>
      <c r="D303" s="156">
        <v>117739.04546848848</v>
      </c>
      <c r="E303" s="156">
        <v>0</v>
      </c>
      <c r="F303" s="156">
        <v>0</v>
      </c>
      <c r="G303" s="156">
        <v>0</v>
      </c>
      <c r="H303" s="440">
        <f t="shared" si="63"/>
        <v>513442.0355238198</v>
      </c>
      <c r="I303" s="156">
        <v>23350.72985915493</v>
      </c>
      <c r="J303" s="443">
        <f>'B) D RI'!U304</f>
        <v>26612.015633802817</v>
      </c>
      <c r="K303" s="67">
        <f t="shared" si="65"/>
        <v>21.988264975902617</v>
      </c>
      <c r="L303" s="34">
        <f>'B) D RI'!S304</f>
        <v>71</v>
      </c>
      <c r="M303" s="34">
        <f t="shared" si="67"/>
        <v>49.011735024097383</v>
      </c>
      <c r="N303" s="34">
        <f>'J) Plafonnement effort'!G302+'J) Plafonnement effort'!H302-'K) Plafonnement aide'!I302</f>
        <v>24.902466070616363</v>
      </c>
      <c r="O303" s="34">
        <f t="shared" si="59"/>
        <v>73.914201094713746</v>
      </c>
      <c r="P303" s="48">
        <f t="shared" si="60"/>
        <v>0</v>
      </c>
      <c r="Q303" s="58">
        <f t="shared" si="66"/>
        <v>0</v>
      </c>
      <c r="R303" s="151">
        <f t="shared" si="61"/>
        <v>73.914201094713746</v>
      </c>
      <c r="S303" s="131">
        <f t="shared" si="62"/>
        <v>2.9142010947137464</v>
      </c>
      <c r="T303" s="150">
        <f t="shared" si="64"/>
        <v>0</v>
      </c>
      <c r="V303" s="12"/>
    </row>
    <row r="304" spans="1:22" x14ac:dyDescent="0.25">
      <c r="A304" s="50">
        <f>'A) Base RI'!A305</f>
        <v>5928</v>
      </c>
      <c r="B304" s="437" t="str">
        <f>'A) Base RI'!B305</f>
        <v>Rovray</v>
      </c>
      <c r="C304" s="156">
        <v>72691.142599920087</v>
      </c>
      <c r="D304" s="156">
        <v>-17464.068688576124</v>
      </c>
      <c r="E304" s="156">
        <v>0</v>
      </c>
      <c r="F304" s="156">
        <v>0</v>
      </c>
      <c r="G304" s="156">
        <v>0</v>
      </c>
      <c r="H304" s="440">
        <f t="shared" si="63"/>
        <v>55227.073911343963</v>
      </c>
      <c r="I304" s="156">
        <v>4495.7758904109587</v>
      </c>
      <c r="J304" s="443">
        <f>'B) D RI'!U305</f>
        <v>4333.9980821917816</v>
      </c>
      <c r="K304" s="67">
        <f t="shared" si="65"/>
        <v>12.284214172939047</v>
      </c>
      <c r="L304" s="34">
        <f>'B) D RI'!S305</f>
        <v>73</v>
      </c>
      <c r="M304" s="34">
        <f t="shared" si="67"/>
        <v>60.715785827060955</v>
      </c>
      <c r="N304" s="34">
        <f>'J) Plafonnement effort'!G303+'J) Plafonnement effort'!H303-'K) Plafonnement aide'!I303</f>
        <v>12.221652664863576</v>
      </c>
      <c r="O304" s="34">
        <f t="shared" si="59"/>
        <v>72.937438491924524</v>
      </c>
      <c r="P304" s="48">
        <f t="shared" si="60"/>
        <v>0</v>
      </c>
      <c r="Q304" s="58">
        <f t="shared" si="66"/>
        <v>0</v>
      </c>
      <c r="R304" s="151">
        <f t="shared" si="61"/>
        <v>72.937438491924524</v>
      </c>
      <c r="S304" s="131">
        <f t="shared" si="62"/>
        <v>-6.2561508075475558E-2</v>
      </c>
      <c r="T304" s="150">
        <f t="shared" si="64"/>
        <v>0</v>
      </c>
      <c r="V304" s="12"/>
    </row>
    <row r="305" spans="1:22" x14ac:dyDescent="0.25">
      <c r="A305" s="50">
        <f>'A) Base RI'!A306</f>
        <v>5929</v>
      </c>
      <c r="B305" s="437" t="str">
        <f>'A) Base RI'!B306</f>
        <v>Suchy</v>
      </c>
      <c r="C305" s="156">
        <v>301410.41470298055</v>
      </c>
      <c r="D305" s="156">
        <v>62523.742066227103</v>
      </c>
      <c r="E305" s="156">
        <v>0</v>
      </c>
      <c r="F305" s="156">
        <v>0</v>
      </c>
      <c r="G305" s="156">
        <v>0</v>
      </c>
      <c r="H305" s="440">
        <f t="shared" si="63"/>
        <v>363934.15676920768</v>
      </c>
      <c r="I305" s="156">
        <v>17118.434321428569</v>
      </c>
      <c r="J305" s="443">
        <f>'B) D RI'!U306</f>
        <v>17148.792607142859</v>
      </c>
      <c r="K305" s="67">
        <f t="shared" si="65"/>
        <v>21.259780534580841</v>
      </c>
      <c r="L305" s="34">
        <f>'B) D RI'!S306</f>
        <v>70</v>
      </c>
      <c r="M305" s="34">
        <f t="shared" si="67"/>
        <v>48.740219465419159</v>
      </c>
      <c r="N305" s="34">
        <f>'J) Plafonnement effort'!G304+'J) Plafonnement effort'!H304-'K) Plafonnement aide'!I304</f>
        <v>20.903853055547465</v>
      </c>
      <c r="O305" s="34">
        <f t="shared" si="59"/>
        <v>69.644072520966631</v>
      </c>
      <c r="P305" s="48">
        <f t="shared" si="60"/>
        <v>0</v>
      </c>
      <c r="Q305" s="58">
        <f t="shared" si="66"/>
        <v>0</v>
      </c>
      <c r="R305" s="151">
        <f t="shared" si="61"/>
        <v>69.644072520966631</v>
      </c>
      <c r="S305" s="131">
        <f t="shared" si="62"/>
        <v>-0.35592747903336885</v>
      </c>
      <c r="T305" s="150">
        <f t="shared" si="64"/>
        <v>0</v>
      </c>
      <c r="V305" s="12"/>
    </row>
    <row r="306" spans="1:22" x14ac:dyDescent="0.25">
      <c r="A306" s="50">
        <f>'A) Base RI'!A307</f>
        <v>5930</v>
      </c>
      <c r="B306" s="437" t="str">
        <f>'A) Base RI'!B307</f>
        <v>Suscévaz</v>
      </c>
      <c r="C306" s="156">
        <v>101282.7865236483</v>
      </c>
      <c r="D306" s="156">
        <v>5372.3396997224045</v>
      </c>
      <c r="E306" s="156">
        <v>0</v>
      </c>
      <c r="F306" s="156">
        <v>0</v>
      </c>
      <c r="G306" s="156">
        <v>0</v>
      </c>
      <c r="H306" s="440">
        <f t="shared" si="63"/>
        <v>106655.12622337071</v>
      </c>
      <c r="I306" s="156">
        <v>5362.7113888888889</v>
      </c>
      <c r="J306" s="443">
        <f>'B) D RI'!U307</f>
        <v>5907.1765277777777</v>
      </c>
      <c r="K306" s="67">
        <f t="shared" si="65"/>
        <v>19.888283834246916</v>
      </c>
      <c r="L306" s="34">
        <f>'B) D RI'!S307</f>
        <v>72</v>
      </c>
      <c r="M306" s="34">
        <f t="shared" si="67"/>
        <v>52.11171616575308</v>
      </c>
      <c r="N306" s="34">
        <f>'J) Plafonnement effort'!G305+'J) Plafonnement effort'!H305-'K) Plafonnement aide'!I305</f>
        <v>17.93280835458695</v>
      </c>
      <c r="O306" s="34">
        <f t="shared" si="59"/>
        <v>70.044524520340033</v>
      </c>
      <c r="P306" s="48">
        <f t="shared" si="60"/>
        <v>0</v>
      </c>
      <c r="Q306" s="58">
        <f t="shared" si="66"/>
        <v>0</v>
      </c>
      <c r="R306" s="151">
        <f t="shared" si="61"/>
        <v>70.044524520340033</v>
      </c>
      <c r="S306" s="131">
        <f t="shared" si="62"/>
        <v>-1.9554754796599667</v>
      </c>
      <c r="T306" s="150">
        <f t="shared" si="64"/>
        <v>0</v>
      </c>
      <c r="V306" s="12"/>
    </row>
    <row r="307" spans="1:22" x14ac:dyDescent="0.25">
      <c r="A307" s="50">
        <f>'A) Base RI'!A308</f>
        <v>5931</v>
      </c>
      <c r="B307" s="437" t="str">
        <f>'A) Base RI'!B308</f>
        <v>Treycovagnes</v>
      </c>
      <c r="C307" s="156">
        <v>255589.04217170086</v>
      </c>
      <c r="D307" s="156">
        <v>41233.345207603561</v>
      </c>
      <c r="E307" s="156">
        <v>0</v>
      </c>
      <c r="F307" s="156">
        <v>0</v>
      </c>
      <c r="G307" s="156">
        <v>0</v>
      </c>
      <c r="H307" s="440">
        <f t="shared" si="63"/>
        <v>296822.38737930439</v>
      </c>
      <c r="I307" s="156">
        <v>13288.6564</v>
      </c>
      <c r="J307" s="443">
        <f>'B) D RI'!U308</f>
        <v>12973.060799999999</v>
      </c>
      <c r="K307" s="67">
        <f t="shared" si="65"/>
        <v>22.336523606653294</v>
      </c>
      <c r="L307" s="34">
        <f>'B) D RI'!S308</f>
        <v>75</v>
      </c>
      <c r="M307" s="34">
        <f t="shared" si="67"/>
        <v>52.663476393346706</v>
      </c>
      <c r="N307" s="34">
        <f>'J) Plafonnement effort'!G306+'J) Plafonnement effort'!H306-'K) Plafonnement aide'!I306</f>
        <v>17.102621212166653</v>
      </c>
      <c r="O307" s="34">
        <f t="shared" si="59"/>
        <v>69.766097605513352</v>
      </c>
      <c r="P307" s="48">
        <f t="shared" si="60"/>
        <v>0</v>
      </c>
      <c r="Q307" s="58">
        <f t="shared" si="66"/>
        <v>0</v>
      </c>
      <c r="R307" s="151">
        <f t="shared" si="61"/>
        <v>69.766097605513352</v>
      </c>
      <c r="S307" s="131">
        <f t="shared" si="62"/>
        <v>-5.2339023944866483</v>
      </c>
      <c r="T307" s="150">
        <f t="shared" si="64"/>
        <v>0</v>
      </c>
      <c r="V307" s="12"/>
    </row>
    <row r="308" spans="1:22" x14ac:dyDescent="0.25">
      <c r="A308" s="50">
        <f>'A) Base RI'!A309</f>
        <v>5932</v>
      </c>
      <c r="B308" s="437" t="str">
        <f>'A) Base RI'!B309</f>
        <v>Ursins</v>
      </c>
      <c r="C308" s="156">
        <v>116184.17888892085</v>
      </c>
      <c r="D308" s="156">
        <v>35062.826014924547</v>
      </c>
      <c r="E308" s="156">
        <v>0</v>
      </c>
      <c r="F308" s="156">
        <v>0</v>
      </c>
      <c r="G308" s="156">
        <v>0</v>
      </c>
      <c r="H308" s="440">
        <f t="shared" si="63"/>
        <v>151247.0049038454</v>
      </c>
      <c r="I308" s="156">
        <v>6858.6807692307693</v>
      </c>
      <c r="J308" s="443">
        <f>'B) D RI'!U309</f>
        <v>6683.323116883118</v>
      </c>
      <c r="K308" s="67">
        <f t="shared" si="65"/>
        <v>22.051909105081211</v>
      </c>
      <c r="L308" s="34">
        <f>'B) D RI'!S309</f>
        <v>77</v>
      </c>
      <c r="M308" s="34">
        <f t="shared" si="67"/>
        <v>54.948090894918792</v>
      </c>
      <c r="N308" s="34">
        <f>'J) Plafonnement effort'!G307+'J) Plafonnement effort'!H307-'K) Plafonnement aide'!I307</f>
        <v>19.369742683755682</v>
      </c>
      <c r="O308" s="34">
        <f t="shared" si="59"/>
        <v>74.317833578674481</v>
      </c>
      <c r="P308" s="48">
        <f t="shared" si="60"/>
        <v>0</v>
      </c>
      <c r="Q308" s="58">
        <f t="shared" si="66"/>
        <v>0</v>
      </c>
      <c r="R308" s="151">
        <f t="shared" si="61"/>
        <v>74.317833578674481</v>
      </c>
      <c r="S308" s="131">
        <f t="shared" si="62"/>
        <v>-2.682166421325519</v>
      </c>
      <c r="T308" s="150">
        <f t="shared" si="64"/>
        <v>0</v>
      </c>
      <c r="V308" s="12"/>
    </row>
    <row r="309" spans="1:22" x14ac:dyDescent="0.25">
      <c r="A309" s="50">
        <f>'A) Base RI'!A310</f>
        <v>5933</v>
      </c>
      <c r="B309" s="437" t="str">
        <f>'A) Base RI'!B310</f>
        <v>Valeyres-sous-Montagny</v>
      </c>
      <c r="C309" s="156">
        <v>378323.51111720462</v>
      </c>
      <c r="D309" s="156">
        <v>91596.423949323129</v>
      </c>
      <c r="E309" s="156">
        <v>0</v>
      </c>
      <c r="F309" s="156">
        <v>0</v>
      </c>
      <c r="G309" s="156">
        <v>0</v>
      </c>
      <c r="H309" s="440">
        <f t="shared" si="63"/>
        <v>469919.93506652775</v>
      </c>
      <c r="I309" s="156">
        <v>20763.196805555559</v>
      </c>
      <c r="J309" s="443">
        <f>'B) D RI'!U310</f>
        <v>22363.871527777774</v>
      </c>
      <c r="K309" s="67">
        <f t="shared" si="65"/>
        <v>22.63234989617747</v>
      </c>
      <c r="L309" s="34">
        <f>'B) D RI'!S310</f>
        <v>72</v>
      </c>
      <c r="M309" s="34">
        <f t="shared" si="67"/>
        <v>49.367650103822527</v>
      </c>
      <c r="N309" s="34">
        <f>'J) Plafonnement effort'!G308+'J) Plafonnement effort'!H308-'K) Plafonnement aide'!I308</f>
        <v>17.690094909312652</v>
      </c>
      <c r="O309" s="34">
        <f t="shared" si="59"/>
        <v>67.057745013135175</v>
      </c>
      <c r="P309" s="48">
        <f t="shared" si="60"/>
        <v>0</v>
      </c>
      <c r="Q309" s="58">
        <f t="shared" si="66"/>
        <v>0</v>
      </c>
      <c r="R309" s="151">
        <f t="shared" si="61"/>
        <v>67.057745013135175</v>
      </c>
      <c r="S309" s="131">
        <f t="shared" si="62"/>
        <v>-4.9422549868648247</v>
      </c>
      <c r="T309" s="150">
        <f t="shared" si="64"/>
        <v>0</v>
      </c>
      <c r="V309" s="12"/>
    </row>
    <row r="310" spans="1:22" x14ac:dyDescent="0.25">
      <c r="A310" s="50">
        <f>'A) Base RI'!A311</f>
        <v>5934</v>
      </c>
      <c r="B310" s="437" t="str">
        <f>'A) Base RI'!B311</f>
        <v>Valeyres-sous-Ursins</v>
      </c>
      <c r="C310" s="156">
        <v>103538.69234763244</v>
      </c>
      <c r="D310" s="156">
        <v>10673.587077385644</v>
      </c>
      <c r="E310" s="156">
        <v>0</v>
      </c>
      <c r="F310" s="156">
        <v>0</v>
      </c>
      <c r="G310" s="156">
        <v>0</v>
      </c>
      <c r="H310" s="440">
        <f t="shared" si="63"/>
        <v>114212.27942501809</v>
      </c>
      <c r="I310" s="156">
        <v>6895.611012658228</v>
      </c>
      <c r="J310" s="443">
        <f>'B) D RI'!U311</f>
        <v>7624.9658227848104</v>
      </c>
      <c r="K310" s="67">
        <f t="shared" si="65"/>
        <v>16.563039767666616</v>
      </c>
      <c r="L310" s="34">
        <f>'B) D RI'!S311</f>
        <v>79</v>
      </c>
      <c r="M310" s="34">
        <f t="shared" si="67"/>
        <v>62.436960232333384</v>
      </c>
      <c r="N310" s="34">
        <f>'J) Plafonnement effort'!G309+'J) Plafonnement effort'!H309-'K) Plafonnement aide'!I309</f>
        <v>20.748344600082469</v>
      </c>
      <c r="O310" s="34">
        <f t="shared" si="59"/>
        <v>83.185304832415852</v>
      </c>
      <c r="P310" s="48">
        <f t="shared" si="60"/>
        <v>0</v>
      </c>
      <c r="Q310" s="58">
        <f t="shared" si="66"/>
        <v>0</v>
      </c>
      <c r="R310" s="151">
        <f t="shared" si="61"/>
        <v>83.185304832415852</v>
      </c>
      <c r="S310" s="131">
        <f t="shared" si="62"/>
        <v>4.1853048324158522</v>
      </c>
      <c r="T310" s="150">
        <f t="shared" si="64"/>
        <v>0</v>
      </c>
      <c r="V310" s="12"/>
    </row>
    <row r="311" spans="1:22" x14ac:dyDescent="0.25">
      <c r="A311" s="50">
        <f>'A) Base RI'!A312</f>
        <v>5935</v>
      </c>
      <c r="B311" s="437" t="str">
        <f>'A) Base RI'!B312</f>
        <v>Villars-Epeney</v>
      </c>
      <c r="C311" s="156">
        <v>87432.73728555374</v>
      </c>
      <c r="D311" s="156">
        <v>91359.107827753876</v>
      </c>
      <c r="E311" s="156">
        <v>0</v>
      </c>
      <c r="F311" s="156">
        <v>0</v>
      </c>
      <c r="G311" s="156">
        <v>0</v>
      </c>
      <c r="H311" s="440">
        <f t="shared" si="63"/>
        <v>178791.84511330762</v>
      </c>
      <c r="I311" s="156">
        <v>5507.9496666666664</v>
      </c>
      <c r="J311" s="443">
        <f>'B) D RI'!U312</f>
        <v>5603.6660000000002</v>
      </c>
      <c r="K311" s="67">
        <f t="shared" si="65"/>
        <v>32.460689718232288</v>
      </c>
      <c r="L311" s="34">
        <f>'B) D RI'!S312</f>
        <v>60</v>
      </c>
      <c r="M311" s="34">
        <f t="shared" si="67"/>
        <v>27.539310281767712</v>
      </c>
      <c r="N311" s="34">
        <f>'J) Plafonnement effort'!G310+'J) Plafonnement effort'!H310-'K) Plafonnement aide'!I310</f>
        <v>32.060575177669477</v>
      </c>
      <c r="O311" s="34">
        <f t="shared" si="59"/>
        <v>59.599885459437189</v>
      </c>
      <c r="P311" s="48">
        <f t="shared" si="60"/>
        <v>0</v>
      </c>
      <c r="Q311" s="58">
        <f t="shared" si="66"/>
        <v>0</v>
      </c>
      <c r="R311" s="151">
        <f t="shared" si="61"/>
        <v>59.599885459437189</v>
      </c>
      <c r="S311" s="131">
        <f t="shared" si="62"/>
        <v>-0.40011454056281082</v>
      </c>
      <c r="T311" s="150">
        <f t="shared" si="64"/>
        <v>0</v>
      </c>
      <c r="V311" s="12"/>
    </row>
    <row r="312" spans="1:22" x14ac:dyDescent="0.25">
      <c r="A312" s="50">
        <f>'A) Base RI'!A313</f>
        <v>5937</v>
      </c>
      <c r="B312" s="437" t="str">
        <f>'A) Base RI'!B313</f>
        <v>Vugelles-La Mothe</v>
      </c>
      <c r="C312" s="156">
        <v>49397.297536477345</v>
      </c>
      <c r="D312" s="156">
        <v>-8680.5107222832085</v>
      </c>
      <c r="E312" s="156">
        <v>0</v>
      </c>
      <c r="F312" s="156">
        <v>0</v>
      </c>
      <c r="G312" s="156">
        <v>0</v>
      </c>
      <c r="H312" s="440">
        <f t="shared" si="63"/>
        <v>40716.786814194136</v>
      </c>
      <c r="I312" s="156">
        <v>2890.9266938775513</v>
      </c>
      <c r="J312" s="443">
        <f>'B) D RI'!U313</f>
        <v>2433.2134081632657</v>
      </c>
      <c r="K312" s="67">
        <f t="shared" si="65"/>
        <v>14.084337351211557</v>
      </c>
      <c r="L312" s="34">
        <f>'B) D RI'!S313</f>
        <v>70</v>
      </c>
      <c r="M312" s="34">
        <f t="shared" si="67"/>
        <v>55.915662648788441</v>
      </c>
      <c r="N312" s="34">
        <f>'J) Plafonnement effort'!G311+'J) Plafonnement effort'!H311-'K) Plafonnement aide'!I311</f>
        <v>-9.5665126350936305</v>
      </c>
      <c r="O312" s="34">
        <f t="shared" si="59"/>
        <v>46.34915001369481</v>
      </c>
      <c r="P312" s="48">
        <f t="shared" si="60"/>
        <v>0</v>
      </c>
      <c r="Q312" s="58">
        <f t="shared" si="66"/>
        <v>0</v>
      </c>
      <c r="R312" s="151">
        <f t="shared" si="61"/>
        <v>46.34915001369481</v>
      </c>
      <c r="S312" s="131">
        <f t="shared" si="62"/>
        <v>-23.65084998630519</v>
      </c>
      <c r="T312" s="150">
        <f t="shared" si="64"/>
        <v>0</v>
      </c>
      <c r="V312" s="12"/>
    </row>
    <row r="313" spans="1:22" x14ac:dyDescent="0.25">
      <c r="A313" s="50">
        <f>'A) Base RI'!A314</f>
        <v>5938</v>
      </c>
      <c r="B313" s="437" t="str">
        <f>'A) Base RI'!B314</f>
        <v>Yverdon-les-Bains</v>
      </c>
      <c r="C313" s="156">
        <v>14888219.080967735</v>
      </c>
      <c r="D313" s="156">
        <v>-23389910.240496282</v>
      </c>
      <c r="E313" s="156">
        <v>3289246.0326658031</v>
      </c>
      <c r="F313" s="156">
        <v>0</v>
      </c>
      <c r="G313" s="156">
        <v>0</v>
      </c>
      <c r="H313" s="440">
        <f t="shared" si="63"/>
        <v>-5212445.1268627429</v>
      </c>
      <c r="I313" s="156">
        <v>801914.63490196085</v>
      </c>
      <c r="J313" s="443">
        <f>'B) D RI'!U314</f>
        <v>774658.89816993475</v>
      </c>
      <c r="K313" s="67">
        <f t="shared" si="65"/>
        <v>-6.4999999999999964</v>
      </c>
      <c r="L313" s="34">
        <f>'B) D RI'!S314</f>
        <v>76.5</v>
      </c>
      <c r="M313" s="34">
        <f t="shared" si="67"/>
        <v>83</v>
      </c>
      <c r="N313" s="34">
        <f>'J) Plafonnement effort'!G312+'J) Plafonnement effort'!H312-'K) Plafonnement aide'!I312</f>
        <v>-16.440104083514942</v>
      </c>
      <c r="O313" s="34">
        <f t="shared" si="59"/>
        <v>66.559895916485061</v>
      </c>
      <c r="P313" s="48">
        <f t="shared" si="60"/>
        <v>0</v>
      </c>
      <c r="Q313" s="58">
        <f t="shared" si="66"/>
        <v>0</v>
      </c>
      <c r="R313" s="151">
        <f t="shared" si="61"/>
        <v>66.559895916485061</v>
      </c>
      <c r="S313" s="131">
        <f t="shared" si="62"/>
        <v>-9.9401040835149388</v>
      </c>
      <c r="T313" s="150">
        <f t="shared" si="64"/>
        <v>0</v>
      </c>
      <c r="V313" s="12"/>
    </row>
    <row r="314" spans="1:22" x14ac:dyDescent="0.25">
      <c r="A314" s="51">
        <f>'A) Base RI'!A315</f>
        <v>5939</v>
      </c>
      <c r="B314" s="438" t="str">
        <f>'A) Base RI'!B315</f>
        <v>Yvonand</v>
      </c>
      <c r="C314" s="156">
        <v>2033233.9768922348</v>
      </c>
      <c r="D314" s="156">
        <v>-436150.71049258672</v>
      </c>
      <c r="E314" s="156">
        <v>0</v>
      </c>
      <c r="F314" s="156">
        <v>0</v>
      </c>
      <c r="G314" s="156">
        <v>0</v>
      </c>
      <c r="H314" s="440">
        <f t="shared" si="63"/>
        <v>1597083.266399648</v>
      </c>
      <c r="I314" s="445">
        <v>93413.424931506845</v>
      </c>
      <c r="J314" s="444">
        <f>'B) D RI'!U315</f>
        <v>93821.233287671232</v>
      </c>
      <c r="K314" s="67">
        <f t="shared" si="65"/>
        <v>17.096935130798073</v>
      </c>
      <c r="L314" s="93">
        <f>'B) D RI'!S315</f>
        <v>73</v>
      </c>
      <c r="M314" s="93">
        <f t="shared" si="67"/>
        <v>55.903064869201927</v>
      </c>
      <c r="N314" s="93">
        <f>'J) Plafonnement effort'!G313+'J) Plafonnement effort'!H313-'K) Plafonnement aide'!I313</f>
        <v>10.581023561910504</v>
      </c>
      <c r="O314" s="93">
        <f t="shared" si="59"/>
        <v>66.484088431112426</v>
      </c>
      <c r="P314" s="48">
        <f t="shared" si="60"/>
        <v>0</v>
      </c>
      <c r="Q314" s="58">
        <f t="shared" si="66"/>
        <v>0</v>
      </c>
      <c r="R314" s="152">
        <f t="shared" si="61"/>
        <v>66.484088431112426</v>
      </c>
      <c r="S314" s="132">
        <f t="shared" si="62"/>
        <v>-6.5159115688875744</v>
      </c>
      <c r="T314" s="150">
        <f t="shared" si="64"/>
        <v>0</v>
      </c>
      <c r="V314" s="12"/>
    </row>
    <row r="315" spans="1:22" x14ac:dyDescent="0.25">
      <c r="A315" s="31"/>
      <c r="B315" s="125">
        <f>COUNTA(B6:B314)</f>
        <v>309</v>
      </c>
      <c r="C315" s="446">
        <f>SUM(C6:C314)</f>
        <v>772630956</v>
      </c>
      <c r="D315" s="157">
        <f t="shared" ref="D315:J315" si="68">SUM(D6:D314)</f>
        <v>137702392.12305978</v>
      </c>
      <c r="E315" s="157">
        <f t="shared" si="68"/>
        <v>5831117.4763329998</v>
      </c>
      <c r="F315" s="157">
        <f t="shared" si="68"/>
        <v>-746473.90988343093</v>
      </c>
      <c r="G315" s="157">
        <f t="shared" si="68"/>
        <v>-6324.0122778541308</v>
      </c>
      <c r="H315" s="157">
        <f t="shared" si="68"/>
        <v>915411667.67723179</v>
      </c>
      <c r="I315" s="439">
        <f t="shared" si="68"/>
        <v>36767173.359367341</v>
      </c>
      <c r="J315" s="101">
        <f t="shared" si="68"/>
        <v>37017775.996768594</v>
      </c>
      <c r="K315" s="64">
        <f>H315/I315</f>
        <v>24.897526354008068</v>
      </c>
      <c r="L315" s="20">
        <f>'B) D RI'!S316</f>
        <v>68.007628491199924</v>
      </c>
      <c r="M315" s="20"/>
      <c r="N315" s="20"/>
      <c r="O315" s="20"/>
      <c r="P315" s="121"/>
      <c r="Q315" s="38">
        <f>SUM(Q6:Q314)</f>
        <v>-7942.6011709205522</v>
      </c>
      <c r="R315" s="124"/>
      <c r="S315" s="102"/>
      <c r="T315" s="154"/>
    </row>
    <row r="316" spans="1:22" x14ac:dyDescent="0.25">
      <c r="T316" s="23"/>
    </row>
    <row r="317" spans="1:22" s="6" customFormat="1" x14ac:dyDescent="0.25">
      <c r="K317" s="286"/>
      <c r="N317" s="15"/>
      <c r="O317" s="15"/>
    </row>
    <row r="319" spans="1:22" x14ac:dyDescent="0.25">
      <c r="H319" s="12"/>
    </row>
    <row r="320" spans="1:22" s="6" customFormat="1" x14ac:dyDescent="0.25">
      <c r="K320" s="286"/>
      <c r="M320" s="286"/>
      <c r="N320" s="15"/>
      <c r="O320" s="15"/>
      <c r="P320" s="286"/>
    </row>
  </sheetData>
  <mergeCells count="17">
    <mergeCell ref="M4:M5"/>
    <mergeCell ref="L4:L5"/>
    <mergeCell ref="H4:H5"/>
    <mergeCell ref="G4:G5"/>
    <mergeCell ref="F4:F5"/>
    <mergeCell ref="S4:S5"/>
    <mergeCell ref="R4:R5"/>
    <mergeCell ref="Q4:Q5"/>
    <mergeCell ref="O4:O5"/>
    <mergeCell ref="N4:N5"/>
    <mergeCell ref="C3:I3"/>
    <mergeCell ref="C4:C5"/>
    <mergeCell ref="B4:B5"/>
    <mergeCell ref="A4:A5"/>
    <mergeCell ref="K4:K5"/>
    <mergeCell ref="E4:E5"/>
    <mergeCell ref="D4:D5"/>
  </mergeCells>
  <phoneticPr fontId="0" type="noConversion"/>
  <printOptions horizontalCentered="1"/>
  <pageMargins left="0" right="0" top="0" bottom="0" header="0.51181102362204722" footer="0.51181102362204722"/>
  <pageSetup paperSize="9" scale="63" orientation="landscape" horizontalDpi="4294967292" verticalDpi="4294967292"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6">
    <tabColor rgb="FF00B050"/>
    <pageSetUpPr fitToPage="1"/>
  </sheetPr>
  <dimension ref="A1:O316"/>
  <sheetViews>
    <sheetView workbookViewId="0"/>
  </sheetViews>
  <sheetFormatPr baseColWidth="10" defaultColWidth="9.375" defaultRowHeight="15" x14ac:dyDescent="0.25"/>
  <cols>
    <col min="1" max="1" width="8.125" style="219" customWidth="1"/>
    <col min="2" max="2" width="17.875" style="219" bestFit="1" customWidth="1"/>
    <col min="3" max="3" width="9.875" style="219" customWidth="1"/>
    <col min="4" max="4" width="10.5" style="219" customWidth="1"/>
    <col min="5" max="5" width="5.625" style="219" bestFit="1" customWidth="1"/>
    <col min="6" max="6" width="12" style="219" bestFit="1" customWidth="1"/>
    <col min="7" max="7" width="10.875" style="219" bestFit="1" customWidth="1"/>
    <col min="8" max="8" width="12" style="219" bestFit="1" customWidth="1"/>
    <col min="9" max="9" width="13.625" style="219" customWidth="1"/>
    <col min="10" max="10" width="11.375" style="219" bestFit="1" customWidth="1"/>
    <col min="11" max="11" width="11.75" style="219" customWidth="1"/>
    <col min="12" max="12" width="11.375" style="219" bestFit="1" customWidth="1"/>
    <col min="13" max="13" width="9.75" style="219" bestFit="1" customWidth="1"/>
    <col min="14" max="14" width="11.375" style="219" bestFit="1" customWidth="1"/>
    <col min="15" max="15" width="10.75" style="219" bestFit="1" customWidth="1"/>
    <col min="16" max="217" width="9.375" style="219"/>
    <col min="218" max="218" width="5" style="219" customWidth="1"/>
    <col min="219" max="219" width="17.875" style="219" bestFit="1" customWidth="1"/>
    <col min="220" max="220" width="9.875" style="219" customWidth="1"/>
    <col min="221" max="221" width="8.875" style="219" customWidth="1"/>
    <col min="222" max="222" width="7.375" style="219" bestFit="1" customWidth="1"/>
    <col min="223" max="223" width="10.125" style="219" bestFit="1" customWidth="1"/>
    <col min="224" max="224" width="9.375" style="219"/>
    <col min="225" max="225" width="10.125" style="219" bestFit="1" customWidth="1"/>
    <col min="226" max="226" width="10.75" style="219" customWidth="1"/>
    <col min="227" max="229" width="9.375" style="219"/>
    <col min="230" max="231" width="10.75" style="219" customWidth="1"/>
    <col min="232" max="236" width="9.375" style="219"/>
    <col min="237" max="237" width="1.625" style="219" bestFit="1" customWidth="1"/>
    <col min="238" max="238" width="9.375" style="219"/>
    <col min="239" max="239" width="8.875" style="219" customWidth="1"/>
    <col min="240" max="240" width="13.125" style="219" customWidth="1"/>
    <col min="241" max="241" width="9.375" style="219"/>
    <col min="242" max="242" width="9.875" style="219" customWidth="1"/>
    <col min="243" max="243" width="11.75" style="219" bestFit="1" customWidth="1"/>
    <col min="244" max="473" width="9.375" style="219"/>
    <col min="474" max="474" width="5" style="219" customWidth="1"/>
    <col min="475" max="475" width="17.875" style="219" bestFit="1" customWidth="1"/>
    <col min="476" max="476" width="9.875" style="219" customWidth="1"/>
    <col min="477" max="477" width="8.875" style="219" customWidth="1"/>
    <col min="478" max="478" width="7.375" style="219" bestFit="1" customWidth="1"/>
    <col min="479" max="479" width="10.125" style="219" bestFit="1" customWidth="1"/>
    <col min="480" max="480" width="9.375" style="219"/>
    <col min="481" max="481" width="10.125" style="219" bestFit="1" customWidth="1"/>
    <col min="482" max="482" width="10.75" style="219" customWidth="1"/>
    <col min="483" max="485" width="9.375" style="219"/>
    <col min="486" max="487" width="10.75" style="219" customWidth="1"/>
    <col min="488" max="492" width="9.375" style="219"/>
    <col min="493" max="493" width="1.625" style="219" bestFit="1" customWidth="1"/>
    <col min="494" max="494" width="9.375" style="219"/>
    <col min="495" max="495" width="8.875" style="219" customWidth="1"/>
    <col min="496" max="496" width="13.125" style="219" customWidth="1"/>
    <col min="497" max="497" width="9.375" style="219"/>
    <col min="498" max="498" width="9.875" style="219" customWidth="1"/>
    <col min="499" max="499" width="11.75" style="219" bestFit="1" customWidth="1"/>
    <col min="500" max="729" width="9.375" style="219"/>
    <col min="730" max="730" width="5" style="219" customWidth="1"/>
    <col min="731" max="731" width="17.875" style="219" bestFit="1" customWidth="1"/>
    <col min="732" max="732" width="9.875" style="219" customWidth="1"/>
    <col min="733" max="733" width="8.875" style="219" customWidth="1"/>
    <col min="734" max="734" width="7.375" style="219" bestFit="1" customWidth="1"/>
    <col min="735" max="735" width="10.125" style="219" bestFit="1" customWidth="1"/>
    <col min="736" max="736" width="9.375" style="219"/>
    <col min="737" max="737" width="10.125" style="219" bestFit="1" customWidth="1"/>
    <col min="738" max="738" width="10.75" style="219" customWidth="1"/>
    <col min="739" max="741" width="9.375" style="219"/>
    <col min="742" max="743" width="10.75" style="219" customWidth="1"/>
    <col min="744" max="748" width="9.375" style="219"/>
    <col min="749" max="749" width="1.625" style="219" bestFit="1" customWidth="1"/>
    <col min="750" max="750" width="9.375" style="219"/>
    <col min="751" max="751" width="8.875" style="219" customWidth="1"/>
    <col min="752" max="752" width="13.125" style="219" customWidth="1"/>
    <col min="753" max="753" width="9.375" style="219"/>
    <col min="754" max="754" width="9.875" style="219" customWidth="1"/>
    <col min="755" max="755" width="11.75" style="219" bestFit="1" customWidth="1"/>
    <col min="756" max="985" width="9.375" style="219"/>
    <col min="986" max="986" width="5" style="219" customWidth="1"/>
    <col min="987" max="987" width="17.875" style="219" bestFit="1" customWidth="1"/>
    <col min="988" max="988" width="9.875" style="219" customWidth="1"/>
    <col min="989" max="989" width="8.875" style="219" customWidth="1"/>
    <col min="990" max="990" width="7.375" style="219" bestFit="1" customWidth="1"/>
    <col min="991" max="991" width="10.125" style="219" bestFit="1" customWidth="1"/>
    <col min="992" max="992" width="9.375" style="219"/>
    <col min="993" max="993" width="10.125" style="219" bestFit="1" customWidth="1"/>
    <col min="994" max="994" width="10.75" style="219" customWidth="1"/>
    <col min="995" max="997" width="9.375" style="219"/>
    <col min="998" max="999" width="10.75" style="219" customWidth="1"/>
    <col min="1000" max="1004" width="9.375" style="219"/>
    <col min="1005" max="1005" width="1.625" style="219" bestFit="1" customWidth="1"/>
    <col min="1006" max="1006" width="9.375" style="219"/>
    <col min="1007" max="1007" width="8.875" style="219" customWidth="1"/>
    <col min="1008" max="1008" width="13.125" style="219" customWidth="1"/>
    <col min="1009" max="1009" width="9.375" style="219"/>
    <col min="1010" max="1010" width="9.875" style="219" customWidth="1"/>
    <col min="1011" max="1011" width="11.75" style="219" bestFit="1" customWidth="1"/>
    <col min="1012" max="1241" width="9.375" style="219"/>
    <col min="1242" max="1242" width="5" style="219" customWidth="1"/>
    <col min="1243" max="1243" width="17.875" style="219" bestFit="1" customWidth="1"/>
    <col min="1244" max="1244" width="9.875" style="219" customWidth="1"/>
    <col min="1245" max="1245" width="8.875" style="219" customWidth="1"/>
    <col min="1246" max="1246" width="7.375" style="219" bestFit="1" customWidth="1"/>
    <col min="1247" max="1247" width="10.125" style="219" bestFit="1" customWidth="1"/>
    <col min="1248" max="1248" width="9.375" style="219"/>
    <col min="1249" max="1249" width="10.125" style="219" bestFit="1" customWidth="1"/>
    <col min="1250" max="1250" width="10.75" style="219" customWidth="1"/>
    <col min="1251" max="1253" width="9.375" style="219"/>
    <col min="1254" max="1255" width="10.75" style="219" customWidth="1"/>
    <col min="1256" max="1260" width="9.375" style="219"/>
    <col min="1261" max="1261" width="1.625" style="219" bestFit="1" customWidth="1"/>
    <col min="1262" max="1262" width="9.375" style="219"/>
    <col min="1263" max="1263" width="8.875" style="219" customWidth="1"/>
    <col min="1264" max="1264" width="13.125" style="219" customWidth="1"/>
    <col min="1265" max="1265" width="9.375" style="219"/>
    <col min="1266" max="1266" width="9.875" style="219" customWidth="1"/>
    <col min="1267" max="1267" width="11.75" style="219" bestFit="1" customWidth="1"/>
    <col min="1268" max="1497" width="9.375" style="219"/>
    <col min="1498" max="1498" width="5" style="219" customWidth="1"/>
    <col min="1499" max="1499" width="17.875" style="219" bestFit="1" customWidth="1"/>
    <col min="1500" max="1500" width="9.875" style="219" customWidth="1"/>
    <col min="1501" max="1501" width="8.875" style="219" customWidth="1"/>
    <col min="1502" max="1502" width="7.375" style="219" bestFit="1" customWidth="1"/>
    <col min="1503" max="1503" width="10.125" style="219" bestFit="1" customWidth="1"/>
    <col min="1504" max="1504" width="9.375" style="219"/>
    <col min="1505" max="1505" width="10.125" style="219" bestFit="1" customWidth="1"/>
    <col min="1506" max="1506" width="10.75" style="219" customWidth="1"/>
    <col min="1507" max="1509" width="9.375" style="219"/>
    <col min="1510" max="1511" width="10.75" style="219" customWidth="1"/>
    <col min="1512" max="1516" width="9.375" style="219"/>
    <col min="1517" max="1517" width="1.625" style="219" bestFit="1" customWidth="1"/>
    <col min="1518" max="1518" width="9.375" style="219"/>
    <col min="1519" max="1519" width="8.875" style="219" customWidth="1"/>
    <col min="1520" max="1520" width="13.125" style="219" customWidth="1"/>
    <col min="1521" max="1521" width="9.375" style="219"/>
    <col min="1522" max="1522" width="9.875" style="219" customWidth="1"/>
    <col min="1523" max="1523" width="11.75" style="219" bestFit="1" customWidth="1"/>
    <col min="1524" max="1753" width="9.375" style="219"/>
    <col min="1754" max="1754" width="5" style="219" customWidth="1"/>
    <col min="1755" max="1755" width="17.875" style="219" bestFit="1" customWidth="1"/>
    <col min="1756" max="1756" width="9.875" style="219" customWidth="1"/>
    <col min="1757" max="1757" width="8.875" style="219" customWidth="1"/>
    <col min="1758" max="1758" width="7.375" style="219" bestFit="1" customWidth="1"/>
    <col min="1759" max="1759" width="10.125" style="219" bestFit="1" customWidth="1"/>
    <col min="1760" max="1760" width="9.375" style="219"/>
    <col min="1761" max="1761" width="10.125" style="219" bestFit="1" customWidth="1"/>
    <col min="1762" max="1762" width="10.75" style="219" customWidth="1"/>
    <col min="1763" max="1765" width="9.375" style="219"/>
    <col min="1766" max="1767" width="10.75" style="219" customWidth="1"/>
    <col min="1768" max="1772" width="9.375" style="219"/>
    <col min="1773" max="1773" width="1.625" style="219" bestFit="1" customWidth="1"/>
    <col min="1774" max="1774" width="9.375" style="219"/>
    <col min="1775" max="1775" width="8.875" style="219" customWidth="1"/>
    <col min="1776" max="1776" width="13.125" style="219" customWidth="1"/>
    <col min="1777" max="1777" width="9.375" style="219"/>
    <col min="1778" max="1778" width="9.875" style="219" customWidth="1"/>
    <col min="1779" max="1779" width="11.75" style="219" bestFit="1" customWidth="1"/>
    <col min="1780" max="2009" width="9.375" style="219"/>
    <col min="2010" max="2010" width="5" style="219" customWidth="1"/>
    <col min="2011" max="2011" width="17.875" style="219" bestFit="1" customWidth="1"/>
    <col min="2012" max="2012" width="9.875" style="219" customWidth="1"/>
    <col min="2013" max="2013" width="8.875" style="219" customWidth="1"/>
    <col min="2014" max="2014" width="7.375" style="219" bestFit="1" customWidth="1"/>
    <col min="2015" max="2015" width="10.125" style="219" bestFit="1" customWidth="1"/>
    <col min="2016" max="2016" width="9.375" style="219"/>
    <col min="2017" max="2017" width="10.125" style="219" bestFit="1" customWidth="1"/>
    <col min="2018" max="2018" width="10.75" style="219" customWidth="1"/>
    <col min="2019" max="2021" width="9.375" style="219"/>
    <col min="2022" max="2023" width="10.75" style="219" customWidth="1"/>
    <col min="2024" max="2028" width="9.375" style="219"/>
    <col min="2029" max="2029" width="1.625" style="219" bestFit="1" customWidth="1"/>
    <col min="2030" max="2030" width="9.375" style="219"/>
    <col min="2031" max="2031" width="8.875" style="219" customWidth="1"/>
    <col min="2032" max="2032" width="13.125" style="219" customWidth="1"/>
    <col min="2033" max="2033" width="9.375" style="219"/>
    <col min="2034" max="2034" width="9.875" style="219" customWidth="1"/>
    <col min="2035" max="2035" width="11.75" style="219" bestFit="1" customWidth="1"/>
    <col min="2036" max="2265" width="9.375" style="219"/>
    <col min="2266" max="2266" width="5" style="219" customWidth="1"/>
    <col min="2267" max="2267" width="17.875" style="219" bestFit="1" customWidth="1"/>
    <col min="2268" max="2268" width="9.875" style="219" customWidth="1"/>
    <col min="2269" max="2269" width="8.875" style="219" customWidth="1"/>
    <col min="2270" max="2270" width="7.375" style="219" bestFit="1" customWidth="1"/>
    <col min="2271" max="2271" width="10.125" style="219" bestFit="1" customWidth="1"/>
    <col min="2272" max="2272" width="9.375" style="219"/>
    <col min="2273" max="2273" width="10.125" style="219" bestFit="1" customWidth="1"/>
    <col min="2274" max="2274" width="10.75" style="219" customWidth="1"/>
    <col min="2275" max="2277" width="9.375" style="219"/>
    <col min="2278" max="2279" width="10.75" style="219" customWidth="1"/>
    <col min="2280" max="2284" width="9.375" style="219"/>
    <col min="2285" max="2285" width="1.625" style="219" bestFit="1" customWidth="1"/>
    <col min="2286" max="2286" width="9.375" style="219"/>
    <col min="2287" max="2287" width="8.875" style="219" customWidth="1"/>
    <col min="2288" max="2288" width="13.125" style="219" customWidth="1"/>
    <col min="2289" max="2289" width="9.375" style="219"/>
    <col min="2290" max="2290" width="9.875" style="219" customWidth="1"/>
    <col min="2291" max="2291" width="11.75" style="219" bestFit="1" customWidth="1"/>
    <col min="2292" max="2521" width="9.375" style="219"/>
    <col min="2522" max="2522" width="5" style="219" customWidth="1"/>
    <col min="2523" max="2523" width="17.875" style="219" bestFit="1" customWidth="1"/>
    <col min="2524" max="2524" width="9.875" style="219" customWidth="1"/>
    <col min="2525" max="2525" width="8.875" style="219" customWidth="1"/>
    <col min="2526" max="2526" width="7.375" style="219" bestFit="1" customWidth="1"/>
    <col min="2527" max="2527" width="10.125" style="219" bestFit="1" customWidth="1"/>
    <col min="2528" max="2528" width="9.375" style="219"/>
    <col min="2529" max="2529" width="10.125" style="219" bestFit="1" customWidth="1"/>
    <col min="2530" max="2530" width="10.75" style="219" customWidth="1"/>
    <col min="2531" max="2533" width="9.375" style="219"/>
    <col min="2534" max="2535" width="10.75" style="219" customWidth="1"/>
    <col min="2536" max="2540" width="9.375" style="219"/>
    <col min="2541" max="2541" width="1.625" style="219" bestFit="1" customWidth="1"/>
    <col min="2542" max="2542" width="9.375" style="219"/>
    <col min="2543" max="2543" width="8.875" style="219" customWidth="1"/>
    <col min="2544" max="2544" width="13.125" style="219" customWidth="1"/>
    <col min="2545" max="2545" width="9.375" style="219"/>
    <col min="2546" max="2546" width="9.875" style="219" customWidth="1"/>
    <col min="2547" max="2547" width="11.75" style="219" bestFit="1" customWidth="1"/>
    <col min="2548" max="2777" width="9.375" style="219"/>
    <col min="2778" max="2778" width="5" style="219" customWidth="1"/>
    <col min="2779" max="2779" width="17.875" style="219" bestFit="1" customWidth="1"/>
    <col min="2780" max="2780" width="9.875" style="219" customWidth="1"/>
    <col min="2781" max="2781" width="8.875" style="219" customWidth="1"/>
    <col min="2782" max="2782" width="7.375" style="219" bestFit="1" customWidth="1"/>
    <col min="2783" max="2783" width="10.125" style="219" bestFit="1" customWidth="1"/>
    <col min="2784" max="2784" width="9.375" style="219"/>
    <col min="2785" max="2785" width="10.125" style="219" bestFit="1" customWidth="1"/>
    <col min="2786" max="2786" width="10.75" style="219" customWidth="1"/>
    <col min="2787" max="2789" width="9.375" style="219"/>
    <col min="2790" max="2791" width="10.75" style="219" customWidth="1"/>
    <col min="2792" max="2796" width="9.375" style="219"/>
    <col min="2797" max="2797" width="1.625" style="219" bestFit="1" customWidth="1"/>
    <col min="2798" max="2798" width="9.375" style="219"/>
    <col min="2799" max="2799" width="8.875" style="219" customWidth="1"/>
    <col min="2800" max="2800" width="13.125" style="219" customWidth="1"/>
    <col min="2801" max="2801" width="9.375" style="219"/>
    <col min="2802" max="2802" width="9.875" style="219" customWidth="1"/>
    <col min="2803" max="2803" width="11.75" style="219" bestFit="1" customWidth="1"/>
    <col min="2804" max="3033" width="9.375" style="219"/>
    <col min="3034" max="3034" width="5" style="219" customWidth="1"/>
    <col min="3035" max="3035" width="17.875" style="219" bestFit="1" customWidth="1"/>
    <col min="3036" max="3036" width="9.875" style="219" customWidth="1"/>
    <col min="3037" max="3037" width="8.875" style="219" customWidth="1"/>
    <col min="3038" max="3038" width="7.375" style="219" bestFit="1" customWidth="1"/>
    <col min="3039" max="3039" width="10.125" style="219" bestFit="1" customWidth="1"/>
    <col min="3040" max="3040" width="9.375" style="219"/>
    <col min="3041" max="3041" width="10.125" style="219" bestFit="1" customWidth="1"/>
    <col min="3042" max="3042" width="10.75" style="219" customWidth="1"/>
    <col min="3043" max="3045" width="9.375" style="219"/>
    <col min="3046" max="3047" width="10.75" style="219" customWidth="1"/>
    <col min="3048" max="3052" width="9.375" style="219"/>
    <col min="3053" max="3053" width="1.625" style="219" bestFit="1" customWidth="1"/>
    <col min="3054" max="3054" width="9.375" style="219"/>
    <col min="3055" max="3055" width="8.875" style="219" customWidth="1"/>
    <col min="3056" max="3056" width="13.125" style="219" customWidth="1"/>
    <col min="3057" max="3057" width="9.375" style="219"/>
    <col min="3058" max="3058" width="9.875" style="219" customWidth="1"/>
    <col min="3059" max="3059" width="11.75" style="219" bestFit="1" customWidth="1"/>
    <col min="3060" max="3289" width="9.375" style="219"/>
    <col min="3290" max="3290" width="5" style="219" customWidth="1"/>
    <col min="3291" max="3291" width="17.875" style="219" bestFit="1" customWidth="1"/>
    <col min="3292" max="3292" width="9.875" style="219" customWidth="1"/>
    <col min="3293" max="3293" width="8.875" style="219" customWidth="1"/>
    <col min="3294" max="3294" width="7.375" style="219" bestFit="1" customWidth="1"/>
    <col min="3295" max="3295" width="10.125" style="219" bestFit="1" customWidth="1"/>
    <col min="3296" max="3296" width="9.375" style="219"/>
    <col min="3297" max="3297" width="10.125" style="219" bestFit="1" customWidth="1"/>
    <col min="3298" max="3298" width="10.75" style="219" customWidth="1"/>
    <col min="3299" max="3301" width="9.375" style="219"/>
    <col min="3302" max="3303" width="10.75" style="219" customWidth="1"/>
    <col min="3304" max="3308" width="9.375" style="219"/>
    <col min="3309" max="3309" width="1.625" style="219" bestFit="1" customWidth="1"/>
    <col min="3310" max="3310" width="9.375" style="219"/>
    <col min="3311" max="3311" width="8.875" style="219" customWidth="1"/>
    <col min="3312" max="3312" width="13.125" style="219" customWidth="1"/>
    <col min="3313" max="3313" width="9.375" style="219"/>
    <col min="3314" max="3314" width="9.875" style="219" customWidth="1"/>
    <col min="3315" max="3315" width="11.75" style="219" bestFit="1" customWidth="1"/>
    <col min="3316" max="3545" width="9.375" style="219"/>
    <col min="3546" max="3546" width="5" style="219" customWidth="1"/>
    <col min="3547" max="3547" width="17.875" style="219" bestFit="1" customWidth="1"/>
    <col min="3548" max="3548" width="9.875" style="219" customWidth="1"/>
    <col min="3549" max="3549" width="8.875" style="219" customWidth="1"/>
    <col min="3550" max="3550" width="7.375" style="219" bestFit="1" customWidth="1"/>
    <col min="3551" max="3551" width="10.125" style="219" bestFit="1" customWidth="1"/>
    <col min="3552" max="3552" width="9.375" style="219"/>
    <col min="3553" max="3553" width="10.125" style="219" bestFit="1" customWidth="1"/>
    <col min="3554" max="3554" width="10.75" style="219" customWidth="1"/>
    <col min="3555" max="3557" width="9.375" style="219"/>
    <col min="3558" max="3559" width="10.75" style="219" customWidth="1"/>
    <col min="3560" max="3564" width="9.375" style="219"/>
    <col min="3565" max="3565" width="1.625" style="219" bestFit="1" customWidth="1"/>
    <col min="3566" max="3566" width="9.375" style="219"/>
    <col min="3567" max="3567" width="8.875" style="219" customWidth="1"/>
    <col min="3568" max="3568" width="13.125" style="219" customWidth="1"/>
    <col min="3569" max="3569" width="9.375" style="219"/>
    <col min="3570" max="3570" width="9.875" style="219" customWidth="1"/>
    <col min="3571" max="3571" width="11.75" style="219" bestFit="1" customWidth="1"/>
    <col min="3572" max="3801" width="9.375" style="219"/>
    <col min="3802" max="3802" width="5" style="219" customWidth="1"/>
    <col min="3803" max="3803" width="17.875" style="219" bestFit="1" customWidth="1"/>
    <col min="3804" max="3804" width="9.875" style="219" customWidth="1"/>
    <col min="3805" max="3805" width="8.875" style="219" customWidth="1"/>
    <col min="3806" max="3806" width="7.375" style="219" bestFit="1" customWidth="1"/>
    <col min="3807" max="3807" width="10.125" style="219" bestFit="1" customWidth="1"/>
    <col min="3808" max="3808" width="9.375" style="219"/>
    <col min="3809" max="3809" width="10.125" style="219" bestFit="1" customWidth="1"/>
    <col min="3810" max="3810" width="10.75" style="219" customWidth="1"/>
    <col min="3811" max="3813" width="9.375" style="219"/>
    <col min="3814" max="3815" width="10.75" style="219" customWidth="1"/>
    <col min="3816" max="3820" width="9.375" style="219"/>
    <col min="3821" max="3821" width="1.625" style="219" bestFit="1" customWidth="1"/>
    <col min="3822" max="3822" width="9.375" style="219"/>
    <col min="3823" max="3823" width="8.875" style="219" customWidth="1"/>
    <col min="3824" max="3824" width="13.125" style="219" customWidth="1"/>
    <col min="3825" max="3825" width="9.375" style="219"/>
    <col min="3826" max="3826" width="9.875" style="219" customWidth="1"/>
    <col min="3827" max="3827" width="11.75" style="219" bestFit="1" customWidth="1"/>
    <col min="3828" max="4057" width="9.375" style="219"/>
    <col min="4058" max="4058" width="5" style="219" customWidth="1"/>
    <col min="4059" max="4059" width="17.875" style="219" bestFit="1" customWidth="1"/>
    <col min="4060" max="4060" width="9.875" style="219" customWidth="1"/>
    <col min="4061" max="4061" width="8.875" style="219" customWidth="1"/>
    <col min="4062" max="4062" width="7.375" style="219" bestFit="1" customWidth="1"/>
    <col min="4063" max="4063" width="10.125" style="219" bestFit="1" customWidth="1"/>
    <col min="4064" max="4064" width="9.375" style="219"/>
    <col min="4065" max="4065" width="10.125" style="219" bestFit="1" customWidth="1"/>
    <col min="4066" max="4066" width="10.75" style="219" customWidth="1"/>
    <col min="4067" max="4069" width="9.375" style="219"/>
    <col min="4070" max="4071" width="10.75" style="219" customWidth="1"/>
    <col min="4072" max="4076" width="9.375" style="219"/>
    <col min="4077" max="4077" width="1.625" style="219" bestFit="1" customWidth="1"/>
    <col min="4078" max="4078" width="9.375" style="219"/>
    <col min="4079" max="4079" width="8.875" style="219" customWidth="1"/>
    <col min="4080" max="4080" width="13.125" style="219" customWidth="1"/>
    <col min="4081" max="4081" width="9.375" style="219"/>
    <col min="4082" max="4082" width="9.875" style="219" customWidth="1"/>
    <col min="4083" max="4083" width="11.75" style="219" bestFit="1" customWidth="1"/>
    <col min="4084" max="4313" width="9.375" style="219"/>
    <col min="4314" max="4314" width="5" style="219" customWidth="1"/>
    <col min="4315" max="4315" width="17.875" style="219" bestFit="1" customWidth="1"/>
    <col min="4316" max="4316" width="9.875" style="219" customWidth="1"/>
    <col min="4317" max="4317" width="8.875" style="219" customWidth="1"/>
    <col min="4318" max="4318" width="7.375" style="219" bestFit="1" customWidth="1"/>
    <col min="4319" max="4319" width="10.125" style="219" bestFit="1" customWidth="1"/>
    <col min="4320" max="4320" width="9.375" style="219"/>
    <col min="4321" max="4321" width="10.125" style="219" bestFit="1" customWidth="1"/>
    <col min="4322" max="4322" width="10.75" style="219" customWidth="1"/>
    <col min="4323" max="4325" width="9.375" style="219"/>
    <col min="4326" max="4327" width="10.75" style="219" customWidth="1"/>
    <col min="4328" max="4332" width="9.375" style="219"/>
    <col min="4333" max="4333" width="1.625" style="219" bestFit="1" customWidth="1"/>
    <col min="4334" max="4334" width="9.375" style="219"/>
    <col min="4335" max="4335" width="8.875" style="219" customWidth="1"/>
    <col min="4336" max="4336" width="13.125" style="219" customWidth="1"/>
    <col min="4337" max="4337" width="9.375" style="219"/>
    <col min="4338" max="4338" width="9.875" style="219" customWidth="1"/>
    <col min="4339" max="4339" width="11.75" style="219" bestFit="1" customWidth="1"/>
    <col min="4340" max="4569" width="9.375" style="219"/>
    <col min="4570" max="4570" width="5" style="219" customWidth="1"/>
    <col min="4571" max="4571" width="17.875" style="219" bestFit="1" customWidth="1"/>
    <col min="4572" max="4572" width="9.875" style="219" customWidth="1"/>
    <col min="4573" max="4573" width="8.875" style="219" customWidth="1"/>
    <col min="4574" max="4574" width="7.375" style="219" bestFit="1" customWidth="1"/>
    <col min="4575" max="4575" width="10.125" style="219" bestFit="1" customWidth="1"/>
    <col min="4576" max="4576" width="9.375" style="219"/>
    <col min="4577" max="4577" width="10.125" style="219" bestFit="1" customWidth="1"/>
    <col min="4578" max="4578" width="10.75" style="219" customWidth="1"/>
    <col min="4579" max="4581" width="9.375" style="219"/>
    <col min="4582" max="4583" width="10.75" style="219" customWidth="1"/>
    <col min="4584" max="4588" width="9.375" style="219"/>
    <col min="4589" max="4589" width="1.625" style="219" bestFit="1" customWidth="1"/>
    <col min="4590" max="4590" width="9.375" style="219"/>
    <col min="4591" max="4591" width="8.875" style="219" customWidth="1"/>
    <col min="4592" max="4592" width="13.125" style="219" customWidth="1"/>
    <col min="4593" max="4593" width="9.375" style="219"/>
    <col min="4594" max="4594" width="9.875" style="219" customWidth="1"/>
    <col min="4595" max="4595" width="11.75" style="219" bestFit="1" customWidth="1"/>
    <col min="4596" max="4825" width="9.375" style="219"/>
    <col min="4826" max="4826" width="5" style="219" customWidth="1"/>
    <col min="4827" max="4827" width="17.875" style="219" bestFit="1" customWidth="1"/>
    <col min="4828" max="4828" width="9.875" style="219" customWidth="1"/>
    <col min="4829" max="4829" width="8.875" style="219" customWidth="1"/>
    <col min="4830" max="4830" width="7.375" style="219" bestFit="1" customWidth="1"/>
    <col min="4831" max="4831" width="10.125" style="219" bestFit="1" customWidth="1"/>
    <col min="4832" max="4832" width="9.375" style="219"/>
    <col min="4833" max="4833" width="10.125" style="219" bestFit="1" customWidth="1"/>
    <col min="4834" max="4834" width="10.75" style="219" customWidth="1"/>
    <col min="4835" max="4837" width="9.375" style="219"/>
    <col min="4838" max="4839" width="10.75" style="219" customWidth="1"/>
    <col min="4840" max="4844" width="9.375" style="219"/>
    <col min="4845" max="4845" width="1.625" style="219" bestFit="1" customWidth="1"/>
    <col min="4846" max="4846" width="9.375" style="219"/>
    <col min="4847" max="4847" width="8.875" style="219" customWidth="1"/>
    <col min="4848" max="4848" width="13.125" style="219" customWidth="1"/>
    <col min="4849" max="4849" width="9.375" style="219"/>
    <col min="4850" max="4850" width="9.875" style="219" customWidth="1"/>
    <col min="4851" max="4851" width="11.75" style="219" bestFit="1" customWidth="1"/>
    <col min="4852" max="5081" width="9.375" style="219"/>
    <col min="5082" max="5082" width="5" style="219" customWidth="1"/>
    <col min="5083" max="5083" width="17.875" style="219" bestFit="1" customWidth="1"/>
    <col min="5084" max="5084" width="9.875" style="219" customWidth="1"/>
    <col min="5085" max="5085" width="8.875" style="219" customWidth="1"/>
    <col min="5086" max="5086" width="7.375" style="219" bestFit="1" customWidth="1"/>
    <col min="5087" max="5087" width="10.125" style="219" bestFit="1" customWidth="1"/>
    <col min="5088" max="5088" width="9.375" style="219"/>
    <col min="5089" max="5089" width="10.125" style="219" bestFit="1" customWidth="1"/>
    <col min="5090" max="5090" width="10.75" style="219" customWidth="1"/>
    <col min="5091" max="5093" width="9.375" style="219"/>
    <col min="5094" max="5095" width="10.75" style="219" customWidth="1"/>
    <col min="5096" max="5100" width="9.375" style="219"/>
    <col min="5101" max="5101" width="1.625" style="219" bestFit="1" customWidth="1"/>
    <col min="5102" max="5102" width="9.375" style="219"/>
    <col min="5103" max="5103" width="8.875" style="219" customWidth="1"/>
    <col min="5104" max="5104" width="13.125" style="219" customWidth="1"/>
    <col min="5105" max="5105" width="9.375" style="219"/>
    <col min="5106" max="5106" width="9.875" style="219" customWidth="1"/>
    <col min="5107" max="5107" width="11.75" style="219" bestFit="1" customWidth="1"/>
    <col min="5108" max="5337" width="9.375" style="219"/>
    <col min="5338" max="5338" width="5" style="219" customWidth="1"/>
    <col min="5339" max="5339" width="17.875" style="219" bestFit="1" customWidth="1"/>
    <col min="5340" max="5340" width="9.875" style="219" customWidth="1"/>
    <col min="5341" max="5341" width="8.875" style="219" customWidth="1"/>
    <col min="5342" max="5342" width="7.375" style="219" bestFit="1" customWidth="1"/>
    <col min="5343" max="5343" width="10.125" style="219" bestFit="1" customWidth="1"/>
    <col min="5344" max="5344" width="9.375" style="219"/>
    <col min="5345" max="5345" width="10.125" style="219" bestFit="1" customWidth="1"/>
    <col min="5346" max="5346" width="10.75" style="219" customWidth="1"/>
    <col min="5347" max="5349" width="9.375" style="219"/>
    <col min="5350" max="5351" width="10.75" style="219" customWidth="1"/>
    <col min="5352" max="5356" width="9.375" style="219"/>
    <col min="5357" max="5357" width="1.625" style="219" bestFit="1" customWidth="1"/>
    <col min="5358" max="5358" width="9.375" style="219"/>
    <col min="5359" max="5359" width="8.875" style="219" customWidth="1"/>
    <col min="5360" max="5360" width="13.125" style="219" customWidth="1"/>
    <col min="5361" max="5361" width="9.375" style="219"/>
    <col min="5362" max="5362" width="9.875" style="219" customWidth="1"/>
    <col min="5363" max="5363" width="11.75" style="219" bestFit="1" customWidth="1"/>
    <col min="5364" max="5593" width="9.375" style="219"/>
    <col min="5594" max="5594" width="5" style="219" customWidth="1"/>
    <col min="5595" max="5595" width="17.875" style="219" bestFit="1" customWidth="1"/>
    <col min="5596" max="5596" width="9.875" style="219" customWidth="1"/>
    <col min="5597" max="5597" width="8.875" style="219" customWidth="1"/>
    <col min="5598" max="5598" width="7.375" style="219" bestFit="1" customWidth="1"/>
    <col min="5599" max="5599" width="10.125" style="219" bestFit="1" customWidth="1"/>
    <col min="5600" max="5600" width="9.375" style="219"/>
    <col min="5601" max="5601" width="10.125" style="219" bestFit="1" customWidth="1"/>
    <col min="5602" max="5602" width="10.75" style="219" customWidth="1"/>
    <col min="5603" max="5605" width="9.375" style="219"/>
    <col min="5606" max="5607" width="10.75" style="219" customWidth="1"/>
    <col min="5608" max="5612" width="9.375" style="219"/>
    <col min="5613" max="5613" width="1.625" style="219" bestFit="1" customWidth="1"/>
    <col min="5614" max="5614" width="9.375" style="219"/>
    <col min="5615" max="5615" width="8.875" style="219" customWidth="1"/>
    <col min="5616" max="5616" width="13.125" style="219" customWidth="1"/>
    <col min="5617" max="5617" width="9.375" style="219"/>
    <col min="5618" max="5618" width="9.875" style="219" customWidth="1"/>
    <col min="5619" max="5619" width="11.75" style="219" bestFit="1" customWidth="1"/>
    <col min="5620" max="5849" width="9.375" style="219"/>
    <col min="5850" max="5850" width="5" style="219" customWidth="1"/>
    <col min="5851" max="5851" width="17.875" style="219" bestFit="1" customWidth="1"/>
    <col min="5852" max="5852" width="9.875" style="219" customWidth="1"/>
    <col min="5853" max="5853" width="8.875" style="219" customWidth="1"/>
    <col min="5854" max="5854" width="7.375" style="219" bestFit="1" customWidth="1"/>
    <col min="5855" max="5855" width="10.125" style="219" bestFit="1" customWidth="1"/>
    <col min="5856" max="5856" width="9.375" style="219"/>
    <col min="5857" max="5857" width="10.125" style="219" bestFit="1" customWidth="1"/>
    <col min="5858" max="5858" width="10.75" style="219" customWidth="1"/>
    <col min="5859" max="5861" width="9.375" style="219"/>
    <col min="5862" max="5863" width="10.75" style="219" customWidth="1"/>
    <col min="5864" max="5868" width="9.375" style="219"/>
    <col min="5869" max="5869" width="1.625" style="219" bestFit="1" customWidth="1"/>
    <col min="5870" max="5870" width="9.375" style="219"/>
    <col min="5871" max="5871" width="8.875" style="219" customWidth="1"/>
    <col min="5872" max="5872" width="13.125" style="219" customWidth="1"/>
    <col min="5873" max="5873" width="9.375" style="219"/>
    <col min="5874" max="5874" width="9.875" style="219" customWidth="1"/>
    <col min="5875" max="5875" width="11.75" style="219" bestFit="1" customWidth="1"/>
    <col min="5876" max="6105" width="9.375" style="219"/>
    <col min="6106" max="6106" width="5" style="219" customWidth="1"/>
    <col min="6107" max="6107" width="17.875" style="219" bestFit="1" customWidth="1"/>
    <col min="6108" max="6108" width="9.875" style="219" customWidth="1"/>
    <col min="6109" max="6109" width="8.875" style="219" customWidth="1"/>
    <col min="6110" max="6110" width="7.375" style="219" bestFit="1" customWidth="1"/>
    <col min="6111" max="6111" width="10.125" style="219" bestFit="1" customWidth="1"/>
    <col min="6112" max="6112" width="9.375" style="219"/>
    <col min="6113" max="6113" width="10.125" style="219" bestFit="1" customWidth="1"/>
    <col min="6114" max="6114" width="10.75" style="219" customWidth="1"/>
    <col min="6115" max="6117" width="9.375" style="219"/>
    <col min="6118" max="6119" width="10.75" style="219" customWidth="1"/>
    <col min="6120" max="6124" width="9.375" style="219"/>
    <col min="6125" max="6125" width="1.625" style="219" bestFit="1" customWidth="1"/>
    <col min="6126" max="6126" width="9.375" style="219"/>
    <col min="6127" max="6127" width="8.875" style="219" customWidth="1"/>
    <col min="6128" max="6128" width="13.125" style="219" customWidth="1"/>
    <col min="6129" max="6129" width="9.375" style="219"/>
    <col min="6130" max="6130" width="9.875" style="219" customWidth="1"/>
    <col min="6131" max="6131" width="11.75" style="219" bestFit="1" customWidth="1"/>
    <col min="6132" max="6361" width="9.375" style="219"/>
    <col min="6362" max="6362" width="5" style="219" customWidth="1"/>
    <col min="6363" max="6363" width="17.875" style="219" bestFit="1" customWidth="1"/>
    <col min="6364" max="6364" width="9.875" style="219" customWidth="1"/>
    <col min="6365" max="6365" width="8.875" style="219" customWidth="1"/>
    <col min="6366" max="6366" width="7.375" style="219" bestFit="1" customWidth="1"/>
    <col min="6367" max="6367" width="10.125" style="219" bestFit="1" customWidth="1"/>
    <col min="6368" max="6368" width="9.375" style="219"/>
    <col min="6369" max="6369" width="10.125" style="219" bestFit="1" customWidth="1"/>
    <col min="6370" max="6370" width="10.75" style="219" customWidth="1"/>
    <col min="6371" max="6373" width="9.375" style="219"/>
    <col min="6374" max="6375" width="10.75" style="219" customWidth="1"/>
    <col min="6376" max="6380" width="9.375" style="219"/>
    <col min="6381" max="6381" width="1.625" style="219" bestFit="1" customWidth="1"/>
    <col min="6382" max="6382" width="9.375" style="219"/>
    <col min="6383" max="6383" width="8.875" style="219" customWidth="1"/>
    <col min="6384" max="6384" width="13.125" style="219" customWidth="1"/>
    <col min="6385" max="6385" width="9.375" style="219"/>
    <col min="6386" max="6386" width="9.875" style="219" customWidth="1"/>
    <col min="6387" max="6387" width="11.75" style="219" bestFit="1" customWidth="1"/>
    <col min="6388" max="6617" width="9.375" style="219"/>
    <col min="6618" max="6618" width="5" style="219" customWidth="1"/>
    <col min="6619" max="6619" width="17.875" style="219" bestFit="1" customWidth="1"/>
    <col min="6620" max="6620" width="9.875" style="219" customWidth="1"/>
    <col min="6621" max="6621" width="8.875" style="219" customWidth="1"/>
    <col min="6622" max="6622" width="7.375" style="219" bestFit="1" customWidth="1"/>
    <col min="6623" max="6623" width="10.125" style="219" bestFit="1" customWidth="1"/>
    <col min="6624" max="6624" width="9.375" style="219"/>
    <col min="6625" max="6625" width="10.125" style="219" bestFit="1" customWidth="1"/>
    <col min="6626" max="6626" width="10.75" style="219" customWidth="1"/>
    <col min="6627" max="6629" width="9.375" style="219"/>
    <col min="6630" max="6631" width="10.75" style="219" customWidth="1"/>
    <col min="6632" max="6636" width="9.375" style="219"/>
    <col min="6637" max="6637" width="1.625" style="219" bestFit="1" customWidth="1"/>
    <col min="6638" max="6638" width="9.375" style="219"/>
    <col min="6639" max="6639" width="8.875" style="219" customWidth="1"/>
    <col min="6640" max="6640" width="13.125" style="219" customWidth="1"/>
    <col min="6641" max="6641" width="9.375" style="219"/>
    <col min="6642" max="6642" width="9.875" style="219" customWidth="1"/>
    <col min="6643" max="6643" width="11.75" style="219" bestFit="1" customWidth="1"/>
    <col min="6644" max="6873" width="9.375" style="219"/>
    <col min="6874" max="6874" width="5" style="219" customWidth="1"/>
    <col min="6875" max="6875" width="17.875" style="219" bestFit="1" customWidth="1"/>
    <col min="6876" max="6876" width="9.875" style="219" customWidth="1"/>
    <col min="6877" max="6877" width="8.875" style="219" customWidth="1"/>
    <col min="6878" max="6878" width="7.375" style="219" bestFit="1" customWidth="1"/>
    <col min="6879" max="6879" width="10.125" style="219" bestFit="1" customWidth="1"/>
    <col min="6880" max="6880" width="9.375" style="219"/>
    <col min="6881" max="6881" width="10.125" style="219" bestFit="1" customWidth="1"/>
    <col min="6882" max="6882" width="10.75" style="219" customWidth="1"/>
    <col min="6883" max="6885" width="9.375" style="219"/>
    <col min="6886" max="6887" width="10.75" style="219" customWidth="1"/>
    <col min="6888" max="6892" width="9.375" style="219"/>
    <col min="6893" max="6893" width="1.625" style="219" bestFit="1" customWidth="1"/>
    <col min="6894" max="6894" width="9.375" style="219"/>
    <col min="6895" max="6895" width="8.875" style="219" customWidth="1"/>
    <col min="6896" max="6896" width="13.125" style="219" customWidth="1"/>
    <col min="6897" max="6897" width="9.375" style="219"/>
    <col min="6898" max="6898" width="9.875" style="219" customWidth="1"/>
    <col min="6899" max="6899" width="11.75" style="219" bestFit="1" customWidth="1"/>
    <col min="6900" max="7129" width="9.375" style="219"/>
    <col min="7130" max="7130" width="5" style="219" customWidth="1"/>
    <col min="7131" max="7131" width="17.875" style="219" bestFit="1" customWidth="1"/>
    <col min="7132" max="7132" width="9.875" style="219" customWidth="1"/>
    <col min="7133" max="7133" width="8.875" style="219" customWidth="1"/>
    <col min="7134" max="7134" width="7.375" style="219" bestFit="1" customWidth="1"/>
    <col min="7135" max="7135" width="10.125" style="219" bestFit="1" customWidth="1"/>
    <col min="7136" max="7136" width="9.375" style="219"/>
    <col min="7137" max="7137" width="10.125" style="219" bestFit="1" customWidth="1"/>
    <col min="7138" max="7138" width="10.75" style="219" customWidth="1"/>
    <col min="7139" max="7141" width="9.375" style="219"/>
    <col min="7142" max="7143" width="10.75" style="219" customWidth="1"/>
    <col min="7144" max="7148" width="9.375" style="219"/>
    <col min="7149" max="7149" width="1.625" style="219" bestFit="1" customWidth="1"/>
    <col min="7150" max="7150" width="9.375" style="219"/>
    <col min="7151" max="7151" width="8.875" style="219" customWidth="1"/>
    <col min="7152" max="7152" width="13.125" style="219" customWidth="1"/>
    <col min="7153" max="7153" width="9.375" style="219"/>
    <col min="7154" max="7154" width="9.875" style="219" customWidth="1"/>
    <col min="7155" max="7155" width="11.75" style="219" bestFit="1" customWidth="1"/>
    <col min="7156" max="7385" width="9.375" style="219"/>
    <col min="7386" max="7386" width="5" style="219" customWidth="1"/>
    <col min="7387" max="7387" width="17.875" style="219" bestFit="1" customWidth="1"/>
    <col min="7388" max="7388" width="9.875" style="219" customWidth="1"/>
    <col min="7389" max="7389" width="8.875" style="219" customWidth="1"/>
    <col min="7390" max="7390" width="7.375" style="219" bestFit="1" customWidth="1"/>
    <col min="7391" max="7391" width="10.125" style="219" bestFit="1" customWidth="1"/>
    <col min="7392" max="7392" width="9.375" style="219"/>
    <col min="7393" max="7393" width="10.125" style="219" bestFit="1" customWidth="1"/>
    <col min="7394" max="7394" width="10.75" style="219" customWidth="1"/>
    <col min="7395" max="7397" width="9.375" style="219"/>
    <col min="7398" max="7399" width="10.75" style="219" customWidth="1"/>
    <col min="7400" max="7404" width="9.375" style="219"/>
    <col min="7405" max="7405" width="1.625" style="219" bestFit="1" customWidth="1"/>
    <col min="7406" max="7406" width="9.375" style="219"/>
    <col min="7407" max="7407" width="8.875" style="219" customWidth="1"/>
    <col min="7408" max="7408" width="13.125" style="219" customWidth="1"/>
    <col min="7409" max="7409" width="9.375" style="219"/>
    <col min="7410" max="7410" width="9.875" style="219" customWidth="1"/>
    <col min="7411" max="7411" width="11.75" style="219" bestFit="1" customWidth="1"/>
    <col min="7412" max="7641" width="9.375" style="219"/>
    <col min="7642" max="7642" width="5" style="219" customWidth="1"/>
    <col min="7643" max="7643" width="17.875" style="219" bestFit="1" customWidth="1"/>
    <col min="7644" max="7644" width="9.875" style="219" customWidth="1"/>
    <col min="7645" max="7645" width="8.875" style="219" customWidth="1"/>
    <col min="7646" max="7646" width="7.375" style="219" bestFit="1" customWidth="1"/>
    <col min="7647" max="7647" width="10.125" style="219" bestFit="1" customWidth="1"/>
    <col min="7648" max="7648" width="9.375" style="219"/>
    <col min="7649" max="7649" width="10.125" style="219" bestFit="1" customWidth="1"/>
    <col min="7650" max="7650" width="10.75" style="219" customWidth="1"/>
    <col min="7651" max="7653" width="9.375" style="219"/>
    <col min="7654" max="7655" width="10.75" style="219" customWidth="1"/>
    <col min="7656" max="7660" width="9.375" style="219"/>
    <col min="7661" max="7661" width="1.625" style="219" bestFit="1" customWidth="1"/>
    <col min="7662" max="7662" width="9.375" style="219"/>
    <col min="7663" max="7663" width="8.875" style="219" customWidth="1"/>
    <col min="7664" max="7664" width="13.125" style="219" customWidth="1"/>
    <col min="7665" max="7665" width="9.375" style="219"/>
    <col min="7666" max="7666" width="9.875" style="219" customWidth="1"/>
    <col min="7667" max="7667" width="11.75" style="219" bestFit="1" customWidth="1"/>
    <col min="7668" max="7897" width="9.375" style="219"/>
    <col min="7898" max="7898" width="5" style="219" customWidth="1"/>
    <col min="7899" max="7899" width="17.875" style="219" bestFit="1" customWidth="1"/>
    <col min="7900" max="7900" width="9.875" style="219" customWidth="1"/>
    <col min="7901" max="7901" width="8.875" style="219" customWidth="1"/>
    <col min="7902" max="7902" width="7.375" style="219" bestFit="1" customWidth="1"/>
    <col min="7903" max="7903" width="10.125" style="219" bestFit="1" customWidth="1"/>
    <col min="7904" max="7904" width="9.375" style="219"/>
    <col min="7905" max="7905" width="10.125" style="219" bestFit="1" customWidth="1"/>
    <col min="7906" max="7906" width="10.75" style="219" customWidth="1"/>
    <col min="7907" max="7909" width="9.375" style="219"/>
    <col min="7910" max="7911" width="10.75" style="219" customWidth="1"/>
    <col min="7912" max="7916" width="9.375" style="219"/>
    <col min="7917" max="7917" width="1.625" style="219" bestFit="1" customWidth="1"/>
    <col min="7918" max="7918" width="9.375" style="219"/>
    <col min="7919" max="7919" width="8.875" style="219" customWidth="1"/>
    <col min="7920" max="7920" width="13.125" style="219" customWidth="1"/>
    <col min="7921" max="7921" width="9.375" style="219"/>
    <col min="7922" max="7922" width="9.875" style="219" customWidth="1"/>
    <col min="7923" max="7923" width="11.75" style="219" bestFit="1" customWidth="1"/>
    <col min="7924" max="8153" width="9.375" style="219"/>
    <col min="8154" max="8154" width="5" style="219" customWidth="1"/>
    <col min="8155" max="8155" width="17.875" style="219" bestFit="1" customWidth="1"/>
    <col min="8156" max="8156" width="9.875" style="219" customWidth="1"/>
    <col min="8157" max="8157" width="8.875" style="219" customWidth="1"/>
    <col min="8158" max="8158" width="7.375" style="219" bestFit="1" customWidth="1"/>
    <col min="8159" max="8159" width="10.125" style="219" bestFit="1" customWidth="1"/>
    <col min="8160" max="8160" width="9.375" style="219"/>
    <col min="8161" max="8161" width="10.125" style="219" bestFit="1" customWidth="1"/>
    <col min="8162" max="8162" width="10.75" style="219" customWidth="1"/>
    <col min="8163" max="8165" width="9.375" style="219"/>
    <col min="8166" max="8167" width="10.75" style="219" customWidth="1"/>
    <col min="8168" max="8172" width="9.375" style="219"/>
    <col min="8173" max="8173" width="1.625" style="219" bestFit="1" customWidth="1"/>
    <col min="8174" max="8174" width="9.375" style="219"/>
    <col min="8175" max="8175" width="8.875" style="219" customWidth="1"/>
    <col min="8176" max="8176" width="13.125" style="219" customWidth="1"/>
    <col min="8177" max="8177" width="9.375" style="219"/>
    <col min="8178" max="8178" width="9.875" style="219" customWidth="1"/>
    <col min="8179" max="8179" width="11.75" style="219" bestFit="1" customWidth="1"/>
    <col min="8180" max="8409" width="9.375" style="219"/>
    <col min="8410" max="8410" width="5" style="219" customWidth="1"/>
    <col min="8411" max="8411" width="17.875" style="219" bestFit="1" customWidth="1"/>
    <col min="8412" max="8412" width="9.875" style="219" customWidth="1"/>
    <col min="8413" max="8413" width="8.875" style="219" customWidth="1"/>
    <col min="8414" max="8414" width="7.375" style="219" bestFit="1" customWidth="1"/>
    <col min="8415" max="8415" width="10.125" style="219" bestFit="1" customWidth="1"/>
    <col min="8416" max="8416" width="9.375" style="219"/>
    <col min="8417" max="8417" width="10.125" style="219" bestFit="1" customWidth="1"/>
    <col min="8418" max="8418" width="10.75" style="219" customWidth="1"/>
    <col min="8419" max="8421" width="9.375" style="219"/>
    <col min="8422" max="8423" width="10.75" style="219" customWidth="1"/>
    <col min="8424" max="8428" width="9.375" style="219"/>
    <col min="8429" max="8429" width="1.625" style="219" bestFit="1" customWidth="1"/>
    <col min="8430" max="8430" width="9.375" style="219"/>
    <col min="8431" max="8431" width="8.875" style="219" customWidth="1"/>
    <col min="8432" max="8432" width="13.125" style="219" customWidth="1"/>
    <col min="8433" max="8433" width="9.375" style="219"/>
    <col min="8434" max="8434" width="9.875" style="219" customWidth="1"/>
    <col min="8435" max="8435" width="11.75" style="219" bestFit="1" customWidth="1"/>
    <col min="8436" max="8665" width="9.375" style="219"/>
    <col min="8666" max="8666" width="5" style="219" customWidth="1"/>
    <col min="8667" max="8667" width="17.875" style="219" bestFit="1" customWidth="1"/>
    <col min="8668" max="8668" width="9.875" style="219" customWidth="1"/>
    <col min="8669" max="8669" width="8.875" style="219" customWidth="1"/>
    <col min="8670" max="8670" width="7.375" style="219" bestFit="1" customWidth="1"/>
    <col min="8671" max="8671" width="10.125" style="219" bestFit="1" customWidth="1"/>
    <col min="8672" max="8672" width="9.375" style="219"/>
    <col min="8673" max="8673" width="10.125" style="219" bestFit="1" customWidth="1"/>
    <col min="8674" max="8674" width="10.75" style="219" customWidth="1"/>
    <col min="8675" max="8677" width="9.375" style="219"/>
    <col min="8678" max="8679" width="10.75" style="219" customWidth="1"/>
    <col min="8680" max="8684" width="9.375" style="219"/>
    <col min="8685" max="8685" width="1.625" style="219" bestFit="1" customWidth="1"/>
    <col min="8686" max="8686" width="9.375" style="219"/>
    <col min="8687" max="8687" width="8.875" style="219" customWidth="1"/>
    <col min="8688" max="8688" width="13.125" style="219" customWidth="1"/>
    <col min="8689" max="8689" width="9.375" style="219"/>
    <col min="8690" max="8690" width="9.875" style="219" customWidth="1"/>
    <col min="8691" max="8691" width="11.75" style="219" bestFit="1" customWidth="1"/>
    <col min="8692" max="8921" width="9.375" style="219"/>
    <col min="8922" max="8922" width="5" style="219" customWidth="1"/>
    <col min="8923" max="8923" width="17.875" style="219" bestFit="1" customWidth="1"/>
    <col min="8924" max="8924" width="9.875" style="219" customWidth="1"/>
    <col min="8925" max="8925" width="8.875" style="219" customWidth="1"/>
    <col min="8926" max="8926" width="7.375" style="219" bestFit="1" customWidth="1"/>
    <col min="8927" max="8927" width="10.125" style="219" bestFit="1" customWidth="1"/>
    <col min="8928" max="8928" width="9.375" style="219"/>
    <col min="8929" max="8929" width="10.125" style="219" bestFit="1" customWidth="1"/>
    <col min="8930" max="8930" width="10.75" style="219" customWidth="1"/>
    <col min="8931" max="8933" width="9.375" style="219"/>
    <col min="8934" max="8935" width="10.75" style="219" customWidth="1"/>
    <col min="8936" max="8940" width="9.375" style="219"/>
    <col min="8941" max="8941" width="1.625" style="219" bestFit="1" customWidth="1"/>
    <col min="8942" max="8942" width="9.375" style="219"/>
    <col min="8943" max="8943" width="8.875" style="219" customWidth="1"/>
    <col min="8944" max="8944" width="13.125" style="219" customWidth="1"/>
    <col min="8945" max="8945" width="9.375" style="219"/>
    <col min="8946" max="8946" width="9.875" style="219" customWidth="1"/>
    <col min="8947" max="8947" width="11.75" style="219" bestFit="1" customWidth="1"/>
    <col min="8948" max="9177" width="9.375" style="219"/>
    <col min="9178" max="9178" width="5" style="219" customWidth="1"/>
    <col min="9179" max="9179" width="17.875" style="219" bestFit="1" customWidth="1"/>
    <col min="9180" max="9180" width="9.875" style="219" customWidth="1"/>
    <col min="9181" max="9181" width="8.875" style="219" customWidth="1"/>
    <col min="9182" max="9182" width="7.375" style="219" bestFit="1" customWidth="1"/>
    <col min="9183" max="9183" width="10.125" style="219" bestFit="1" customWidth="1"/>
    <col min="9184" max="9184" width="9.375" style="219"/>
    <col min="9185" max="9185" width="10.125" style="219" bestFit="1" customWidth="1"/>
    <col min="9186" max="9186" width="10.75" style="219" customWidth="1"/>
    <col min="9187" max="9189" width="9.375" style="219"/>
    <col min="9190" max="9191" width="10.75" style="219" customWidth="1"/>
    <col min="9192" max="9196" width="9.375" style="219"/>
    <col min="9197" max="9197" width="1.625" style="219" bestFit="1" customWidth="1"/>
    <col min="9198" max="9198" width="9.375" style="219"/>
    <col min="9199" max="9199" width="8.875" style="219" customWidth="1"/>
    <col min="9200" max="9200" width="13.125" style="219" customWidth="1"/>
    <col min="9201" max="9201" width="9.375" style="219"/>
    <col min="9202" max="9202" width="9.875" style="219" customWidth="1"/>
    <col min="9203" max="9203" width="11.75" style="219" bestFit="1" customWidth="1"/>
    <col min="9204" max="9433" width="9.375" style="219"/>
    <col min="9434" max="9434" width="5" style="219" customWidth="1"/>
    <col min="9435" max="9435" width="17.875" style="219" bestFit="1" customWidth="1"/>
    <col min="9436" max="9436" width="9.875" style="219" customWidth="1"/>
    <col min="9437" max="9437" width="8.875" style="219" customWidth="1"/>
    <col min="9438" max="9438" width="7.375" style="219" bestFit="1" customWidth="1"/>
    <col min="9439" max="9439" width="10.125" style="219" bestFit="1" customWidth="1"/>
    <col min="9440" max="9440" width="9.375" style="219"/>
    <col min="9441" max="9441" width="10.125" style="219" bestFit="1" customWidth="1"/>
    <col min="9442" max="9442" width="10.75" style="219" customWidth="1"/>
    <col min="9443" max="9445" width="9.375" style="219"/>
    <col min="9446" max="9447" width="10.75" style="219" customWidth="1"/>
    <col min="9448" max="9452" width="9.375" style="219"/>
    <col min="9453" max="9453" width="1.625" style="219" bestFit="1" customWidth="1"/>
    <col min="9454" max="9454" width="9.375" style="219"/>
    <col min="9455" max="9455" width="8.875" style="219" customWidth="1"/>
    <col min="9456" max="9456" width="13.125" style="219" customWidth="1"/>
    <col min="9457" max="9457" width="9.375" style="219"/>
    <col min="9458" max="9458" width="9.875" style="219" customWidth="1"/>
    <col min="9459" max="9459" width="11.75" style="219" bestFit="1" customWidth="1"/>
    <col min="9460" max="9689" width="9.375" style="219"/>
    <col min="9690" max="9690" width="5" style="219" customWidth="1"/>
    <col min="9691" max="9691" width="17.875" style="219" bestFit="1" customWidth="1"/>
    <col min="9692" max="9692" width="9.875" style="219" customWidth="1"/>
    <col min="9693" max="9693" width="8.875" style="219" customWidth="1"/>
    <col min="9694" max="9694" width="7.375" style="219" bestFit="1" customWidth="1"/>
    <col min="9695" max="9695" width="10.125" style="219" bestFit="1" customWidth="1"/>
    <col min="9696" max="9696" width="9.375" style="219"/>
    <col min="9697" max="9697" width="10.125" style="219" bestFit="1" customWidth="1"/>
    <col min="9698" max="9698" width="10.75" style="219" customWidth="1"/>
    <col min="9699" max="9701" width="9.375" style="219"/>
    <col min="9702" max="9703" width="10.75" style="219" customWidth="1"/>
    <col min="9704" max="9708" width="9.375" style="219"/>
    <col min="9709" max="9709" width="1.625" style="219" bestFit="1" customWidth="1"/>
    <col min="9710" max="9710" width="9.375" style="219"/>
    <col min="9711" max="9711" width="8.875" style="219" customWidth="1"/>
    <col min="9712" max="9712" width="13.125" style="219" customWidth="1"/>
    <col min="9713" max="9713" width="9.375" style="219"/>
    <col min="9714" max="9714" width="9.875" style="219" customWidth="1"/>
    <col min="9715" max="9715" width="11.75" style="219" bestFit="1" customWidth="1"/>
    <col min="9716" max="9945" width="9.375" style="219"/>
    <col min="9946" max="9946" width="5" style="219" customWidth="1"/>
    <col min="9947" max="9947" width="17.875" style="219" bestFit="1" customWidth="1"/>
    <col min="9948" max="9948" width="9.875" style="219" customWidth="1"/>
    <col min="9949" max="9949" width="8.875" style="219" customWidth="1"/>
    <col min="9950" max="9950" width="7.375" style="219" bestFit="1" customWidth="1"/>
    <col min="9951" max="9951" width="10.125" style="219" bestFit="1" customWidth="1"/>
    <col min="9952" max="9952" width="9.375" style="219"/>
    <col min="9953" max="9953" width="10.125" style="219" bestFit="1" customWidth="1"/>
    <col min="9954" max="9954" width="10.75" style="219" customWidth="1"/>
    <col min="9955" max="9957" width="9.375" style="219"/>
    <col min="9958" max="9959" width="10.75" style="219" customWidth="1"/>
    <col min="9960" max="9964" width="9.375" style="219"/>
    <col min="9965" max="9965" width="1.625" style="219" bestFit="1" customWidth="1"/>
    <col min="9966" max="9966" width="9.375" style="219"/>
    <col min="9967" max="9967" width="8.875" style="219" customWidth="1"/>
    <col min="9968" max="9968" width="13.125" style="219" customWidth="1"/>
    <col min="9969" max="9969" width="9.375" style="219"/>
    <col min="9970" max="9970" width="9.875" style="219" customWidth="1"/>
    <col min="9971" max="9971" width="11.75" style="219" bestFit="1" customWidth="1"/>
    <col min="9972" max="10201" width="9.375" style="219"/>
    <col min="10202" max="10202" width="5" style="219" customWidth="1"/>
    <col min="10203" max="10203" width="17.875" style="219" bestFit="1" customWidth="1"/>
    <col min="10204" max="10204" width="9.875" style="219" customWidth="1"/>
    <col min="10205" max="10205" width="8.875" style="219" customWidth="1"/>
    <col min="10206" max="10206" width="7.375" style="219" bestFit="1" customWidth="1"/>
    <col min="10207" max="10207" width="10.125" style="219" bestFit="1" customWidth="1"/>
    <col min="10208" max="10208" width="9.375" style="219"/>
    <col min="10209" max="10209" width="10.125" style="219" bestFit="1" customWidth="1"/>
    <col min="10210" max="10210" width="10.75" style="219" customWidth="1"/>
    <col min="10211" max="10213" width="9.375" style="219"/>
    <col min="10214" max="10215" width="10.75" style="219" customWidth="1"/>
    <col min="10216" max="10220" width="9.375" style="219"/>
    <col min="10221" max="10221" width="1.625" style="219" bestFit="1" customWidth="1"/>
    <col min="10222" max="10222" width="9.375" style="219"/>
    <col min="10223" max="10223" width="8.875" style="219" customWidth="1"/>
    <col min="10224" max="10224" width="13.125" style="219" customWidth="1"/>
    <col min="10225" max="10225" width="9.375" style="219"/>
    <col min="10226" max="10226" width="9.875" style="219" customWidth="1"/>
    <col min="10227" max="10227" width="11.75" style="219" bestFit="1" customWidth="1"/>
    <col min="10228" max="10457" width="9.375" style="219"/>
    <col min="10458" max="10458" width="5" style="219" customWidth="1"/>
    <col min="10459" max="10459" width="17.875" style="219" bestFit="1" customWidth="1"/>
    <col min="10460" max="10460" width="9.875" style="219" customWidth="1"/>
    <col min="10461" max="10461" width="8.875" style="219" customWidth="1"/>
    <col min="10462" max="10462" width="7.375" style="219" bestFit="1" customWidth="1"/>
    <col min="10463" max="10463" width="10.125" style="219" bestFit="1" customWidth="1"/>
    <col min="10464" max="10464" width="9.375" style="219"/>
    <col min="10465" max="10465" width="10.125" style="219" bestFit="1" customWidth="1"/>
    <col min="10466" max="10466" width="10.75" style="219" customWidth="1"/>
    <col min="10467" max="10469" width="9.375" style="219"/>
    <col min="10470" max="10471" width="10.75" style="219" customWidth="1"/>
    <col min="10472" max="10476" width="9.375" style="219"/>
    <col min="10477" max="10477" width="1.625" style="219" bestFit="1" customWidth="1"/>
    <col min="10478" max="10478" width="9.375" style="219"/>
    <col min="10479" max="10479" width="8.875" style="219" customWidth="1"/>
    <col min="10480" max="10480" width="13.125" style="219" customWidth="1"/>
    <col min="10481" max="10481" width="9.375" style="219"/>
    <col min="10482" max="10482" width="9.875" style="219" customWidth="1"/>
    <col min="10483" max="10483" width="11.75" style="219" bestFit="1" customWidth="1"/>
    <col min="10484" max="10713" width="9.375" style="219"/>
    <col min="10714" max="10714" width="5" style="219" customWidth="1"/>
    <col min="10715" max="10715" width="17.875" style="219" bestFit="1" customWidth="1"/>
    <col min="10716" max="10716" width="9.875" style="219" customWidth="1"/>
    <col min="10717" max="10717" width="8.875" style="219" customWidth="1"/>
    <col min="10718" max="10718" width="7.375" style="219" bestFit="1" customWidth="1"/>
    <col min="10719" max="10719" width="10.125" style="219" bestFit="1" customWidth="1"/>
    <col min="10720" max="10720" width="9.375" style="219"/>
    <col min="10721" max="10721" width="10.125" style="219" bestFit="1" customWidth="1"/>
    <col min="10722" max="10722" width="10.75" style="219" customWidth="1"/>
    <col min="10723" max="10725" width="9.375" style="219"/>
    <col min="10726" max="10727" width="10.75" style="219" customWidth="1"/>
    <col min="10728" max="10732" width="9.375" style="219"/>
    <col min="10733" max="10733" width="1.625" style="219" bestFit="1" customWidth="1"/>
    <col min="10734" max="10734" width="9.375" style="219"/>
    <col min="10735" max="10735" width="8.875" style="219" customWidth="1"/>
    <col min="10736" max="10736" width="13.125" style="219" customWidth="1"/>
    <col min="10737" max="10737" width="9.375" style="219"/>
    <col min="10738" max="10738" width="9.875" style="219" customWidth="1"/>
    <col min="10739" max="10739" width="11.75" style="219" bestFit="1" customWidth="1"/>
    <col min="10740" max="10969" width="9.375" style="219"/>
    <col min="10970" max="10970" width="5" style="219" customWidth="1"/>
    <col min="10971" max="10971" width="17.875" style="219" bestFit="1" customWidth="1"/>
    <col min="10972" max="10972" width="9.875" style="219" customWidth="1"/>
    <col min="10973" max="10973" width="8.875" style="219" customWidth="1"/>
    <col min="10974" max="10974" width="7.375" style="219" bestFit="1" customWidth="1"/>
    <col min="10975" max="10975" width="10.125" style="219" bestFit="1" customWidth="1"/>
    <col min="10976" max="10976" width="9.375" style="219"/>
    <col min="10977" max="10977" width="10.125" style="219" bestFit="1" customWidth="1"/>
    <col min="10978" max="10978" width="10.75" style="219" customWidth="1"/>
    <col min="10979" max="10981" width="9.375" style="219"/>
    <col min="10982" max="10983" width="10.75" style="219" customWidth="1"/>
    <col min="10984" max="10988" width="9.375" style="219"/>
    <col min="10989" max="10989" width="1.625" style="219" bestFit="1" customWidth="1"/>
    <col min="10990" max="10990" width="9.375" style="219"/>
    <col min="10991" max="10991" width="8.875" style="219" customWidth="1"/>
    <col min="10992" max="10992" width="13.125" style="219" customWidth="1"/>
    <col min="10993" max="10993" width="9.375" style="219"/>
    <col min="10994" max="10994" width="9.875" style="219" customWidth="1"/>
    <col min="10995" max="10995" width="11.75" style="219" bestFit="1" customWidth="1"/>
    <col min="10996" max="11225" width="9.375" style="219"/>
    <col min="11226" max="11226" width="5" style="219" customWidth="1"/>
    <col min="11227" max="11227" width="17.875" style="219" bestFit="1" customWidth="1"/>
    <col min="11228" max="11228" width="9.875" style="219" customWidth="1"/>
    <col min="11229" max="11229" width="8.875" style="219" customWidth="1"/>
    <col min="11230" max="11230" width="7.375" style="219" bestFit="1" customWidth="1"/>
    <col min="11231" max="11231" width="10.125" style="219" bestFit="1" customWidth="1"/>
    <col min="11232" max="11232" width="9.375" style="219"/>
    <col min="11233" max="11233" width="10.125" style="219" bestFit="1" customWidth="1"/>
    <col min="11234" max="11234" width="10.75" style="219" customWidth="1"/>
    <col min="11235" max="11237" width="9.375" style="219"/>
    <col min="11238" max="11239" width="10.75" style="219" customWidth="1"/>
    <col min="11240" max="11244" width="9.375" style="219"/>
    <col min="11245" max="11245" width="1.625" style="219" bestFit="1" customWidth="1"/>
    <col min="11246" max="11246" width="9.375" style="219"/>
    <col min="11247" max="11247" width="8.875" style="219" customWidth="1"/>
    <col min="11248" max="11248" width="13.125" style="219" customWidth="1"/>
    <col min="11249" max="11249" width="9.375" style="219"/>
    <col min="11250" max="11250" width="9.875" style="219" customWidth="1"/>
    <col min="11251" max="11251" width="11.75" style="219" bestFit="1" customWidth="1"/>
    <col min="11252" max="11481" width="9.375" style="219"/>
    <col min="11482" max="11482" width="5" style="219" customWidth="1"/>
    <col min="11483" max="11483" width="17.875" style="219" bestFit="1" customWidth="1"/>
    <col min="11484" max="11484" width="9.875" style="219" customWidth="1"/>
    <col min="11485" max="11485" width="8.875" style="219" customWidth="1"/>
    <col min="11486" max="11486" width="7.375" style="219" bestFit="1" customWidth="1"/>
    <col min="11487" max="11487" width="10.125" style="219" bestFit="1" customWidth="1"/>
    <col min="11488" max="11488" width="9.375" style="219"/>
    <col min="11489" max="11489" width="10.125" style="219" bestFit="1" customWidth="1"/>
    <col min="11490" max="11490" width="10.75" style="219" customWidth="1"/>
    <col min="11491" max="11493" width="9.375" style="219"/>
    <col min="11494" max="11495" width="10.75" style="219" customWidth="1"/>
    <col min="11496" max="11500" width="9.375" style="219"/>
    <col min="11501" max="11501" width="1.625" style="219" bestFit="1" customWidth="1"/>
    <col min="11502" max="11502" width="9.375" style="219"/>
    <col min="11503" max="11503" width="8.875" style="219" customWidth="1"/>
    <col min="11504" max="11504" width="13.125" style="219" customWidth="1"/>
    <col min="11505" max="11505" width="9.375" style="219"/>
    <col min="11506" max="11506" width="9.875" style="219" customWidth="1"/>
    <col min="11507" max="11507" width="11.75" style="219" bestFit="1" customWidth="1"/>
    <col min="11508" max="11737" width="9.375" style="219"/>
    <col min="11738" max="11738" width="5" style="219" customWidth="1"/>
    <col min="11739" max="11739" width="17.875" style="219" bestFit="1" customWidth="1"/>
    <col min="11740" max="11740" width="9.875" style="219" customWidth="1"/>
    <col min="11741" max="11741" width="8.875" style="219" customWidth="1"/>
    <col min="11742" max="11742" width="7.375" style="219" bestFit="1" customWidth="1"/>
    <col min="11743" max="11743" width="10.125" style="219" bestFit="1" customWidth="1"/>
    <col min="11744" max="11744" width="9.375" style="219"/>
    <col min="11745" max="11745" width="10.125" style="219" bestFit="1" customWidth="1"/>
    <col min="11746" max="11746" width="10.75" style="219" customWidth="1"/>
    <col min="11747" max="11749" width="9.375" style="219"/>
    <col min="11750" max="11751" width="10.75" style="219" customWidth="1"/>
    <col min="11752" max="11756" width="9.375" style="219"/>
    <col min="11757" max="11757" width="1.625" style="219" bestFit="1" customWidth="1"/>
    <col min="11758" max="11758" width="9.375" style="219"/>
    <col min="11759" max="11759" width="8.875" style="219" customWidth="1"/>
    <col min="11760" max="11760" width="13.125" style="219" customWidth="1"/>
    <col min="11761" max="11761" width="9.375" style="219"/>
    <col min="11762" max="11762" width="9.875" style="219" customWidth="1"/>
    <col min="11763" max="11763" width="11.75" style="219" bestFit="1" customWidth="1"/>
    <col min="11764" max="11993" width="9.375" style="219"/>
    <col min="11994" max="11994" width="5" style="219" customWidth="1"/>
    <col min="11995" max="11995" width="17.875" style="219" bestFit="1" customWidth="1"/>
    <col min="11996" max="11996" width="9.875" style="219" customWidth="1"/>
    <col min="11997" max="11997" width="8.875" style="219" customWidth="1"/>
    <col min="11998" max="11998" width="7.375" style="219" bestFit="1" customWidth="1"/>
    <col min="11999" max="11999" width="10.125" style="219" bestFit="1" customWidth="1"/>
    <col min="12000" max="12000" width="9.375" style="219"/>
    <col min="12001" max="12001" width="10.125" style="219" bestFit="1" customWidth="1"/>
    <col min="12002" max="12002" width="10.75" style="219" customWidth="1"/>
    <col min="12003" max="12005" width="9.375" style="219"/>
    <col min="12006" max="12007" width="10.75" style="219" customWidth="1"/>
    <col min="12008" max="12012" width="9.375" style="219"/>
    <col min="12013" max="12013" width="1.625" style="219" bestFit="1" customWidth="1"/>
    <col min="12014" max="12014" width="9.375" style="219"/>
    <col min="12015" max="12015" width="8.875" style="219" customWidth="1"/>
    <col min="12016" max="12016" width="13.125" style="219" customWidth="1"/>
    <col min="12017" max="12017" width="9.375" style="219"/>
    <col min="12018" max="12018" width="9.875" style="219" customWidth="1"/>
    <col min="12019" max="12019" width="11.75" style="219" bestFit="1" customWidth="1"/>
    <col min="12020" max="12249" width="9.375" style="219"/>
    <col min="12250" max="12250" width="5" style="219" customWidth="1"/>
    <col min="12251" max="12251" width="17.875" style="219" bestFit="1" customWidth="1"/>
    <col min="12252" max="12252" width="9.875" style="219" customWidth="1"/>
    <col min="12253" max="12253" width="8.875" style="219" customWidth="1"/>
    <col min="12254" max="12254" width="7.375" style="219" bestFit="1" customWidth="1"/>
    <col min="12255" max="12255" width="10.125" style="219" bestFit="1" customWidth="1"/>
    <col min="12256" max="12256" width="9.375" style="219"/>
    <col min="12257" max="12257" width="10.125" style="219" bestFit="1" customWidth="1"/>
    <col min="12258" max="12258" width="10.75" style="219" customWidth="1"/>
    <col min="12259" max="12261" width="9.375" style="219"/>
    <col min="12262" max="12263" width="10.75" style="219" customWidth="1"/>
    <col min="12264" max="12268" width="9.375" style="219"/>
    <col min="12269" max="12269" width="1.625" style="219" bestFit="1" customWidth="1"/>
    <col min="12270" max="12270" width="9.375" style="219"/>
    <col min="12271" max="12271" width="8.875" style="219" customWidth="1"/>
    <col min="12272" max="12272" width="13.125" style="219" customWidth="1"/>
    <col min="12273" max="12273" width="9.375" style="219"/>
    <col min="12274" max="12274" width="9.875" style="219" customWidth="1"/>
    <col min="12275" max="12275" width="11.75" style="219" bestFit="1" customWidth="1"/>
    <col min="12276" max="12505" width="9.375" style="219"/>
    <col min="12506" max="12506" width="5" style="219" customWidth="1"/>
    <col min="12507" max="12507" width="17.875" style="219" bestFit="1" customWidth="1"/>
    <col min="12508" max="12508" width="9.875" style="219" customWidth="1"/>
    <col min="12509" max="12509" width="8.875" style="219" customWidth="1"/>
    <col min="12510" max="12510" width="7.375" style="219" bestFit="1" customWidth="1"/>
    <col min="12511" max="12511" width="10.125" style="219" bestFit="1" customWidth="1"/>
    <col min="12512" max="12512" width="9.375" style="219"/>
    <col min="12513" max="12513" width="10.125" style="219" bestFit="1" customWidth="1"/>
    <col min="12514" max="12514" width="10.75" style="219" customWidth="1"/>
    <col min="12515" max="12517" width="9.375" style="219"/>
    <col min="12518" max="12519" width="10.75" style="219" customWidth="1"/>
    <col min="12520" max="12524" width="9.375" style="219"/>
    <col min="12525" max="12525" width="1.625" style="219" bestFit="1" customWidth="1"/>
    <col min="12526" max="12526" width="9.375" style="219"/>
    <col min="12527" max="12527" width="8.875" style="219" customWidth="1"/>
    <col min="12528" max="12528" width="13.125" style="219" customWidth="1"/>
    <col min="12529" max="12529" width="9.375" style="219"/>
    <col min="12530" max="12530" width="9.875" style="219" customWidth="1"/>
    <col min="12531" max="12531" width="11.75" style="219" bestFit="1" customWidth="1"/>
    <col min="12532" max="12761" width="9.375" style="219"/>
    <col min="12762" max="12762" width="5" style="219" customWidth="1"/>
    <col min="12763" max="12763" width="17.875" style="219" bestFit="1" customWidth="1"/>
    <col min="12764" max="12764" width="9.875" style="219" customWidth="1"/>
    <col min="12765" max="12765" width="8.875" style="219" customWidth="1"/>
    <col min="12766" max="12766" width="7.375" style="219" bestFit="1" customWidth="1"/>
    <col min="12767" max="12767" width="10.125" style="219" bestFit="1" customWidth="1"/>
    <col min="12768" max="12768" width="9.375" style="219"/>
    <col min="12769" max="12769" width="10.125" style="219" bestFit="1" customWidth="1"/>
    <col min="12770" max="12770" width="10.75" style="219" customWidth="1"/>
    <col min="12771" max="12773" width="9.375" style="219"/>
    <col min="12774" max="12775" width="10.75" style="219" customWidth="1"/>
    <col min="12776" max="12780" width="9.375" style="219"/>
    <col min="12781" max="12781" width="1.625" style="219" bestFit="1" customWidth="1"/>
    <col min="12782" max="12782" width="9.375" style="219"/>
    <col min="12783" max="12783" width="8.875" style="219" customWidth="1"/>
    <col min="12784" max="12784" width="13.125" style="219" customWidth="1"/>
    <col min="12785" max="12785" width="9.375" style="219"/>
    <col min="12786" max="12786" width="9.875" style="219" customWidth="1"/>
    <col min="12787" max="12787" width="11.75" style="219" bestFit="1" customWidth="1"/>
    <col min="12788" max="13017" width="9.375" style="219"/>
    <col min="13018" max="13018" width="5" style="219" customWidth="1"/>
    <col min="13019" max="13019" width="17.875" style="219" bestFit="1" customWidth="1"/>
    <col min="13020" max="13020" width="9.875" style="219" customWidth="1"/>
    <col min="13021" max="13021" width="8.875" style="219" customWidth="1"/>
    <col min="13022" max="13022" width="7.375" style="219" bestFit="1" customWidth="1"/>
    <col min="13023" max="13023" width="10.125" style="219" bestFit="1" customWidth="1"/>
    <col min="13024" max="13024" width="9.375" style="219"/>
    <col min="13025" max="13025" width="10.125" style="219" bestFit="1" customWidth="1"/>
    <col min="13026" max="13026" width="10.75" style="219" customWidth="1"/>
    <col min="13027" max="13029" width="9.375" style="219"/>
    <col min="13030" max="13031" width="10.75" style="219" customWidth="1"/>
    <col min="13032" max="13036" width="9.375" style="219"/>
    <col min="13037" max="13037" width="1.625" style="219" bestFit="1" customWidth="1"/>
    <col min="13038" max="13038" width="9.375" style="219"/>
    <col min="13039" max="13039" width="8.875" style="219" customWidth="1"/>
    <col min="13040" max="13040" width="13.125" style="219" customWidth="1"/>
    <col min="13041" max="13041" width="9.375" style="219"/>
    <col min="13042" max="13042" width="9.875" style="219" customWidth="1"/>
    <col min="13043" max="13043" width="11.75" style="219" bestFit="1" customWidth="1"/>
    <col min="13044" max="13273" width="9.375" style="219"/>
    <col min="13274" max="13274" width="5" style="219" customWidth="1"/>
    <col min="13275" max="13275" width="17.875" style="219" bestFit="1" customWidth="1"/>
    <col min="13276" max="13276" width="9.875" style="219" customWidth="1"/>
    <col min="13277" max="13277" width="8.875" style="219" customWidth="1"/>
    <col min="13278" max="13278" width="7.375" style="219" bestFit="1" customWidth="1"/>
    <col min="13279" max="13279" width="10.125" style="219" bestFit="1" customWidth="1"/>
    <col min="13280" max="13280" width="9.375" style="219"/>
    <col min="13281" max="13281" width="10.125" style="219" bestFit="1" customWidth="1"/>
    <col min="13282" max="13282" width="10.75" style="219" customWidth="1"/>
    <col min="13283" max="13285" width="9.375" style="219"/>
    <col min="13286" max="13287" width="10.75" style="219" customWidth="1"/>
    <col min="13288" max="13292" width="9.375" style="219"/>
    <col min="13293" max="13293" width="1.625" style="219" bestFit="1" customWidth="1"/>
    <col min="13294" max="13294" width="9.375" style="219"/>
    <col min="13295" max="13295" width="8.875" style="219" customWidth="1"/>
    <col min="13296" max="13296" width="13.125" style="219" customWidth="1"/>
    <col min="13297" max="13297" width="9.375" style="219"/>
    <col min="13298" max="13298" width="9.875" style="219" customWidth="1"/>
    <col min="13299" max="13299" width="11.75" style="219" bestFit="1" customWidth="1"/>
    <col min="13300" max="13529" width="9.375" style="219"/>
    <col min="13530" max="13530" width="5" style="219" customWidth="1"/>
    <col min="13531" max="13531" width="17.875" style="219" bestFit="1" customWidth="1"/>
    <col min="13532" max="13532" width="9.875" style="219" customWidth="1"/>
    <col min="13533" max="13533" width="8.875" style="219" customWidth="1"/>
    <col min="13534" max="13534" width="7.375" style="219" bestFit="1" customWidth="1"/>
    <col min="13535" max="13535" width="10.125" style="219" bestFit="1" customWidth="1"/>
    <col min="13536" max="13536" width="9.375" style="219"/>
    <col min="13537" max="13537" width="10.125" style="219" bestFit="1" customWidth="1"/>
    <col min="13538" max="13538" width="10.75" style="219" customWidth="1"/>
    <col min="13539" max="13541" width="9.375" style="219"/>
    <col min="13542" max="13543" width="10.75" style="219" customWidth="1"/>
    <col min="13544" max="13548" width="9.375" style="219"/>
    <col min="13549" max="13549" width="1.625" style="219" bestFit="1" customWidth="1"/>
    <col min="13550" max="13550" width="9.375" style="219"/>
    <col min="13551" max="13551" width="8.875" style="219" customWidth="1"/>
    <col min="13552" max="13552" width="13.125" style="219" customWidth="1"/>
    <col min="13553" max="13553" width="9.375" style="219"/>
    <col min="13554" max="13554" width="9.875" style="219" customWidth="1"/>
    <col min="13555" max="13555" width="11.75" style="219" bestFit="1" customWidth="1"/>
    <col min="13556" max="13785" width="9.375" style="219"/>
    <col min="13786" max="13786" width="5" style="219" customWidth="1"/>
    <col min="13787" max="13787" width="17.875" style="219" bestFit="1" customWidth="1"/>
    <col min="13788" max="13788" width="9.875" style="219" customWidth="1"/>
    <col min="13789" max="13789" width="8.875" style="219" customWidth="1"/>
    <col min="13790" max="13790" width="7.375" style="219" bestFit="1" customWidth="1"/>
    <col min="13791" max="13791" width="10.125" style="219" bestFit="1" customWidth="1"/>
    <col min="13792" max="13792" width="9.375" style="219"/>
    <col min="13793" max="13793" width="10.125" style="219" bestFit="1" customWidth="1"/>
    <col min="13794" max="13794" width="10.75" style="219" customWidth="1"/>
    <col min="13795" max="13797" width="9.375" style="219"/>
    <col min="13798" max="13799" width="10.75" style="219" customWidth="1"/>
    <col min="13800" max="13804" width="9.375" style="219"/>
    <col min="13805" max="13805" width="1.625" style="219" bestFit="1" customWidth="1"/>
    <col min="13806" max="13806" width="9.375" style="219"/>
    <col min="13807" max="13807" width="8.875" style="219" customWidth="1"/>
    <col min="13808" max="13808" width="13.125" style="219" customWidth="1"/>
    <col min="13809" max="13809" width="9.375" style="219"/>
    <col min="13810" max="13810" width="9.875" style="219" customWidth="1"/>
    <col min="13811" max="13811" width="11.75" style="219" bestFit="1" customWidth="1"/>
    <col min="13812" max="14041" width="9.375" style="219"/>
    <col min="14042" max="14042" width="5" style="219" customWidth="1"/>
    <col min="14043" max="14043" width="17.875" style="219" bestFit="1" customWidth="1"/>
    <col min="14044" max="14044" width="9.875" style="219" customWidth="1"/>
    <col min="14045" max="14045" width="8.875" style="219" customWidth="1"/>
    <col min="14046" max="14046" width="7.375" style="219" bestFit="1" customWidth="1"/>
    <col min="14047" max="14047" width="10.125" style="219" bestFit="1" customWidth="1"/>
    <col min="14048" max="14048" width="9.375" style="219"/>
    <col min="14049" max="14049" width="10.125" style="219" bestFit="1" customWidth="1"/>
    <col min="14050" max="14050" width="10.75" style="219" customWidth="1"/>
    <col min="14051" max="14053" width="9.375" style="219"/>
    <col min="14054" max="14055" width="10.75" style="219" customWidth="1"/>
    <col min="14056" max="14060" width="9.375" style="219"/>
    <col min="14061" max="14061" width="1.625" style="219" bestFit="1" customWidth="1"/>
    <col min="14062" max="14062" width="9.375" style="219"/>
    <col min="14063" max="14063" width="8.875" style="219" customWidth="1"/>
    <col min="14064" max="14064" width="13.125" style="219" customWidth="1"/>
    <col min="14065" max="14065" width="9.375" style="219"/>
    <col min="14066" max="14066" width="9.875" style="219" customWidth="1"/>
    <col min="14067" max="14067" width="11.75" style="219" bestFit="1" customWidth="1"/>
    <col min="14068" max="14297" width="9.375" style="219"/>
    <col min="14298" max="14298" width="5" style="219" customWidth="1"/>
    <col min="14299" max="14299" width="17.875" style="219" bestFit="1" customWidth="1"/>
    <col min="14300" max="14300" width="9.875" style="219" customWidth="1"/>
    <col min="14301" max="14301" width="8.875" style="219" customWidth="1"/>
    <col min="14302" max="14302" width="7.375" style="219" bestFit="1" customWidth="1"/>
    <col min="14303" max="14303" width="10.125" style="219" bestFit="1" customWidth="1"/>
    <col min="14304" max="14304" width="9.375" style="219"/>
    <col min="14305" max="14305" width="10.125" style="219" bestFit="1" customWidth="1"/>
    <col min="14306" max="14306" width="10.75" style="219" customWidth="1"/>
    <col min="14307" max="14309" width="9.375" style="219"/>
    <col min="14310" max="14311" width="10.75" style="219" customWidth="1"/>
    <col min="14312" max="14316" width="9.375" style="219"/>
    <col min="14317" max="14317" width="1.625" style="219" bestFit="1" customWidth="1"/>
    <col min="14318" max="14318" width="9.375" style="219"/>
    <col min="14319" max="14319" width="8.875" style="219" customWidth="1"/>
    <col min="14320" max="14320" width="13.125" style="219" customWidth="1"/>
    <col min="14321" max="14321" width="9.375" style="219"/>
    <col min="14322" max="14322" width="9.875" style="219" customWidth="1"/>
    <col min="14323" max="14323" width="11.75" style="219" bestFit="1" customWidth="1"/>
    <col min="14324" max="14553" width="9.375" style="219"/>
    <col min="14554" max="14554" width="5" style="219" customWidth="1"/>
    <col min="14555" max="14555" width="17.875" style="219" bestFit="1" customWidth="1"/>
    <col min="14556" max="14556" width="9.875" style="219" customWidth="1"/>
    <col min="14557" max="14557" width="8.875" style="219" customWidth="1"/>
    <col min="14558" max="14558" width="7.375" style="219" bestFit="1" customWidth="1"/>
    <col min="14559" max="14559" width="10.125" style="219" bestFit="1" customWidth="1"/>
    <col min="14560" max="14560" width="9.375" style="219"/>
    <col min="14561" max="14561" width="10.125" style="219" bestFit="1" customWidth="1"/>
    <col min="14562" max="14562" width="10.75" style="219" customWidth="1"/>
    <col min="14563" max="14565" width="9.375" style="219"/>
    <col min="14566" max="14567" width="10.75" style="219" customWidth="1"/>
    <col min="14568" max="14572" width="9.375" style="219"/>
    <col min="14573" max="14573" width="1.625" style="219" bestFit="1" customWidth="1"/>
    <col min="14574" max="14574" width="9.375" style="219"/>
    <col min="14575" max="14575" width="8.875" style="219" customWidth="1"/>
    <col min="14576" max="14576" width="13.125" style="219" customWidth="1"/>
    <col min="14577" max="14577" width="9.375" style="219"/>
    <col min="14578" max="14578" width="9.875" style="219" customWidth="1"/>
    <col min="14579" max="14579" width="11.75" style="219" bestFit="1" customWidth="1"/>
    <col min="14580" max="14809" width="9.375" style="219"/>
    <col min="14810" max="14810" width="5" style="219" customWidth="1"/>
    <col min="14811" max="14811" width="17.875" style="219" bestFit="1" customWidth="1"/>
    <col min="14812" max="14812" width="9.875" style="219" customWidth="1"/>
    <col min="14813" max="14813" width="8.875" style="219" customWidth="1"/>
    <col min="14814" max="14814" width="7.375" style="219" bestFit="1" customWidth="1"/>
    <col min="14815" max="14815" width="10.125" style="219" bestFit="1" customWidth="1"/>
    <col min="14816" max="14816" width="9.375" style="219"/>
    <col min="14817" max="14817" width="10.125" style="219" bestFit="1" customWidth="1"/>
    <col min="14818" max="14818" width="10.75" style="219" customWidth="1"/>
    <col min="14819" max="14821" width="9.375" style="219"/>
    <col min="14822" max="14823" width="10.75" style="219" customWidth="1"/>
    <col min="14824" max="14828" width="9.375" style="219"/>
    <col min="14829" max="14829" width="1.625" style="219" bestFit="1" customWidth="1"/>
    <col min="14830" max="14830" width="9.375" style="219"/>
    <col min="14831" max="14831" width="8.875" style="219" customWidth="1"/>
    <col min="14832" max="14832" width="13.125" style="219" customWidth="1"/>
    <col min="14833" max="14833" width="9.375" style="219"/>
    <col min="14834" max="14834" width="9.875" style="219" customWidth="1"/>
    <col min="14835" max="14835" width="11.75" style="219" bestFit="1" customWidth="1"/>
    <col min="14836" max="15065" width="9.375" style="219"/>
    <col min="15066" max="15066" width="5" style="219" customWidth="1"/>
    <col min="15067" max="15067" width="17.875" style="219" bestFit="1" customWidth="1"/>
    <col min="15068" max="15068" width="9.875" style="219" customWidth="1"/>
    <col min="15069" max="15069" width="8.875" style="219" customWidth="1"/>
    <col min="15070" max="15070" width="7.375" style="219" bestFit="1" customWidth="1"/>
    <col min="15071" max="15071" width="10.125" style="219" bestFit="1" customWidth="1"/>
    <col min="15072" max="15072" width="9.375" style="219"/>
    <col min="15073" max="15073" width="10.125" style="219" bestFit="1" customWidth="1"/>
    <col min="15074" max="15074" width="10.75" style="219" customWidth="1"/>
    <col min="15075" max="15077" width="9.375" style="219"/>
    <col min="15078" max="15079" width="10.75" style="219" customWidth="1"/>
    <col min="15080" max="15084" width="9.375" style="219"/>
    <col min="15085" max="15085" width="1.625" style="219" bestFit="1" customWidth="1"/>
    <col min="15086" max="15086" width="9.375" style="219"/>
    <col min="15087" max="15087" width="8.875" style="219" customWidth="1"/>
    <col min="15088" max="15088" width="13.125" style="219" customWidth="1"/>
    <col min="15089" max="15089" width="9.375" style="219"/>
    <col min="15090" max="15090" width="9.875" style="219" customWidth="1"/>
    <col min="15091" max="15091" width="11.75" style="219" bestFit="1" customWidth="1"/>
    <col min="15092" max="15321" width="9.375" style="219"/>
    <col min="15322" max="15322" width="5" style="219" customWidth="1"/>
    <col min="15323" max="15323" width="17.875" style="219" bestFit="1" customWidth="1"/>
    <col min="15324" max="15324" width="9.875" style="219" customWidth="1"/>
    <col min="15325" max="15325" width="8.875" style="219" customWidth="1"/>
    <col min="15326" max="15326" width="7.375" style="219" bestFit="1" customWidth="1"/>
    <col min="15327" max="15327" width="10.125" style="219" bestFit="1" customWidth="1"/>
    <col min="15328" max="15328" width="9.375" style="219"/>
    <col min="15329" max="15329" width="10.125" style="219" bestFit="1" customWidth="1"/>
    <col min="15330" max="15330" width="10.75" style="219" customWidth="1"/>
    <col min="15331" max="15333" width="9.375" style="219"/>
    <col min="15334" max="15335" width="10.75" style="219" customWidth="1"/>
    <col min="15336" max="15340" width="9.375" style="219"/>
    <col min="15341" max="15341" width="1.625" style="219" bestFit="1" customWidth="1"/>
    <col min="15342" max="15342" width="9.375" style="219"/>
    <col min="15343" max="15343" width="8.875" style="219" customWidth="1"/>
    <col min="15344" max="15344" width="13.125" style="219" customWidth="1"/>
    <col min="15345" max="15345" width="9.375" style="219"/>
    <col min="15346" max="15346" width="9.875" style="219" customWidth="1"/>
    <col min="15347" max="15347" width="11.75" style="219" bestFit="1" customWidth="1"/>
    <col min="15348" max="15577" width="9.375" style="219"/>
    <col min="15578" max="15578" width="5" style="219" customWidth="1"/>
    <col min="15579" max="15579" width="17.875" style="219" bestFit="1" customWidth="1"/>
    <col min="15580" max="15580" width="9.875" style="219" customWidth="1"/>
    <col min="15581" max="15581" width="8.875" style="219" customWidth="1"/>
    <col min="15582" max="15582" width="7.375" style="219" bestFit="1" customWidth="1"/>
    <col min="15583" max="15583" width="10.125" style="219" bestFit="1" customWidth="1"/>
    <col min="15584" max="15584" width="9.375" style="219"/>
    <col min="15585" max="15585" width="10.125" style="219" bestFit="1" customWidth="1"/>
    <col min="15586" max="15586" width="10.75" style="219" customWidth="1"/>
    <col min="15587" max="15589" width="9.375" style="219"/>
    <col min="15590" max="15591" width="10.75" style="219" customWidth="1"/>
    <col min="15592" max="15596" width="9.375" style="219"/>
    <col min="15597" max="15597" width="1.625" style="219" bestFit="1" customWidth="1"/>
    <col min="15598" max="15598" width="9.375" style="219"/>
    <col min="15599" max="15599" width="8.875" style="219" customWidth="1"/>
    <col min="15600" max="15600" width="13.125" style="219" customWidth="1"/>
    <col min="15601" max="15601" width="9.375" style="219"/>
    <col min="15602" max="15602" width="9.875" style="219" customWidth="1"/>
    <col min="15603" max="15603" width="11.75" style="219" bestFit="1" customWidth="1"/>
    <col min="15604" max="15833" width="9.375" style="219"/>
    <col min="15834" max="15834" width="5" style="219" customWidth="1"/>
    <col min="15835" max="15835" width="17.875" style="219" bestFit="1" customWidth="1"/>
    <col min="15836" max="15836" width="9.875" style="219" customWidth="1"/>
    <col min="15837" max="15837" width="8.875" style="219" customWidth="1"/>
    <col min="15838" max="15838" width="7.375" style="219" bestFit="1" customWidth="1"/>
    <col min="15839" max="15839" width="10.125" style="219" bestFit="1" customWidth="1"/>
    <col min="15840" max="15840" width="9.375" style="219"/>
    <col min="15841" max="15841" width="10.125" style="219" bestFit="1" customWidth="1"/>
    <col min="15842" max="15842" width="10.75" style="219" customWidth="1"/>
    <col min="15843" max="15845" width="9.375" style="219"/>
    <col min="15846" max="15847" width="10.75" style="219" customWidth="1"/>
    <col min="15848" max="15852" width="9.375" style="219"/>
    <col min="15853" max="15853" width="1.625" style="219" bestFit="1" customWidth="1"/>
    <col min="15854" max="15854" width="9.375" style="219"/>
    <col min="15855" max="15855" width="8.875" style="219" customWidth="1"/>
    <col min="15856" max="15856" width="13.125" style="219" customWidth="1"/>
    <col min="15857" max="15857" width="9.375" style="219"/>
    <col min="15858" max="15858" width="9.875" style="219" customWidth="1"/>
    <col min="15859" max="15859" width="11.75" style="219" bestFit="1" customWidth="1"/>
    <col min="15860" max="16089" width="9.375" style="219"/>
    <col min="16090" max="16090" width="5" style="219" customWidth="1"/>
    <col min="16091" max="16091" width="17.875" style="219" bestFit="1" customWidth="1"/>
    <col min="16092" max="16092" width="9.875" style="219" customWidth="1"/>
    <col min="16093" max="16093" width="8.875" style="219" customWidth="1"/>
    <col min="16094" max="16094" width="7.375" style="219" bestFit="1" customWidth="1"/>
    <col min="16095" max="16095" width="10.125" style="219" bestFit="1" customWidth="1"/>
    <col min="16096" max="16096" width="9.375" style="219"/>
    <col min="16097" max="16097" width="10.125" style="219" bestFit="1" customWidth="1"/>
    <col min="16098" max="16098" width="10.75" style="219" customWidth="1"/>
    <col min="16099" max="16101" width="9.375" style="219"/>
    <col min="16102" max="16103" width="10.75" style="219" customWidth="1"/>
    <col min="16104" max="16108" width="9.375" style="219"/>
    <col min="16109" max="16109" width="1.625" style="219" bestFit="1" customWidth="1"/>
    <col min="16110" max="16110" width="9.375" style="219"/>
    <col min="16111" max="16111" width="8.875" style="219" customWidth="1"/>
    <col min="16112" max="16112" width="13.125" style="219" customWidth="1"/>
    <col min="16113" max="16113" width="9.375" style="219"/>
    <col min="16114" max="16114" width="9.875" style="219" customWidth="1"/>
    <col min="16115" max="16115" width="11.75" style="219" bestFit="1" customWidth="1"/>
    <col min="16116" max="16384" width="9.375" style="219"/>
  </cols>
  <sheetData>
    <row r="1" spans="1:15" s="44" customFormat="1" ht="21" x14ac:dyDescent="0.2">
      <c r="A1" s="211" t="s">
        <v>506</v>
      </c>
      <c r="B1" s="43"/>
      <c r="C1" s="43"/>
      <c r="D1" s="217"/>
      <c r="E1" s="217"/>
      <c r="F1" s="217"/>
      <c r="G1" s="217"/>
      <c r="H1" s="218"/>
      <c r="I1" s="218"/>
      <c r="J1" s="218"/>
      <c r="K1" s="218"/>
      <c r="L1" s="218"/>
      <c r="M1" s="218"/>
      <c r="O1" s="218"/>
    </row>
    <row r="2" spans="1:15" s="54" customFormat="1" ht="21" x14ac:dyDescent="0.35">
      <c r="A2" s="26">
        <f>Paramètres!B5</f>
        <v>2018</v>
      </c>
    </row>
    <row r="4" spans="1:15" s="224" customFormat="1" ht="135" x14ac:dyDescent="0.2">
      <c r="A4" s="579" t="s">
        <v>50</v>
      </c>
      <c r="B4" s="579" t="s">
        <v>101</v>
      </c>
      <c r="C4" s="579" t="s">
        <v>500</v>
      </c>
      <c r="D4" s="579" t="s">
        <v>310</v>
      </c>
      <c r="E4" s="579" t="s">
        <v>496</v>
      </c>
      <c r="F4" s="579" t="s">
        <v>501</v>
      </c>
      <c r="G4" s="579" t="s">
        <v>464</v>
      </c>
      <c r="H4" s="581" t="s">
        <v>347</v>
      </c>
      <c r="I4" s="227" t="s">
        <v>507</v>
      </c>
      <c r="J4" s="579" t="s">
        <v>645</v>
      </c>
      <c r="K4" s="579" t="s">
        <v>502</v>
      </c>
      <c r="L4" s="579" t="s">
        <v>503</v>
      </c>
      <c r="M4" s="579" t="s">
        <v>510</v>
      </c>
      <c r="N4" s="227" t="s">
        <v>504</v>
      </c>
      <c r="O4" s="579" t="s">
        <v>505</v>
      </c>
    </row>
    <row r="5" spans="1:15" s="224" customFormat="1" x14ac:dyDescent="0.2">
      <c r="A5" s="580"/>
      <c r="B5" s="580"/>
      <c r="C5" s="580"/>
      <c r="D5" s="580"/>
      <c r="E5" s="580"/>
      <c r="F5" s="580"/>
      <c r="G5" s="580"/>
      <c r="H5" s="582"/>
      <c r="I5" s="244">
        <f>Paramètres!B66</f>
        <v>2</v>
      </c>
      <c r="J5" s="580"/>
      <c r="K5" s="580"/>
      <c r="L5" s="580"/>
      <c r="M5" s="580"/>
      <c r="N5" s="288">
        <f>+N315/M315</f>
        <v>1.2434594341524681</v>
      </c>
      <c r="O5" s="580"/>
    </row>
    <row r="6" spans="1:15" x14ac:dyDescent="0.25">
      <c r="A6" s="319">
        <f>'A) Base RI'!A7</f>
        <v>5401</v>
      </c>
      <c r="B6" s="225" t="str">
        <f>'A) Base RI'!B7</f>
        <v>Aigle</v>
      </c>
      <c r="C6" s="241">
        <v>1</v>
      </c>
      <c r="D6" s="221">
        <f>'B) D RI'!AR7</f>
        <v>10134</v>
      </c>
      <c r="E6" s="222">
        <f>'B) D RI'!S7</f>
        <v>67.5</v>
      </c>
      <c r="F6" s="10">
        <f>'B) D RI'!R7</f>
        <v>18651965.026666671</v>
      </c>
      <c r="G6" s="10">
        <f>'B) D RI'!U7</f>
        <v>276325.40780246921</v>
      </c>
      <c r="H6" s="42">
        <f>'B) D RI'!T7</f>
        <v>16701227.010000002</v>
      </c>
      <c r="I6" s="55">
        <f>+H6/E6*$I$5</f>
        <v>494851.1706666667</v>
      </c>
      <c r="J6" s="91">
        <f t="shared" ref="J6:J37" si="0">+$I$315/$D$315*D6</f>
        <v>868694.38771677914</v>
      </c>
      <c r="K6" s="55">
        <f t="shared" ref="K6:K69" si="1">IF(C6=1,0,IF(J6&gt;I6,I6,J6))</f>
        <v>0</v>
      </c>
      <c r="L6" s="55">
        <f>+J6-K6</f>
        <v>868694.38771677914</v>
      </c>
      <c r="M6" s="55">
        <f>'D) Ecrêtage'!M5</f>
        <v>276325.40780246921</v>
      </c>
      <c r="N6" s="55">
        <f t="shared" ref="N6:N37" si="2">+$N$5*M6</f>
        <v>343599.43522800837</v>
      </c>
      <c r="O6" s="105">
        <f>+N6+K6</f>
        <v>343599.43522800837</v>
      </c>
    </row>
    <row r="7" spans="1:15" x14ac:dyDescent="0.25">
      <c r="A7" s="320">
        <f>'A) Base RI'!A8</f>
        <v>5402</v>
      </c>
      <c r="B7" s="226" t="str">
        <f>'A) Base RI'!B8</f>
        <v>Bex</v>
      </c>
      <c r="C7" s="242">
        <v>1</v>
      </c>
      <c r="D7" s="221">
        <f>'B) D RI'!AR8</f>
        <v>7757</v>
      </c>
      <c r="E7" s="222">
        <f>'B) D RI'!S8</f>
        <v>71</v>
      </c>
      <c r="F7" s="10">
        <f>'B) D RI'!R8</f>
        <v>12253663.93</v>
      </c>
      <c r="G7" s="10">
        <f>'B) D RI'!U8</f>
        <v>172586.81591549295</v>
      </c>
      <c r="H7" s="42">
        <f>'B) D RI'!T8</f>
        <v>10907183.09</v>
      </c>
      <c r="I7" s="10">
        <f t="shared" ref="I7:I70" si="3">+H7/E7*$I$5</f>
        <v>307244.59408450703</v>
      </c>
      <c r="J7" s="32">
        <f t="shared" si="0"/>
        <v>664936.09290695237</v>
      </c>
      <c r="K7" s="10">
        <f t="shared" si="1"/>
        <v>0</v>
      </c>
      <c r="L7" s="10">
        <f t="shared" ref="L7:L70" si="4">+J7-K7</f>
        <v>664936.09290695237</v>
      </c>
      <c r="M7" s="10">
        <f>'D) Ecrêtage'!M6</f>
        <v>172586.81591549295</v>
      </c>
      <c r="N7" s="10">
        <f t="shared" si="2"/>
        <v>214604.70446045502</v>
      </c>
      <c r="O7" s="58">
        <f t="shared" ref="O7:O69" si="5">+N7+K7</f>
        <v>214604.70446045502</v>
      </c>
    </row>
    <row r="8" spans="1:15" x14ac:dyDescent="0.25">
      <c r="A8" s="320">
        <f>'A) Base RI'!A9</f>
        <v>5403</v>
      </c>
      <c r="B8" s="226" t="str">
        <f>'A) Base RI'!B9</f>
        <v>Chessel</v>
      </c>
      <c r="C8" s="242">
        <v>0</v>
      </c>
      <c r="D8" s="221">
        <f>'B) D RI'!AR9</f>
        <v>426</v>
      </c>
      <c r="E8" s="222">
        <f>'B) D RI'!S9</f>
        <v>74</v>
      </c>
      <c r="F8" s="10">
        <f>'B) D RI'!R9</f>
        <v>752991.19000000018</v>
      </c>
      <c r="G8" s="10">
        <f>'B) D RI'!U9</f>
        <v>10175.556621621625</v>
      </c>
      <c r="H8" s="42">
        <f>'B) D RI'!T9</f>
        <v>692898.64000000013</v>
      </c>
      <c r="I8" s="10">
        <f t="shared" si="3"/>
        <v>18726.990270270275</v>
      </c>
      <c r="J8" s="32">
        <f t="shared" si="0"/>
        <v>36517.052414382066</v>
      </c>
      <c r="K8" s="10">
        <f t="shared" si="1"/>
        <v>18726.990270270275</v>
      </c>
      <c r="L8" s="10">
        <f t="shared" si="4"/>
        <v>17790.062144111791</v>
      </c>
      <c r="M8" s="10">
        <f>'D) Ecrêtage'!M7</f>
        <v>10175.556621621625</v>
      </c>
      <c r="N8" s="10">
        <f t="shared" si="2"/>
        <v>12652.891878908025</v>
      </c>
      <c r="O8" s="58">
        <f t="shared" si="5"/>
        <v>31379.882149178302</v>
      </c>
    </row>
    <row r="9" spans="1:15" x14ac:dyDescent="0.25">
      <c r="A9" s="320">
        <f>'A) Base RI'!A10</f>
        <v>5404</v>
      </c>
      <c r="B9" s="226" t="str">
        <f>'A) Base RI'!B10</f>
        <v>Corbeyrier</v>
      </c>
      <c r="C9" s="242">
        <v>0</v>
      </c>
      <c r="D9" s="221">
        <f>'B) D RI'!AR10</f>
        <v>438</v>
      </c>
      <c r="E9" s="222">
        <f>'B) D RI'!S10</f>
        <v>70</v>
      </c>
      <c r="F9" s="10">
        <f>'B) D RI'!R10</f>
        <v>845931.91666666663</v>
      </c>
      <c r="G9" s="10">
        <f>'B) D RI'!U10</f>
        <v>12084.741666666667</v>
      </c>
      <c r="H9" s="42">
        <f>'B) D RI'!T10</f>
        <v>766028.6</v>
      </c>
      <c r="I9" s="10">
        <f t="shared" si="3"/>
        <v>21886.531428571427</v>
      </c>
      <c r="J9" s="32">
        <f t="shared" si="0"/>
        <v>37545.70177816748</v>
      </c>
      <c r="K9" s="10">
        <f t="shared" si="1"/>
        <v>21886.531428571427</v>
      </c>
      <c r="L9" s="10">
        <f t="shared" si="4"/>
        <v>15659.170349596054</v>
      </c>
      <c r="M9" s="10">
        <f>'D) Ecrêtage'!M8</f>
        <v>12084.741666666667</v>
      </c>
      <c r="N9" s="10">
        <f t="shared" si="2"/>
        <v>15026.886034712088</v>
      </c>
      <c r="O9" s="58">
        <f t="shared" si="5"/>
        <v>36913.417463283513</v>
      </c>
    </row>
    <row r="10" spans="1:15" x14ac:dyDescent="0.25">
      <c r="A10" s="320">
        <f>'A) Base RI'!A11</f>
        <v>5405</v>
      </c>
      <c r="B10" s="226" t="str">
        <f>'A) Base RI'!B11</f>
        <v>Gryon</v>
      </c>
      <c r="C10" s="242">
        <v>0</v>
      </c>
      <c r="D10" s="221">
        <f>'B) D RI'!AR11</f>
        <v>1332</v>
      </c>
      <c r="E10" s="222">
        <f>'B) D RI'!S11</f>
        <v>75</v>
      </c>
      <c r="F10" s="10">
        <f>'B) D RI'!R11</f>
        <v>5068416.2166666677</v>
      </c>
      <c r="G10" s="10">
        <f>'B) D RI'!U11</f>
        <v>67578.882888888897</v>
      </c>
      <c r="H10" s="42">
        <f>'B) D RI'!T11</f>
        <v>4550328.0000000009</v>
      </c>
      <c r="I10" s="10">
        <f t="shared" si="3"/>
        <v>121342.08000000003</v>
      </c>
      <c r="J10" s="32">
        <f t="shared" si="0"/>
        <v>114180.07938018056</v>
      </c>
      <c r="K10" s="10">
        <f t="shared" si="1"/>
        <v>114180.07938018056</v>
      </c>
      <c r="L10" s="10">
        <f t="shared" si="4"/>
        <v>0</v>
      </c>
      <c r="M10" s="10">
        <f>'D) Ecrêtage'!M9</f>
        <v>67578.882888888897</v>
      </c>
      <c r="N10" s="10">
        <f t="shared" si="2"/>
        <v>84031.599477673692</v>
      </c>
      <c r="O10" s="58">
        <f t="shared" si="5"/>
        <v>198211.67885785425</v>
      </c>
    </row>
    <row r="11" spans="1:15" x14ac:dyDescent="0.25">
      <c r="A11" s="320">
        <f>'A) Base RI'!A12</f>
        <v>5406</v>
      </c>
      <c r="B11" s="226" t="str">
        <f>'A) Base RI'!B12</f>
        <v>Lavey-Morcles</v>
      </c>
      <c r="C11" s="242">
        <v>0</v>
      </c>
      <c r="D11" s="221">
        <f>'B) D RI'!AR12</f>
        <v>946</v>
      </c>
      <c r="E11" s="222">
        <f>'B) D RI'!S12</f>
        <v>71</v>
      </c>
      <c r="F11" s="10">
        <f>'B) D RI'!R12</f>
        <v>1532612.7176923077</v>
      </c>
      <c r="G11" s="10">
        <f>'B) D RI'!U12</f>
        <v>21586.094615384616</v>
      </c>
      <c r="H11" s="42">
        <f>'B) D RI'!T12</f>
        <v>1377849.0599999998</v>
      </c>
      <c r="I11" s="10">
        <f t="shared" si="3"/>
        <v>38812.649577464785</v>
      </c>
      <c r="J11" s="32">
        <f t="shared" si="0"/>
        <v>81091.858178416514</v>
      </c>
      <c r="K11" s="10">
        <f t="shared" si="1"/>
        <v>38812.649577464785</v>
      </c>
      <c r="L11" s="10">
        <f t="shared" si="4"/>
        <v>42279.20860095173</v>
      </c>
      <c r="M11" s="10">
        <f>'D) Ecrêtage'!M10</f>
        <v>21586.094615384616</v>
      </c>
      <c r="N11" s="10">
        <f t="shared" si="2"/>
        <v>26841.432996007792</v>
      </c>
      <c r="O11" s="58">
        <f t="shared" si="5"/>
        <v>65654.08257347258</v>
      </c>
    </row>
    <row r="12" spans="1:15" x14ac:dyDescent="0.25">
      <c r="A12" s="320">
        <f>'A) Base RI'!A13</f>
        <v>5407</v>
      </c>
      <c r="B12" s="226" t="str">
        <f>'A) Base RI'!B13</f>
        <v>Leysin</v>
      </c>
      <c r="C12" s="242">
        <v>0</v>
      </c>
      <c r="D12" s="221">
        <f>'B) D RI'!AR13</f>
        <v>3939</v>
      </c>
      <c r="E12" s="222">
        <f>'B) D RI'!S13</f>
        <v>78</v>
      </c>
      <c r="F12" s="10">
        <f>'B) D RI'!R13</f>
        <v>6990071.8133333344</v>
      </c>
      <c r="G12" s="10">
        <f>'B) D RI'!U13</f>
        <v>89616.305299145315</v>
      </c>
      <c r="H12" s="42">
        <f>'B) D RI'!T13</f>
        <v>6124771.6800000016</v>
      </c>
      <c r="I12" s="10">
        <f t="shared" si="3"/>
        <v>157045.42769230774</v>
      </c>
      <c r="J12" s="32">
        <f t="shared" si="0"/>
        <v>337654.15366256097</v>
      </c>
      <c r="K12" s="10">
        <f t="shared" si="1"/>
        <v>157045.42769230774</v>
      </c>
      <c r="L12" s="10">
        <f t="shared" si="4"/>
        <v>180608.72597025323</v>
      </c>
      <c r="M12" s="10">
        <f>'D) Ecrêtage'!M11</f>
        <v>89616.305299145315</v>
      </c>
      <c r="N12" s="10">
        <f t="shared" si="2"/>
        <v>111434.24027811005</v>
      </c>
      <c r="O12" s="58">
        <f t="shared" si="5"/>
        <v>268479.66797041777</v>
      </c>
    </row>
    <row r="13" spans="1:15" x14ac:dyDescent="0.25">
      <c r="A13" s="320">
        <f>'A) Base RI'!A14</f>
        <v>5408</v>
      </c>
      <c r="B13" s="226" t="str">
        <f>'A) Base RI'!B14</f>
        <v>Noville</v>
      </c>
      <c r="C13" s="242">
        <v>0</v>
      </c>
      <c r="D13" s="221">
        <f>'B) D RI'!AR14</f>
        <v>1113</v>
      </c>
      <c r="E13" s="222">
        <f>'B) D RI'!S14</f>
        <v>78.5</v>
      </c>
      <c r="F13" s="10">
        <f>'B) D RI'!R14</f>
        <v>3042950.9666666668</v>
      </c>
      <c r="G13" s="10">
        <f>'B) D RI'!U14</f>
        <v>38763.706581740975</v>
      </c>
      <c r="H13" s="42">
        <f>'B) D RI'!T14</f>
        <v>2839010.15</v>
      </c>
      <c r="I13" s="10">
        <f t="shared" si="3"/>
        <v>72331.468789808918</v>
      </c>
      <c r="J13" s="32">
        <f t="shared" si="0"/>
        <v>95407.228491096816</v>
      </c>
      <c r="K13" s="10">
        <f t="shared" si="1"/>
        <v>72331.468789808918</v>
      </c>
      <c r="L13" s="10">
        <f t="shared" si="4"/>
        <v>23075.759701287898</v>
      </c>
      <c r="M13" s="10">
        <f>'D) Ecrêtage'!M12</f>
        <v>38763.706581740975</v>
      </c>
      <c r="N13" s="10">
        <f t="shared" si="2"/>
        <v>48201.096651783933</v>
      </c>
      <c r="O13" s="58">
        <f t="shared" si="5"/>
        <v>120532.56544159286</v>
      </c>
    </row>
    <row r="14" spans="1:15" x14ac:dyDescent="0.25">
      <c r="A14" s="320">
        <f>'A) Base RI'!A15</f>
        <v>5409</v>
      </c>
      <c r="B14" s="226" t="str">
        <f>'A) Base RI'!B15</f>
        <v>Ollon</v>
      </c>
      <c r="C14" s="242">
        <v>1</v>
      </c>
      <c r="D14" s="221">
        <f>'B) D RI'!AR15</f>
        <v>7461</v>
      </c>
      <c r="E14" s="222">
        <f>'B) D RI'!S15</f>
        <v>68</v>
      </c>
      <c r="F14" s="10">
        <f>'B) D RI'!R15</f>
        <v>25095755.863076929</v>
      </c>
      <c r="G14" s="10">
        <f>'B) D RI'!U15</f>
        <v>369055.23328054306</v>
      </c>
      <c r="H14" s="42">
        <f>'B) D RI'!T15</f>
        <v>21822982.640000004</v>
      </c>
      <c r="I14" s="10">
        <f t="shared" si="3"/>
        <v>641852.43058823538</v>
      </c>
      <c r="J14" s="32">
        <f t="shared" si="0"/>
        <v>639562.74193357897</v>
      </c>
      <c r="K14" s="10">
        <f t="shared" si="1"/>
        <v>0</v>
      </c>
      <c r="L14" s="10">
        <f t="shared" si="4"/>
        <v>639562.74193357897</v>
      </c>
      <c r="M14" s="10">
        <f>'D) Ecrêtage'!M13</f>
        <v>369055.23328054306</v>
      </c>
      <c r="N14" s="10">
        <f t="shared" si="2"/>
        <v>458905.21154603118</v>
      </c>
      <c r="O14" s="58">
        <f t="shared" si="5"/>
        <v>458905.21154603118</v>
      </c>
    </row>
    <row r="15" spans="1:15" x14ac:dyDescent="0.25">
      <c r="A15" s="320">
        <f>'A) Base RI'!A16</f>
        <v>5410</v>
      </c>
      <c r="B15" s="226" t="str">
        <f>'A) Base RI'!B16</f>
        <v>Ormont-Dessous</v>
      </c>
      <c r="C15" s="242">
        <v>0</v>
      </c>
      <c r="D15" s="221">
        <f>'B) D RI'!AR16</f>
        <v>1121</v>
      </c>
      <c r="E15" s="222">
        <f>'B) D RI'!S16</f>
        <v>78.5</v>
      </c>
      <c r="F15" s="10">
        <f>'B) D RI'!R16</f>
        <v>3414055.24</v>
      </c>
      <c r="G15" s="10">
        <f>'B) D RI'!U16</f>
        <v>43491.149554140131</v>
      </c>
      <c r="H15" s="42">
        <f>'B) D RI'!T16</f>
        <v>3036349.39</v>
      </c>
      <c r="I15" s="10">
        <f t="shared" si="3"/>
        <v>77359.220127388544</v>
      </c>
      <c r="J15" s="32">
        <f t="shared" si="0"/>
        <v>96092.99473362042</v>
      </c>
      <c r="K15" s="10">
        <f t="shared" si="1"/>
        <v>77359.220127388544</v>
      </c>
      <c r="L15" s="10">
        <f t="shared" si="4"/>
        <v>18733.774606231877</v>
      </c>
      <c r="M15" s="10">
        <f>'D) Ecrêtage'!M14</f>
        <v>43491.149554140131</v>
      </c>
      <c r="N15" s="10">
        <f t="shared" si="2"/>
        <v>54079.480215231451</v>
      </c>
      <c r="O15" s="58">
        <f t="shared" si="5"/>
        <v>131438.70034262</v>
      </c>
    </row>
    <row r="16" spans="1:15" s="220" customFormat="1" x14ac:dyDescent="0.25">
      <c r="A16" s="320">
        <f>'A) Base RI'!A17</f>
        <v>5411</v>
      </c>
      <c r="B16" s="226" t="str">
        <f>'A) Base RI'!B17</f>
        <v>Ormont-Dessus</v>
      </c>
      <c r="C16" s="242">
        <v>0</v>
      </c>
      <c r="D16" s="221">
        <f>'B) D RI'!AR17</f>
        <v>1446</v>
      </c>
      <c r="E16" s="222">
        <f>'B) D RI'!S17</f>
        <v>76</v>
      </c>
      <c r="F16" s="10">
        <f>'B) D RI'!R17</f>
        <v>5541334.5899999989</v>
      </c>
      <c r="G16" s="10">
        <f>'B) D RI'!U17</f>
        <v>72912.297236842089</v>
      </c>
      <c r="H16" s="42">
        <f>'B) D RI'!T17</f>
        <v>4732410.3399999989</v>
      </c>
      <c r="I16" s="10">
        <f t="shared" si="3"/>
        <v>124537.11421052628</v>
      </c>
      <c r="J16" s="32">
        <f t="shared" si="0"/>
        <v>123952.24833614196</v>
      </c>
      <c r="K16" s="10">
        <f t="shared" si="1"/>
        <v>123952.24833614196</v>
      </c>
      <c r="L16" s="10">
        <f t="shared" si="4"/>
        <v>0</v>
      </c>
      <c r="M16" s="10">
        <f>'D) Ecrêtage'!M15</f>
        <v>72912.297236842089</v>
      </c>
      <c r="N16" s="10">
        <f t="shared" si="2"/>
        <v>90663.483864880225</v>
      </c>
      <c r="O16" s="58">
        <f t="shared" si="5"/>
        <v>214615.73220102218</v>
      </c>
    </row>
    <row r="17" spans="1:15" s="220" customFormat="1" x14ac:dyDescent="0.25">
      <c r="A17" s="320">
        <f>'A) Base RI'!A18</f>
        <v>5412</v>
      </c>
      <c r="B17" s="226" t="str">
        <f>'A) Base RI'!B18</f>
        <v>Rennaz</v>
      </c>
      <c r="C17" s="242">
        <v>0</v>
      </c>
      <c r="D17" s="221">
        <f>'B) D RI'!AR18</f>
        <v>826</v>
      </c>
      <c r="E17" s="222">
        <f>'B) D RI'!S18</f>
        <v>67.5</v>
      </c>
      <c r="F17" s="10">
        <f>'B) D RI'!R18</f>
        <v>1896193.0999999999</v>
      </c>
      <c r="G17" s="10">
        <f>'B) D RI'!U18</f>
        <v>28091.749629629627</v>
      </c>
      <c r="H17" s="42">
        <f>'B) D RI'!T18</f>
        <v>1629879.5</v>
      </c>
      <c r="I17" s="10">
        <f t="shared" si="3"/>
        <v>48292.725925925923</v>
      </c>
      <c r="J17" s="32">
        <f t="shared" si="0"/>
        <v>70805.364540562412</v>
      </c>
      <c r="K17" s="10">
        <f t="shared" si="1"/>
        <v>48292.725925925923</v>
      </c>
      <c r="L17" s="10">
        <f t="shared" si="4"/>
        <v>22512.638614636489</v>
      </c>
      <c r="M17" s="10">
        <f>'D) Ecrêtage'!M16</f>
        <v>28091.749629629627</v>
      </c>
      <c r="N17" s="10">
        <f t="shared" si="2"/>
        <v>34930.95109881206</v>
      </c>
      <c r="O17" s="58">
        <f t="shared" si="5"/>
        <v>83223.67702473799</v>
      </c>
    </row>
    <row r="18" spans="1:15" s="220" customFormat="1" x14ac:dyDescent="0.25">
      <c r="A18" s="320">
        <f>'A) Base RI'!A19</f>
        <v>5413</v>
      </c>
      <c r="B18" s="226" t="str">
        <f>'A) Base RI'!B19</f>
        <v>Roche</v>
      </c>
      <c r="C18" s="242">
        <v>0</v>
      </c>
      <c r="D18" s="221">
        <f>'B) D RI'!AR19</f>
        <v>1775</v>
      </c>
      <c r="E18" s="222">
        <f>'B) D RI'!S19</f>
        <v>68</v>
      </c>
      <c r="F18" s="10">
        <f>'B) D RI'!R19</f>
        <v>2690096.15</v>
      </c>
      <c r="G18" s="10">
        <f>'B) D RI'!U19</f>
        <v>39560.237499999996</v>
      </c>
      <c r="H18" s="42">
        <f>'B) D RI'!T19</f>
        <v>2411466.8000000003</v>
      </c>
      <c r="I18" s="10">
        <f t="shared" si="3"/>
        <v>70925.49411764706</v>
      </c>
      <c r="J18" s="32">
        <f t="shared" si="0"/>
        <v>152154.38505992529</v>
      </c>
      <c r="K18" s="10">
        <f t="shared" si="1"/>
        <v>70925.49411764706</v>
      </c>
      <c r="L18" s="10">
        <f t="shared" si="4"/>
        <v>81228.890942278231</v>
      </c>
      <c r="M18" s="10">
        <f>'D) Ecrêtage'!M17</f>
        <v>39560.237499999996</v>
      </c>
      <c r="N18" s="10">
        <f t="shared" si="2"/>
        <v>49191.550536687246</v>
      </c>
      <c r="O18" s="58">
        <f t="shared" si="5"/>
        <v>120117.04465433431</v>
      </c>
    </row>
    <row r="19" spans="1:15" s="220" customFormat="1" x14ac:dyDescent="0.25">
      <c r="A19" s="320">
        <f>'A) Base RI'!A20</f>
        <v>5414</v>
      </c>
      <c r="B19" s="226" t="str">
        <f>'A) Base RI'!B20</f>
        <v>Villeneuve</v>
      </c>
      <c r="C19" s="242">
        <v>0</v>
      </c>
      <c r="D19" s="221">
        <f>'B) D RI'!AR20</f>
        <v>5771</v>
      </c>
      <c r="E19" s="222">
        <f>'B) D RI'!S20</f>
        <v>69</v>
      </c>
      <c r="F19" s="10">
        <f>'B) D RI'!R20</f>
        <v>11429235.759999998</v>
      </c>
      <c r="G19" s="10">
        <f>'B) D RI'!U20</f>
        <v>165641.09797101447</v>
      </c>
      <c r="H19" s="42">
        <f>'B) D RI'!T20</f>
        <v>10078143.709999999</v>
      </c>
      <c r="I19" s="10">
        <f t="shared" si="3"/>
        <v>292120.10753623187</v>
      </c>
      <c r="J19" s="32">
        <f t="shared" si="0"/>
        <v>494694.62320046697</v>
      </c>
      <c r="K19" s="10">
        <f t="shared" si="1"/>
        <v>292120.10753623187</v>
      </c>
      <c r="L19" s="10">
        <f t="shared" si="4"/>
        <v>202574.51566423511</v>
      </c>
      <c r="M19" s="10">
        <f>'D) Ecrêtage'!M18</f>
        <v>165641.09797101447</v>
      </c>
      <c r="N19" s="10">
        <f t="shared" si="2"/>
        <v>205967.98595543118</v>
      </c>
      <c r="O19" s="58">
        <f t="shared" si="5"/>
        <v>498088.09349166305</v>
      </c>
    </row>
    <row r="20" spans="1:15" s="220" customFormat="1" x14ac:dyDescent="0.25">
      <c r="A20" s="320">
        <f>'A) Base RI'!A21</f>
        <v>5415</v>
      </c>
      <c r="B20" s="226" t="str">
        <f>'A) Base RI'!B21</f>
        <v>Yvorne</v>
      </c>
      <c r="C20" s="242">
        <v>0</v>
      </c>
      <c r="D20" s="221">
        <f>'B) D RI'!AR21</f>
        <v>1066</v>
      </c>
      <c r="E20" s="222">
        <f>'B) D RI'!S21</f>
        <v>71.5</v>
      </c>
      <c r="F20" s="10">
        <f>'B) D RI'!R21</f>
        <v>2473238.81</v>
      </c>
      <c r="G20" s="10">
        <f>'B) D RI'!U21</f>
        <v>34590.752587412586</v>
      </c>
      <c r="H20" s="42">
        <f>'B) D RI'!T21</f>
        <v>2258386.86</v>
      </c>
      <c r="I20" s="10">
        <f t="shared" si="3"/>
        <v>63171.660419580418</v>
      </c>
      <c r="J20" s="32">
        <f t="shared" si="0"/>
        <v>91378.351816270617</v>
      </c>
      <c r="K20" s="10">
        <f t="shared" si="1"/>
        <v>63171.660419580418</v>
      </c>
      <c r="L20" s="10">
        <f t="shared" si="4"/>
        <v>28206.691396690199</v>
      </c>
      <c r="M20" s="10">
        <f>'D) Ecrêtage'!M19</f>
        <v>34590.752587412586</v>
      </c>
      <c r="N20" s="10">
        <f t="shared" si="2"/>
        <v>43012.197639252074</v>
      </c>
      <c r="O20" s="58">
        <f t="shared" si="5"/>
        <v>106183.8580588325</v>
      </c>
    </row>
    <row r="21" spans="1:15" s="220" customFormat="1" x14ac:dyDescent="0.25">
      <c r="A21" s="320">
        <f>'A) Base RI'!A22</f>
        <v>5421</v>
      </c>
      <c r="B21" s="226" t="str">
        <f>'A) Base RI'!B22</f>
        <v>Apples</v>
      </c>
      <c r="C21" s="242">
        <v>0</v>
      </c>
      <c r="D21" s="221">
        <f>'B) D RI'!AR22</f>
        <v>1469</v>
      </c>
      <c r="E21" s="222">
        <f>'B) D RI'!S22</f>
        <v>76</v>
      </c>
      <c r="F21" s="10">
        <f>'B) D RI'!R22</f>
        <v>5140025.580000001</v>
      </c>
      <c r="G21" s="10">
        <f>'B) D RI'!U22</f>
        <v>67631.915526315803</v>
      </c>
      <c r="H21" s="42">
        <f>'B) D RI'!T22</f>
        <v>4837842.080000001</v>
      </c>
      <c r="I21" s="10">
        <f t="shared" si="3"/>
        <v>127311.63368421055</v>
      </c>
      <c r="J21" s="32">
        <f t="shared" si="0"/>
        <v>125923.82628339733</v>
      </c>
      <c r="K21" s="10">
        <f t="shared" si="1"/>
        <v>125923.82628339733</v>
      </c>
      <c r="L21" s="10">
        <f t="shared" si="4"/>
        <v>0</v>
      </c>
      <c r="M21" s="10">
        <f>'D) Ecrêtage'!M20</f>
        <v>67631.915526315803</v>
      </c>
      <c r="N21" s="10">
        <f t="shared" si="2"/>
        <v>84097.543411000166</v>
      </c>
      <c r="O21" s="58">
        <f t="shared" si="5"/>
        <v>210021.36969439749</v>
      </c>
    </row>
    <row r="22" spans="1:15" s="220" customFormat="1" x14ac:dyDescent="0.25">
      <c r="A22" s="320">
        <f>'A) Base RI'!A23</f>
        <v>5422</v>
      </c>
      <c r="B22" s="226" t="str">
        <f>'A) Base RI'!B23</f>
        <v>Aubonne</v>
      </c>
      <c r="C22" s="242">
        <v>0</v>
      </c>
      <c r="D22" s="221">
        <f>'B) D RI'!AR23</f>
        <v>3242</v>
      </c>
      <c r="E22" s="222">
        <f>'B) D RI'!S23</f>
        <v>68</v>
      </c>
      <c r="F22" s="10">
        <f>'B) D RI'!R23</f>
        <v>16232251.66</v>
      </c>
      <c r="G22" s="10">
        <f>'B) D RI'!U23</f>
        <v>238709.58323529412</v>
      </c>
      <c r="H22" s="42">
        <f>'B) D RI'!T23</f>
        <v>15102397.200000001</v>
      </c>
      <c r="I22" s="10">
        <f t="shared" si="3"/>
        <v>444188.15294117649</v>
      </c>
      <c r="J22" s="32">
        <f t="shared" si="0"/>
        <v>277906.76978269173</v>
      </c>
      <c r="K22" s="10">
        <f t="shared" si="1"/>
        <v>277906.76978269173</v>
      </c>
      <c r="L22" s="10">
        <f t="shared" si="4"/>
        <v>0</v>
      </c>
      <c r="M22" s="10">
        <f>'D) Ecrêtage'!M21</f>
        <v>227451.77123229718</v>
      </c>
      <c r="N22" s="10">
        <f t="shared" si="2"/>
        <v>282827.05075348885</v>
      </c>
      <c r="O22" s="58">
        <f t="shared" si="5"/>
        <v>560733.82053618063</v>
      </c>
    </row>
    <row r="23" spans="1:15" s="220" customFormat="1" x14ac:dyDescent="0.25">
      <c r="A23" s="320">
        <f>'A) Base RI'!A24</f>
        <v>5423</v>
      </c>
      <c r="B23" s="226" t="str">
        <f>'A) Base RI'!B24</f>
        <v>Ballens</v>
      </c>
      <c r="C23" s="242">
        <v>0</v>
      </c>
      <c r="D23" s="221">
        <f>'B) D RI'!AR24</f>
        <v>536</v>
      </c>
      <c r="E23" s="222">
        <f>'B) D RI'!S24</f>
        <v>73</v>
      </c>
      <c r="F23" s="10">
        <f>'B) D RI'!R24</f>
        <v>1008970.67</v>
      </c>
      <c r="G23" s="10">
        <f>'B) D RI'!U24</f>
        <v>13821.516027397261</v>
      </c>
      <c r="H23" s="42">
        <f>'B) D RI'!T24</f>
        <v>928550.62</v>
      </c>
      <c r="I23" s="10">
        <f t="shared" si="3"/>
        <v>25439.74301369863</v>
      </c>
      <c r="J23" s="32">
        <f t="shared" si="0"/>
        <v>45946.338249081666</v>
      </c>
      <c r="K23" s="10">
        <f t="shared" si="1"/>
        <v>25439.74301369863</v>
      </c>
      <c r="L23" s="10">
        <f t="shared" si="4"/>
        <v>20506.595235383036</v>
      </c>
      <c r="M23" s="10">
        <f>'D) Ecrêtage'!M22</f>
        <v>13821.516027397261</v>
      </c>
      <c r="N23" s="10">
        <f t="shared" si="2"/>
        <v>17186.494498556665</v>
      </c>
      <c r="O23" s="58">
        <f t="shared" si="5"/>
        <v>42626.237512255291</v>
      </c>
    </row>
    <row r="24" spans="1:15" s="220" customFormat="1" x14ac:dyDescent="0.25">
      <c r="A24" s="320">
        <f>'A) Base RI'!A25</f>
        <v>5424</v>
      </c>
      <c r="B24" s="226" t="str">
        <f>'A) Base RI'!B25</f>
        <v>Berolle</v>
      </c>
      <c r="C24" s="242">
        <v>0</v>
      </c>
      <c r="D24" s="221">
        <f>'B) D RI'!AR25</f>
        <v>307</v>
      </c>
      <c r="E24" s="222">
        <f>'B) D RI'!S25</f>
        <v>77</v>
      </c>
      <c r="F24" s="10">
        <f>'B) D RI'!R25</f>
        <v>715917.8400000002</v>
      </c>
      <c r="G24" s="10">
        <f>'B) D RI'!U25</f>
        <v>9297.6342857142881</v>
      </c>
      <c r="H24" s="42">
        <f>'B) D RI'!T25</f>
        <v>665810.8400000002</v>
      </c>
      <c r="I24" s="10">
        <f t="shared" si="3"/>
        <v>17293.788051948057</v>
      </c>
      <c r="J24" s="32">
        <f t="shared" si="0"/>
        <v>26316.279556843416</v>
      </c>
      <c r="K24" s="10">
        <f t="shared" si="1"/>
        <v>17293.788051948057</v>
      </c>
      <c r="L24" s="10">
        <f t="shared" si="4"/>
        <v>9022.491504895359</v>
      </c>
      <c r="M24" s="10">
        <f>'D) Ecrêtage'!M23</f>
        <v>9297.6342857142881</v>
      </c>
      <c r="N24" s="10">
        <f t="shared" si="2"/>
        <v>11561.231067870875</v>
      </c>
      <c r="O24" s="58">
        <f t="shared" si="5"/>
        <v>28855.019119818931</v>
      </c>
    </row>
    <row r="25" spans="1:15" s="220" customFormat="1" x14ac:dyDescent="0.25">
      <c r="A25" s="320">
        <f>'A) Base RI'!A26</f>
        <v>5425</v>
      </c>
      <c r="B25" s="226" t="str">
        <f>'A) Base RI'!B26</f>
        <v>Bière</v>
      </c>
      <c r="C25" s="242">
        <v>0</v>
      </c>
      <c r="D25" s="221">
        <f>'B) D RI'!AR26</f>
        <v>1595</v>
      </c>
      <c r="E25" s="222">
        <f>'B) D RI'!S26</f>
        <v>70</v>
      </c>
      <c r="F25" s="10">
        <f>'B) D RI'!R26</f>
        <v>2759786.9286206895</v>
      </c>
      <c r="G25" s="10">
        <f>'B) D RI'!U26</f>
        <v>39425.527551724139</v>
      </c>
      <c r="H25" s="42">
        <f>'B) D RI'!T26</f>
        <v>2546553.77</v>
      </c>
      <c r="I25" s="10">
        <f t="shared" si="3"/>
        <v>72758.679142857145</v>
      </c>
      <c r="J25" s="32">
        <f t="shared" si="0"/>
        <v>136724.64460314414</v>
      </c>
      <c r="K25" s="10">
        <f t="shared" si="1"/>
        <v>72758.679142857145</v>
      </c>
      <c r="L25" s="10">
        <f t="shared" si="4"/>
        <v>63965.965460287</v>
      </c>
      <c r="M25" s="10">
        <f>'D) Ecrêtage'!M24</f>
        <v>39425.527551724139</v>
      </c>
      <c r="N25" s="10">
        <f t="shared" si="2"/>
        <v>49024.04418062944</v>
      </c>
      <c r="O25" s="58">
        <f t="shared" si="5"/>
        <v>121782.72332348659</v>
      </c>
    </row>
    <row r="26" spans="1:15" s="220" customFormat="1" x14ac:dyDescent="0.25">
      <c r="A26" s="320">
        <f>'A) Base RI'!A27</f>
        <v>5426</v>
      </c>
      <c r="B26" s="226" t="str">
        <f>'A) Base RI'!B27</f>
        <v>Bougy-Villars</v>
      </c>
      <c r="C26" s="242">
        <v>0</v>
      </c>
      <c r="D26" s="221">
        <f>'B) D RI'!AR27</f>
        <v>490</v>
      </c>
      <c r="E26" s="222">
        <f>'B) D RI'!S27</f>
        <v>66</v>
      </c>
      <c r="F26" s="10">
        <f>'B) D RI'!R27</f>
        <v>3350809.3416666663</v>
      </c>
      <c r="G26" s="10">
        <f>'B) D RI'!U27</f>
        <v>50769.838510101006</v>
      </c>
      <c r="H26" s="42">
        <f>'B) D RI'!T27</f>
        <v>3100938.25</v>
      </c>
      <c r="I26" s="10">
        <f t="shared" si="3"/>
        <v>93967.82575757576</v>
      </c>
      <c r="J26" s="32">
        <f t="shared" si="0"/>
        <v>42003.182354570927</v>
      </c>
      <c r="K26" s="10">
        <f t="shared" si="1"/>
        <v>42003.182354570927</v>
      </c>
      <c r="L26" s="10">
        <f t="shared" si="4"/>
        <v>0</v>
      </c>
      <c r="M26" s="10">
        <f>'D) Ecrêtage'!M25</f>
        <v>45417.783497595345</v>
      </c>
      <c r="N26" s="10">
        <f t="shared" si="2"/>
        <v>56475.171368379211</v>
      </c>
      <c r="O26" s="58">
        <f t="shared" si="5"/>
        <v>98478.353722950138</v>
      </c>
    </row>
    <row r="27" spans="1:15" s="220" customFormat="1" x14ac:dyDescent="0.25">
      <c r="A27" s="320">
        <f>'A) Base RI'!A28</f>
        <v>5427</v>
      </c>
      <c r="B27" s="226" t="str">
        <f>'A) Base RI'!B28</f>
        <v>Féchy</v>
      </c>
      <c r="C27" s="242">
        <v>0</v>
      </c>
      <c r="D27" s="221">
        <f>'B) D RI'!AR28</f>
        <v>860</v>
      </c>
      <c r="E27" s="222">
        <f>'B) D RI'!S28</f>
        <v>64</v>
      </c>
      <c r="F27" s="10">
        <f>'B) D RI'!R28</f>
        <v>4673613.2869230779</v>
      </c>
      <c r="G27" s="10">
        <f>'B) D RI'!U28</f>
        <v>73025.207608173092</v>
      </c>
      <c r="H27" s="42">
        <f>'B) D RI'!T28</f>
        <v>4325081.5100000007</v>
      </c>
      <c r="I27" s="10">
        <f t="shared" si="3"/>
        <v>135158.79718750002</v>
      </c>
      <c r="J27" s="32">
        <f t="shared" si="0"/>
        <v>73719.871071287751</v>
      </c>
      <c r="K27" s="10">
        <f t="shared" si="1"/>
        <v>73719.871071287751</v>
      </c>
      <c r="L27" s="10">
        <f t="shared" si="4"/>
        <v>0</v>
      </c>
      <c r="M27" s="10">
        <f>'D) Ecrêtage'!M26</f>
        <v>67807.151141872484</v>
      </c>
      <c r="N27" s="10">
        <f t="shared" si="2"/>
        <v>84315.441790363635</v>
      </c>
      <c r="O27" s="58">
        <f t="shared" si="5"/>
        <v>158035.31286165139</v>
      </c>
    </row>
    <row r="28" spans="1:15" s="220" customFormat="1" x14ac:dyDescent="0.25">
      <c r="A28" s="320">
        <f>'A) Base RI'!A29</f>
        <v>5428</v>
      </c>
      <c r="B28" s="226" t="str">
        <f>'A) Base RI'!B29</f>
        <v>Gimel</v>
      </c>
      <c r="C28" s="242">
        <v>0</v>
      </c>
      <c r="D28" s="221">
        <f>'B) D RI'!AR29</f>
        <v>2186</v>
      </c>
      <c r="E28" s="222">
        <f>'B) D RI'!S29</f>
        <v>71.5</v>
      </c>
      <c r="F28" s="10">
        <f>'B) D RI'!R29</f>
        <v>4276940.7800000012</v>
      </c>
      <c r="G28" s="10">
        <f>'B) D RI'!U29</f>
        <v>59817.35356643358</v>
      </c>
      <c r="H28" s="42">
        <f>'B) D RI'!T29</f>
        <v>3929583.0800000005</v>
      </c>
      <c r="I28" s="10">
        <f t="shared" si="3"/>
        <v>109918.40783216785</v>
      </c>
      <c r="J28" s="32">
        <f t="shared" si="0"/>
        <v>187385.62576957559</v>
      </c>
      <c r="K28" s="10">
        <f t="shared" si="1"/>
        <v>109918.40783216785</v>
      </c>
      <c r="L28" s="10">
        <f t="shared" si="4"/>
        <v>77467.217937407739</v>
      </c>
      <c r="M28" s="10">
        <f>'D) Ecrêtage'!M27</f>
        <v>59817.35356643358</v>
      </c>
      <c r="N28" s="10">
        <f t="shared" si="2"/>
        <v>74380.452618215611</v>
      </c>
      <c r="O28" s="58">
        <f t="shared" si="5"/>
        <v>184298.86045038345</v>
      </c>
    </row>
    <row r="29" spans="1:15" s="220" customFormat="1" x14ac:dyDescent="0.25">
      <c r="A29" s="320">
        <f>'A) Base RI'!A30</f>
        <v>5429</v>
      </c>
      <c r="B29" s="226" t="str">
        <f>'A) Base RI'!B30</f>
        <v>Longirod</v>
      </c>
      <c r="C29" s="242">
        <v>0</v>
      </c>
      <c r="D29" s="221">
        <f>'B) D RI'!AR30</f>
        <v>478</v>
      </c>
      <c r="E29" s="222">
        <f>'B) D RI'!S30</f>
        <v>81</v>
      </c>
      <c r="F29" s="10">
        <f>'B) D RI'!R30</f>
        <v>1117263.8900000001</v>
      </c>
      <c r="G29" s="10">
        <f>'B) D RI'!U30</f>
        <v>13793.381358024693</v>
      </c>
      <c r="H29" s="42">
        <f>'B) D RI'!T30</f>
        <v>1019710.6900000001</v>
      </c>
      <c r="I29" s="10">
        <f t="shared" si="3"/>
        <v>25178.041728395063</v>
      </c>
      <c r="J29" s="32">
        <f t="shared" si="0"/>
        <v>40974.532990785512</v>
      </c>
      <c r="K29" s="10">
        <f t="shared" si="1"/>
        <v>25178.041728395063</v>
      </c>
      <c r="L29" s="10">
        <f t="shared" si="4"/>
        <v>15796.491262390449</v>
      </c>
      <c r="M29" s="10">
        <f>'D) Ecrêtage'!M28</f>
        <v>13793.381358024693</v>
      </c>
      <c r="N29" s="10">
        <f t="shared" si="2"/>
        <v>17151.510178498585</v>
      </c>
      <c r="O29" s="58">
        <f t="shared" si="5"/>
        <v>42329.551906893648</v>
      </c>
    </row>
    <row r="30" spans="1:15" s="220" customFormat="1" x14ac:dyDescent="0.25">
      <c r="A30" s="320">
        <f>'A) Base RI'!A31</f>
        <v>5430</v>
      </c>
      <c r="B30" s="226" t="str">
        <f>'A) Base RI'!B31</f>
        <v>Marchissy</v>
      </c>
      <c r="C30" s="242">
        <v>0</v>
      </c>
      <c r="D30" s="221">
        <f>'B) D RI'!AR31</f>
        <v>463</v>
      </c>
      <c r="E30" s="222">
        <f>'B) D RI'!S31</f>
        <v>79</v>
      </c>
      <c r="F30" s="10">
        <f>'B) D RI'!R31</f>
        <v>1075699.71</v>
      </c>
      <c r="G30" s="10">
        <f>'B) D RI'!U31</f>
        <v>13616.452025316456</v>
      </c>
      <c r="H30" s="42">
        <f>'B) D RI'!T31</f>
        <v>989816.90999999992</v>
      </c>
      <c r="I30" s="10">
        <f t="shared" si="3"/>
        <v>25058.655949367087</v>
      </c>
      <c r="J30" s="32">
        <f t="shared" si="0"/>
        <v>39688.721286053755</v>
      </c>
      <c r="K30" s="10">
        <f t="shared" si="1"/>
        <v>25058.655949367087</v>
      </c>
      <c r="L30" s="10">
        <f t="shared" si="4"/>
        <v>14630.065336686668</v>
      </c>
      <c r="M30" s="10">
        <f>'D) Ecrêtage'!M29</f>
        <v>13616.452025316456</v>
      </c>
      <c r="N30" s="10">
        <f t="shared" si="2"/>
        <v>16931.505730564226</v>
      </c>
      <c r="O30" s="58">
        <f t="shared" si="5"/>
        <v>41990.161679931312</v>
      </c>
    </row>
    <row r="31" spans="1:15" s="220" customFormat="1" x14ac:dyDescent="0.25">
      <c r="A31" s="320">
        <f>'A) Base RI'!A32</f>
        <v>5431</v>
      </c>
      <c r="B31" s="226" t="str">
        <f>'A) Base RI'!B32</f>
        <v>Mollens</v>
      </c>
      <c r="C31" s="242">
        <v>0</v>
      </c>
      <c r="D31" s="221">
        <f>'B) D RI'!AR32</f>
        <v>283</v>
      </c>
      <c r="E31" s="222">
        <f>'B) D RI'!S32</f>
        <v>74</v>
      </c>
      <c r="F31" s="10">
        <f>'B) D RI'!R32</f>
        <v>638508.72000000009</v>
      </c>
      <c r="G31" s="10">
        <f>'B) D RI'!U32</f>
        <v>8628.4962162162174</v>
      </c>
      <c r="H31" s="42">
        <f>'B) D RI'!T32</f>
        <v>589995.07000000007</v>
      </c>
      <c r="I31" s="10">
        <f t="shared" si="3"/>
        <v>15945.812702702704</v>
      </c>
      <c r="J31" s="32">
        <f t="shared" si="0"/>
        <v>24258.980829272594</v>
      </c>
      <c r="K31" s="10">
        <f t="shared" si="1"/>
        <v>15945.812702702704</v>
      </c>
      <c r="L31" s="10">
        <f t="shared" si="4"/>
        <v>8313.1681265698899</v>
      </c>
      <c r="M31" s="10">
        <f>'D) Ecrêtage'!M30</f>
        <v>8628.4962162162174</v>
      </c>
      <c r="N31" s="10">
        <f t="shared" si="2"/>
        <v>10729.185022602929</v>
      </c>
      <c r="O31" s="58">
        <f t="shared" si="5"/>
        <v>26674.997725305635</v>
      </c>
    </row>
    <row r="32" spans="1:15" s="220" customFormat="1" x14ac:dyDescent="0.25">
      <c r="A32" s="320">
        <f>'A) Base RI'!A33</f>
        <v>5432</v>
      </c>
      <c r="B32" s="226" t="str">
        <f>'A) Base RI'!B33</f>
        <v>Montherod</v>
      </c>
      <c r="C32" s="242">
        <v>0</v>
      </c>
      <c r="D32" s="221">
        <f>'B) D RI'!AR33</f>
        <v>536</v>
      </c>
      <c r="E32" s="222">
        <f>'B) D RI'!S33</f>
        <v>78</v>
      </c>
      <c r="F32" s="10">
        <f>'B) D RI'!R33</f>
        <v>1424496.3000000003</v>
      </c>
      <c r="G32" s="10">
        <f>'B) D RI'!U33</f>
        <v>18262.77307692308</v>
      </c>
      <c r="H32" s="42">
        <f>'B) D RI'!T33</f>
        <v>1324935.9000000001</v>
      </c>
      <c r="I32" s="10">
        <f t="shared" si="3"/>
        <v>33972.715384615389</v>
      </c>
      <c r="J32" s="32">
        <f t="shared" si="0"/>
        <v>45946.338249081666</v>
      </c>
      <c r="K32" s="10">
        <f t="shared" si="1"/>
        <v>33972.715384615389</v>
      </c>
      <c r="L32" s="10">
        <f t="shared" si="4"/>
        <v>11973.622864466277</v>
      </c>
      <c r="M32" s="10">
        <f>'D) Ecrêtage'!M31</f>
        <v>18262.77307692308</v>
      </c>
      <c r="N32" s="10">
        <f t="shared" si="2"/>
        <v>22709.017476285702</v>
      </c>
      <c r="O32" s="58">
        <f t="shared" si="5"/>
        <v>56681.732860901087</v>
      </c>
    </row>
    <row r="33" spans="1:15" s="220" customFormat="1" x14ac:dyDescent="0.25">
      <c r="A33" s="320">
        <f>'A) Base RI'!A34</f>
        <v>5434</v>
      </c>
      <c r="B33" s="226" t="str">
        <f>'A) Base RI'!B34</f>
        <v>Saint-George</v>
      </c>
      <c r="C33" s="242">
        <v>0</v>
      </c>
      <c r="D33" s="221">
        <f>'B) D RI'!AR34</f>
        <v>1031</v>
      </c>
      <c r="E33" s="222">
        <f>'B) D RI'!S34</f>
        <v>71</v>
      </c>
      <c r="F33" s="10">
        <f>'B) D RI'!R34</f>
        <v>2611890.9299999997</v>
      </c>
      <c r="G33" s="10">
        <f>'B) D RI'!U34</f>
        <v>36787.196197183097</v>
      </c>
      <c r="H33" s="42">
        <f>'B) D RI'!T34</f>
        <v>2386007.4299999997</v>
      </c>
      <c r="I33" s="10">
        <f t="shared" si="3"/>
        <v>67211.476901408445</v>
      </c>
      <c r="J33" s="32">
        <f t="shared" si="0"/>
        <v>88378.124505229847</v>
      </c>
      <c r="K33" s="10">
        <f t="shared" si="1"/>
        <v>67211.476901408445</v>
      </c>
      <c r="L33" s="10">
        <f t="shared" si="4"/>
        <v>21166.647603821402</v>
      </c>
      <c r="M33" s="10">
        <f>'D) Ecrêtage'!M32</f>
        <v>36787.196197183097</v>
      </c>
      <c r="N33" s="10">
        <f t="shared" si="2"/>
        <v>45743.386167405122</v>
      </c>
      <c r="O33" s="58">
        <f t="shared" si="5"/>
        <v>112954.86306881357</v>
      </c>
    </row>
    <row r="34" spans="1:15" s="220" customFormat="1" x14ac:dyDescent="0.25">
      <c r="A34" s="320">
        <f>'A) Base RI'!A35</f>
        <v>5435</v>
      </c>
      <c r="B34" s="226" t="str">
        <f>'A) Base RI'!B35</f>
        <v>Saint-Livres</v>
      </c>
      <c r="C34" s="242">
        <v>0</v>
      </c>
      <c r="D34" s="221">
        <f>'B) D RI'!AR35</f>
        <v>690</v>
      </c>
      <c r="E34" s="222">
        <f>'B) D RI'!S35</f>
        <v>69</v>
      </c>
      <c r="F34" s="10">
        <f>'B) D RI'!R35</f>
        <v>1666023.7299999997</v>
      </c>
      <c r="G34" s="10">
        <f>'B) D RI'!U35</f>
        <v>24145.271449275358</v>
      </c>
      <c r="H34" s="42">
        <f>'B) D RI'!T35</f>
        <v>1543464.7299999997</v>
      </c>
      <c r="I34" s="10">
        <f t="shared" si="3"/>
        <v>44738.108115942021</v>
      </c>
      <c r="J34" s="32">
        <f t="shared" si="0"/>
        <v>59147.3384176611</v>
      </c>
      <c r="K34" s="10">
        <f t="shared" si="1"/>
        <v>44738.108115942021</v>
      </c>
      <c r="L34" s="10">
        <f t="shared" si="4"/>
        <v>14409.230301719079</v>
      </c>
      <c r="M34" s="10">
        <f>'D) Ecrêtage'!M33</f>
        <v>24145.271449275358</v>
      </c>
      <c r="N34" s="10">
        <f t="shared" si="2"/>
        <v>30023.66557377368</v>
      </c>
      <c r="O34" s="58">
        <f t="shared" si="5"/>
        <v>74761.773689715701</v>
      </c>
    </row>
    <row r="35" spans="1:15" s="220" customFormat="1" x14ac:dyDescent="0.25">
      <c r="A35" s="320">
        <f>'A) Base RI'!A36</f>
        <v>5436</v>
      </c>
      <c r="B35" s="226" t="str">
        <f>'A) Base RI'!B36</f>
        <v>Saint-Oyens</v>
      </c>
      <c r="C35" s="242">
        <v>0</v>
      </c>
      <c r="D35" s="221">
        <f>'B) D RI'!AR36</f>
        <v>448</v>
      </c>
      <c r="E35" s="222">
        <f>'B) D RI'!S36</f>
        <v>81</v>
      </c>
      <c r="F35" s="10">
        <f>'B) D RI'!R36</f>
        <v>1221263.3825000003</v>
      </c>
      <c r="G35" s="10">
        <f>'B) D RI'!U36</f>
        <v>15077.325709876546</v>
      </c>
      <c r="H35" s="42">
        <f>'B) D RI'!T36</f>
        <v>1153274.5700000003</v>
      </c>
      <c r="I35" s="10">
        <f t="shared" si="3"/>
        <v>28475.915308641983</v>
      </c>
      <c r="J35" s="32">
        <f t="shared" si="0"/>
        <v>38402.90958132199</v>
      </c>
      <c r="K35" s="10">
        <f t="shared" si="1"/>
        <v>28475.915308641983</v>
      </c>
      <c r="L35" s="10">
        <f t="shared" si="4"/>
        <v>9926.9942726800073</v>
      </c>
      <c r="M35" s="10">
        <f>'D) Ecrêtage'!M34</f>
        <v>15077.325709876546</v>
      </c>
      <c r="N35" s="10">
        <f t="shared" si="2"/>
        <v>18748.042895735551</v>
      </c>
      <c r="O35" s="58">
        <f t="shared" si="5"/>
        <v>47223.95820437753</v>
      </c>
    </row>
    <row r="36" spans="1:15" s="220" customFormat="1" x14ac:dyDescent="0.25">
      <c r="A36" s="320">
        <f>'A) Base RI'!A37</f>
        <v>5437</v>
      </c>
      <c r="B36" s="226" t="str">
        <f>'A) Base RI'!B37</f>
        <v>Saubraz</v>
      </c>
      <c r="C36" s="242">
        <v>0</v>
      </c>
      <c r="D36" s="221">
        <f>'B) D RI'!AR37</f>
        <v>418</v>
      </c>
      <c r="E36" s="222">
        <f>'B) D RI'!S37</f>
        <v>80</v>
      </c>
      <c r="F36" s="10">
        <f>'B) D RI'!R37</f>
        <v>913779.16999999993</v>
      </c>
      <c r="G36" s="10">
        <f>'B) D RI'!U37</f>
        <v>11422.239624999998</v>
      </c>
      <c r="H36" s="42">
        <f>'B) D RI'!T37</f>
        <v>848503.57</v>
      </c>
      <c r="I36" s="10">
        <f t="shared" si="3"/>
        <v>21212.589249999997</v>
      </c>
      <c r="J36" s="32">
        <f t="shared" si="0"/>
        <v>35831.286171858461</v>
      </c>
      <c r="K36" s="10">
        <f t="shared" si="1"/>
        <v>21212.589249999997</v>
      </c>
      <c r="L36" s="10">
        <f t="shared" si="4"/>
        <v>14618.696921858464</v>
      </c>
      <c r="M36" s="10">
        <f>'D) Ecrêtage'!M35</f>
        <v>11422.239624999998</v>
      </c>
      <c r="N36" s="10">
        <f t="shared" si="2"/>
        <v>14203.091620856398</v>
      </c>
      <c r="O36" s="58">
        <f t="shared" si="5"/>
        <v>35415.680870856391</v>
      </c>
    </row>
    <row r="37" spans="1:15" s="220" customFormat="1" x14ac:dyDescent="0.25">
      <c r="A37" s="320">
        <f>'A) Base RI'!A38</f>
        <v>5451</v>
      </c>
      <c r="B37" s="226" t="str">
        <f>'A) Base RI'!B38</f>
        <v>Avenches</v>
      </c>
      <c r="C37" s="242">
        <v>0</v>
      </c>
      <c r="D37" s="221">
        <f>'B) D RI'!AR38</f>
        <v>4282</v>
      </c>
      <c r="E37" s="222">
        <f>'B) D RI'!S38</f>
        <v>68</v>
      </c>
      <c r="F37" s="10">
        <f>'B) D RI'!R38</f>
        <v>10251525.886666667</v>
      </c>
      <c r="G37" s="10">
        <f>'B) D RI'!U38</f>
        <v>150757.73362745097</v>
      </c>
      <c r="H37" s="42">
        <f>'B) D RI'!T38</f>
        <v>9222205.9700000007</v>
      </c>
      <c r="I37" s="10">
        <f t="shared" si="3"/>
        <v>271241.35205882357</v>
      </c>
      <c r="J37" s="32">
        <f t="shared" si="0"/>
        <v>367056.38131076063</v>
      </c>
      <c r="K37" s="10">
        <f t="shared" si="1"/>
        <v>271241.35205882357</v>
      </c>
      <c r="L37" s="10">
        <f t="shared" si="4"/>
        <v>95815.029251937056</v>
      </c>
      <c r="M37" s="10">
        <f>'D) Ecrêtage'!M36</f>
        <v>150757.73362745097</v>
      </c>
      <c r="N37" s="10">
        <f t="shared" si="2"/>
        <v>187461.12615049869</v>
      </c>
      <c r="O37" s="58">
        <f t="shared" si="5"/>
        <v>458702.47820932226</v>
      </c>
    </row>
    <row r="38" spans="1:15" s="220" customFormat="1" x14ac:dyDescent="0.25">
      <c r="A38" s="320">
        <f>'A) Base RI'!A39</f>
        <v>5456</v>
      </c>
      <c r="B38" s="226" t="str">
        <f>'A) Base RI'!B39</f>
        <v>Cudrefin</v>
      </c>
      <c r="C38" s="242">
        <v>0</v>
      </c>
      <c r="D38" s="221">
        <f>'B) D RI'!AR39</f>
        <v>1633</v>
      </c>
      <c r="E38" s="222">
        <f>'B) D RI'!S39</f>
        <v>59</v>
      </c>
      <c r="F38" s="10">
        <f>'B) D RI'!R39</f>
        <v>3503240.3600000003</v>
      </c>
      <c r="G38" s="10">
        <f>'B) D RI'!U39</f>
        <v>59376.955254237291</v>
      </c>
      <c r="H38" s="42">
        <f>'B) D RI'!T39</f>
        <v>3184734.3100000005</v>
      </c>
      <c r="I38" s="10">
        <f t="shared" si="3"/>
        <v>107957.09525423731</v>
      </c>
      <c r="J38" s="32">
        <f t="shared" ref="J38:J69" si="6">+$I$315/$D$315*D38</f>
        <v>139982.03425513126</v>
      </c>
      <c r="K38" s="10">
        <f t="shared" si="1"/>
        <v>107957.09525423731</v>
      </c>
      <c r="L38" s="10">
        <f t="shared" si="4"/>
        <v>32024.939000893952</v>
      </c>
      <c r="M38" s="10">
        <f>'D) Ecrêtage'!M37</f>
        <v>59376.955254237291</v>
      </c>
      <c r="N38" s="10">
        <f t="shared" ref="N38:N69" si="7">+$N$5*M38</f>
        <v>73832.835182130322</v>
      </c>
      <c r="O38" s="58">
        <f t="shared" si="5"/>
        <v>181789.93043636763</v>
      </c>
    </row>
    <row r="39" spans="1:15" s="220" customFormat="1" x14ac:dyDescent="0.25">
      <c r="A39" s="320">
        <f>'A) Base RI'!A40</f>
        <v>5458</v>
      </c>
      <c r="B39" s="226" t="str">
        <f>'A) Base RI'!B40</f>
        <v>Faoug</v>
      </c>
      <c r="C39" s="242">
        <v>0</v>
      </c>
      <c r="D39" s="221">
        <f>'B) D RI'!AR40</f>
        <v>904</v>
      </c>
      <c r="E39" s="222">
        <f>'B) D RI'!S40</f>
        <v>64</v>
      </c>
      <c r="F39" s="10">
        <f>'B) D RI'!R40</f>
        <v>1953902.27</v>
      </c>
      <c r="G39" s="10">
        <f>'B) D RI'!U40</f>
        <v>30529.72296875</v>
      </c>
      <c r="H39" s="42">
        <f>'B) D RI'!T40</f>
        <v>1773455.97</v>
      </c>
      <c r="I39" s="10">
        <f t="shared" si="3"/>
        <v>55420.499062499999</v>
      </c>
      <c r="J39" s="32">
        <f t="shared" si="6"/>
        <v>77491.585405167585</v>
      </c>
      <c r="K39" s="10">
        <f t="shared" si="1"/>
        <v>55420.499062499999</v>
      </c>
      <c r="L39" s="10">
        <f t="shared" si="4"/>
        <v>22071.086342667586</v>
      </c>
      <c r="M39" s="10">
        <f>'D) Ecrêtage'!M38</f>
        <v>30529.72296875</v>
      </c>
      <c r="N39" s="10">
        <f t="shared" si="7"/>
        <v>37962.472047553485</v>
      </c>
      <c r="O39" s="58">
        <f t="shared" si="5"/>
        <v>93382.971110053477</v>
      </c>
    </row>
    <row r="40" spans="1:15" s="220" customFormat="1" x14ac:dyDescent="0.25">
      <c r="A40" s="320">
        <f>'A) Base RI'!A41</f>
        <v>5464</v>
      </c>
      <c r="B40" s="226" t="str">
        <f>'A) Base RI'!B41</f>
        <v>Vully-les-Lacs</v>
      </c>
      <c r="C40" s="242">
        <v>0</v>
      </c>
      <c r="D40" s="221">
        <f>'B) D RI'!AR41</f>
        <v>3163</v>
      </c>
      <c r="E40" s="222">
        <f>'B) D RI'!S41</f>
        <v>67</v>
      </c>
      <c r="F40" s="10">
        <f>'B) D RI'!R41</f>
        <v>6965520.2700000005</v>
      </c>
      <c r="G40" s="10">
        <f>'B) D RI'!U41</f>
        <v>103962.98910447762</v>
      </c>
      <c r="H40" s="42">
        <f>'B) D RI'!T41</f>
        <v>6316161.6200000001</v>
      </c>
      <c r="I40" s="10">
        <f t="shared" si="3"/>
        <v>188542.13791044775</v>
      </c>
      <c r="J40" s="32">
        <f t="shared" si="6"/>
        <v>271134.82813777111</v>
      </c>
      <c r="K40" s="10">
        <f t="shared" si="1"/>
        <v>188542.13791044775</v>
      </c>
      <c r="L40" s="10">
        <f t="shared" si="4"/>
        <v>82592.690227323357</v>
      </c>
      <c r="M40" s="10">
        <f>'D) Ecrêtage'!M39</f>
        <v>103962.98910447762</v>
      </c>
      <c r="N40" s="10">
        <f t="shared" si="7"/>
        <v>129273.75960465294</v>
      </c>
      <c r="O40" s="58">
        <f t="shared" si="5"/>
        <v>317815.89751510066</v>
      </c>
    </row>
    <row r="41" spans="1:15" s="220" customFormat="1" x14ac:dyDescent="0.25">
      <c r="A41" s="320">
        <f>'A) Base RI'!A42</f>
        <v>5471</v>
      </c>
      <c r="B41" s="226" t="str">
        <f>'A) Base RI'!B42</f>
        <v>Bettens</v>
      </c>
      <c r="C41" s="242">
        <v>0</v>
      </c>
      <c r="D41" s="221">
        <f>'B) D RI'!AR42</f>
        <v>592</v>
      </c>
      <c r="E41" s="222">
        <f>'B) D RI'!S42</f>
        <v>70</v>
      </c>
      <c r="F41" s="10">
        <f>'B) D RI'!R42</f>
        <v>1300956.087777778</v>
      </c>
      <c r="G41" s="10">
        <f>'B) D RI'!U42</f>
        <v>18585.086968253971</v>
      </c>
      <c r="H41" s="42">
        <f>'B) D RI'!T42</f>
        <v>1180064.8100000003</v>
      </c>
      <c r="I41" s="10">
        <f t="shared" si="3"/>
        <v>33716.137428571434</v>
      </c>
      <c r="J41" s="32">
        <f t="shared" si="6"/>
        <v>50746.701946746914</v>
      </c>
      <c r="K41" s="10">
        <f t="shared" si="1"/>
        <v>33716.137428571434</v>
      </c>
      <c r="L41" s="10">
        <f t="shared" si="4"/>
        <v>17030.564518175481</v>
      </c>
      <c r="M41" s="10">
        <f>'D) Ecrêtage'!M40</f>
        <v>18585.086968253971</v>
      </c>
      <c r="N41" s="10">
        <f t="shared" si="7"/>
        <v>23109.801725219491</v>
      </c>
      <c r="O41" s="58">
        <f t="shared" si="5"/>
        <v>56825.939153790925</v>
      </c>
    </row>
    <row r="42" spans="1:15" s="220" customFormat="1" x14ac:dyDescent="0.25">
      <c r="A42" s="320">
        <f>'A) Base RI'!A43</f>
        <v>5472</v>
      </c>
      <c r="B42" s="226" t="str">
        <f>'A) Base RI'!B43</f>
        <v>Bournens</v>
      </c>
      <c r="C42" s="242">
        <v>0</v>
      </c>
      <c r="D42" s="221">
        <f>'B) D RI'!AR43</f>
        <v>404</v>
      </c>
      <c r="E42" s="222">
        <f>'B) D RI'!S43</f>
        <v>76</v>
      </c>
      <c r="F42" s="10">
        <f>'B) D RI'!R43</f>
        <v>1257242.0699999998</v>
      </c>
      <c r="G42" s="10">
        <f>'B) D RI'!U43</f>
        <v>16542.658815789473</v>
      </c>
      <c r="H42" s="42">
        <f>'B) D RI'!T43</f>
        <v>1167450.92</v>
      </c>
      <c r="I42" s="10">
        <f t="shared" si="3"/>
        <v>30722.392631578947</v>
      </c>
      <c r="J42" s="32">
        <f t="shared" si="6"/>
        <v>34631.195247442149</v>
      </c>
      <c r="K42" s="10">
        <f t="shared" si="1"/>
        <v>30722.392631578947</v>
      </c>
      <c r="L42" s="10">
        <f t="shared" si="4"/>
        <v>3908.8026158632019</v>
      </c>
      <c r="M42" s="10">
        <f>'D) Ecrêtage'!M41</f>
        <v>16542.658815789473</v>
      </c>
      <c r="N42" s="10">
        <f t="shared" si="7"/>
        <v>20570.125170458916</v>
      </c>
      <c r="O42" s="58">
        <f t="shared" si="5"/>
        <v>51292.517802037866</v>
      </c>
    </row>
    <row r="43" spans="1:15" s="220" customFormat="1" x14ac:dyDescent="0.25">
      <c r="A43" s="320">
        <f>'A) Base RI'!A44</f>
        <v>5473</v>
      </c>
      <c r="B43" s="226" t="str">
        <f>'A) Base RI'!B44</f>
        <v>Boussens</v>
      </c>
      <c r="C43" s="242">
        <v>0</v>
      </c>
      <c r="D43" s="221">
        <f>'B) D RI'!AR44</f>
        <v>968</v>
      </c>
      <c r="E43" s="222">
        <f>'B) D RI'!S44</f>
        <v>69</v>
      </c>
      <c r="F43" s="10">
        <f>'B) D RI'!R44</f>
        <v>2533738.3000000007</v>
      </c>
      <c r="G43" s="10">
        <f>'B) D RI'!U44</f>
        <v>36720.844927536244</v>
      </c>
      <c r="H43" s="42">
        <f>'B) D RI'!T44</f>
        <v>2353423.0000000005</v>
      </c>
      <c r="I43" s="10">
        <f t="shared" si="3"/>
        <v>68215.15942028987</v>
      </c>
      <c r="J43" s="32">
        <f t="shared" si="6"/>
        <v>82977.715345356439</v>
      </c>
      <c r="K43" s="10">
        <f t="shared" si="1"/>
        <v>68215.15942028987</v>
      </c>
      <c r="L43" s="10">
        <f t="shared" si="4"/>
        <v>14762.555925066568</v>
      </c>
      <c r="M43" s="10">
        <f>'D) Ecrêtage'!M42</f>
        <v>36720.844927536244</v>
      </c>
      <c r="N43" s="10">
        <f t="shared" si="7"/>
        <v>45660.881055194746</v>
      </c>
      <c r="O43" s="58">
        <f t="shared" si="5"/>
        <v>113876.04047548462</v>
      </c>
    </row>
    <row r="44" spans="1:15" s="220" customFormat="1" x14ac:dyDescent="0.25">
      <c r="A44" s="320">
        <f>'A) Base RI'!A45</f>
        <v>5474</v>
      </c>
      <c r="B44" s="226" t="str">
        <f>'A) Base RI'!B45</f>
        <v>La Chaux (Cossonay)</v>
      </c>
      <c r="C44" s="242">
        <v>0</v>
      </c>
      <c r="D44" s="221">
        <f>'B) D RI'!AR45</f>
        <v>410</v>
      </c>
      <c r="E44" s="222">
        <f>'B) D RI'!S45</f>
        <v>77</v>
      </c>
      <c r="F44" s="10">
        <f>'B) D RI'!R45</f>
        <v>999875.30333333346</v>
      </c>
      <c r="G44" s="10">
        <f>'B) D RI'!U45</f>
        <v>12985.393549783552</v>
      </c>
      <c r="H44" s="42">
        <f>'B) D RI'!T45</f>
        <v>928290.22000000009</v>
      </c>
      <c r="I44" s="10">
        <f t="shared" si="3"/>
        <v>24111.434285714287</v>
      </c>
      <c r="J44" s="32">
        <f t="shared" si="6"/>
        <v>35145.519929334856</v>
      </c>
      <c r="K44" s="10">
        <f t="shared" si="1"/>
        <v>24111.434285714287</v>
      </c>
      <c r="L44" s="10">
        <f t="shared" si="4"/>
        <v>11034.085643620569</v>
      </c>
      <c r="M44" s="10">
        <f>'D) Ecrêtage'!M43</f>
        <v>12985.393549783552</v>
      </c>
      <c r="N44" s="10">
        <f t="shared" si="7"/>
        <v>16146.810115660965</v>
      </c>
      <c r="O44" s="58">
        <f t="shared" si="5"/>
        <v>40258.244401375254</v>
      </c>
    </row>
    <row r="45" spans="1:15" s="220" customFormat="1" x14ac:dyDescent="0.25">
      <c r="A45" s="320">
        <f>'A) Base RI'!A46</f>
        <v>5475</v>
      </c>
      <c r="B45" s="226" t="str">
        <f>'A) Base RI'!B46</f>
        <v>Chavannes-le-Veyron</v>
      </c>
      <c r="C45" s="242">
        <v>0</v>
      </c>
      <c r="D45" s="221">
        <f>'B) D RI'!AR46</f>
        <v>142</v>
      </c>
      <c r="E45" s="222">
        <f>'B) D RI'!S46</f>
        <v>77</v>
      </c>
      <c r="F45" s="10">
        <f>'B) D RI'!R46</f>
        <v>381642.89999999997</v>
      </c>
      <c r="G45" s="10">
        <f>'B) D RI'!U46</f>
        <v>4956.4012987012984</v>
      </c>
      <c r="H45" s="42">
        <f>'B) D RI'!T46</f>
        <v>359405.6</v>
      </c>
      <c r="I45" s="10">
        <f t="shared" si="3"/>
        <v>9335.210389610389</v>
      </c>
      <c r="J45" s="32">
        <f t="shared" si="6"/>
        <v>12172.350804794023</v>
      </c>
      <c r="K45" s="10">
        <f t="shared" si="1"/>
        <v>9335.210389610389</v>
      </c>
      <c r="L45" s="10">
        <f t="shared" si="4"/>
        <v>2837.1404151836341</v>
      </c>
      <c r="M45" s="10">
        <f>'D) Ecrêtage'!M44</f>
        <v>4956.4012987012984</v>
      </c>
      <c r="N45" s="10">
        <f t="shared" si="7"/>
        <v>6163.0839543156744</v>
      </c>
      <c r="O45" s="58">
        <f t="shared" si="5"/>
        <v>15498.294343926063</v>
      </c>
    </row>
    <row r="46" spans="1:15" s="220" customFormat="1" x14ac:dyDescent="0.25">
      <c r="A46" s="320">
        <f>'A) Base RI'!A47</f>
        <v>5476</v>
      </c>
      <c r="B46" s="226" t="str">
        <f>'A) Base RI'!B47</f>
        <v>Chevilly</v>
      </c>
      <c r="C46" s="242">
        <v>0</v>
      </c>
      <c r="D46" s="221">
        <f>'B) D RI'!AR47</f>
        <v>314</v>
      </c>
      <c r="E46" s="222">
        <f>'B) D RI'!S47</f>
        <v>74</v>
      </c>
      <c r="F46" s="10">
        <f>'B) D RI'!R47</f>
        <v>786667.96000000008</v>
      </c>
      <c r="G46" s="10">
        <f>'B) D RI'!U47</f>
        <v>10630.648108108109</v>
      </c>
      <c r="H46" s="42">
        <f>'B) D RI'!T47</f>
        <v>730265.1100000001</v>
      </c>
      <c r="I46" s="10">
        <f t="shared" si="3"/>
        <v>19736.894864864869</v>
      </c>
      <c r="J46" s="32">
        <f t="shared" si="6"/>
        <v>26916.325019051572</v>
      </c>
      <c r="K46" s="10">
        <f t="shared" si="1"/>
        <v>19736.894864864869</v>
      </c>
      <c r="L46" s="10">
        <f t="shared" si="4"/>
        <v>7179.4301541867026</v>
      </c>
      <c r="M46" s="10">
        <f>'D) Ecrêtage'!M45</f>
        <v>10630.648108108109</v>
      </c>
      <c r="N46" s="10">
        <f t="shared" si="7"/>
        <v>13218.779681182115</v>
      </c>
      <c r="O46" s="58">
        <f t="shared" si="5"/>
        <v>32955.674546046983</v>
      </c>
    </row>
    <row r="47" spans="1:15" s="220" customFormat="1" x14ac:dyDescent="0.25">
      <c r="A47" s="320">
        <f>'A) Base RI'!A48</f>
        <v>5477</v>
      </c>
      <c r="B47" s="226" t="str">
        <f>'A) Base RI'!B48</f>
        <v>Cossonay</v>
      </c>
      <c r="C47" s="242">
        <v>0</v>
      </c>
      <c r="D47" s="221">
        <f>'B) D RI'!AR48</f>
        <v>3871</v>
      </c>
      <c r="E47" s="222">
        <f>'B) D RI'!S48</f>
        <v>71</v>
      </c>
      <c r="F47" s="10">
        <f>'B) D RI'!R48</f>
        <v>9476873.7599999998</v>
      </c>
      <c r="G47" s="10">
        <f>'B) D RI'!U48</f>
        <v>133477.09521126762</v>
      </c>
      <c r="H47" s="42">
        <f>'B) D RI'!T48</f>
        <v>8838909.7599999998</v>
      </c>
      <c r="I47" s="10">
        <f t="shared" si="3"/>
        <v>248983.37352112675</v>
      </c>
      <c r="J47" s="32">
        <f t="shared" si="6"/>
        <v>331825.1406011103</v>
      </c>
      <c r="K47" s="10">
        <f t="shared" si="1"/>
        <v>248983.37352112675</v>
      </c>
      <c r="L47" s="10">
        <f t="shared" si="4"/>
        <v>82841.767079983547</v>
      </c>
      <c r="M47" s="10">
        <f>'D) Ecrêtage'!M46</f>
        <v>133477.09521126762</v>
      </c>
      <c r="N47" s="10">
        <f t="shared" si="7"/>
        <v>165973.35328371794</v>
      </c>
      <c r="O47" s="58">
        <f t="shared" si="5"/>
        <v>414956.72680484469</v>
      </c>
    </row>
    <row r="48" spans="1:15" s="220" customFormat="1" x14ac:dyDescent="0.25">
      <c r="A48" s="320">
        <f>'A) Base RI'!A49</f>
        <v>5478</v>
      </c>
      <c r="B48" s="226" t="str">
        <f>'A) Base RI'!B49</f>
        <v>Cottens</v>
      </c>
      <c r="C48" s="242">
        <v>0</v>
      </c>
      <c r="D48" s="221">
        <f>'B) D RI'!AR49</f>
        <v>486</v>
      </c>
      <c r="E48" s="222">
        <f>'B) D RI'!S49</f>
        <v>74</v>
      </c>
      <c r="F48" s="10">
        <f>'B) D RI'!R49</f>
        <v>1063928.96</v>
      </c>
      <c r="G48" s="10">
        <f>'B) D RI'!U49</f>
        <v>14377.418378378377</v>
      </c>
      <c r="H48" s="42">
        <f>'B) D RI'!T49</f>
        <v>984524.71000000008</v>
      </c>
      <c r="I48" s="10">
        <f t="shared" si="3"/>
        <v>26608.775945945948</v>
      </c>
      <c r="J48" s="32">
        <f t="shared" si="6"/>
        <v>41660.299233309124</v>
      </c>
      <c r="K48" s="10">
        <f t="shared" si="1"/>
        <v>26608.775945945948</v>
      </c>
      <c r="L48" s="10">
        <f t="shared" si="4"/>
        <v>15051.523287363176</v>
      </c>
      <c r="M48" s="10">
        <f>'D) Ecrêtage'!M47</f>
        <v>14377.418378378377</v>
      </c>
      <c r="N48" s="10">
        <f t="shared" si="7"/>
        <v>17877.736521351671</v>
      </c>
      <c r="O48" s="58">
        <f t="shared" si="5"/>
        <v>44486.512467297624</v>
      </c>
    </row>
    <row r="49" spans="1:15" s="220" customFormat="1" x14ac:dyDescent="0.25">
      <c r="A49" s="320">
        <f>'A) Base RI'!A50</f>
        <v>5479</v>
      </c>
      <c r="B49" s="226" t="str">
        <f>'A) Base RI'!B50</f>
        <v>Cuarnens</v>
      </c>
      <c r="C49" s="242">
        <v>0</v>
      </c>
      <c r="D49" s="221">
        <f>'B) D RI'!AR50</f>
        <v>479</v>
      </c>
      <c r="E49" s="222">
        <f>'B) D RI'!S50</f>
        <v>77</v>
      </c>
      <c r="F49" s="10">
        <f>'B) D RI'!R50</f>
        <v>1267063.6500000001</v>
      </c>
      <c r="G49" s="10">
        <f>'B) D RI'!U50</f>
        <v>16455.372077922078</v>
      </c>
      <c r="H49" s="42">
        <f>'B) D RI'!T50</f>
        <v>1187664.9000000001</v>
      </c>
      <c r="I49" s="10">
        <f t="shared" si="3"/>
        <v>30848.438961038966</v>
      </c>
      <c r="J49" s="32">
        <f t="shared" si="6"/>
        <v>41060.253771100965</v>
      </c>
      <c r="K49" s="10">
        <f t="shared" si="1"/>
        <v>30848.438961038966</v>
      </c>
      <c r="L49" s="10">
        <f t="shared" si="4"/>
        <v>10211.814810061998</v>
      </c>
      <c r="M49" s="10">
        <f>'D) Ecrêtage'!M48</f>
        <v>16455.372077922078</v>
      </c>
      <c r="N49" s="10">
        <f t="shared" si="7"/>
        <v>20461.587652781309</v>
      </c>
      <c r="O49" s="58">
        <f t="shared" si="5"/>
        <v>51310.026613820271</v>
      </c>
    </row>
    <row r="50" spans="1:15" s="220" customFormat="1" x14ac:dyDescent="0.25">
      <c r="A50" s="320">
        <f>'A) Base RI'!A51</f>
        <v>5480</v>
      </c>
      <c r="B50" s="226" t="str">
        <f>'A) Base RI'!B51</f>
        <v>Daillens</v>
      </c>
      <c r="C50" s="242">
        <v>0</v>
      </c>
      <c r="D50" s="221">
        <f>'B) D RI'!AR51</f>
        <v>1027</v>
      </c>
      <c r="E50" s="222">
        <f>'B) D RI'!S51</f>
        <v>71</v>
      </c>
      <c r="F50" s="10">
        <f>'B) D RI'!R51</f>
        <v>2944568.41</v>
      </c>
      <c r="G50" s="10">
        <f>'B) D RI'!U51</f>
        <v>41472.794507042257</v>
      </c>
      <c r="H50" s="42">
        <f>'B) D RI'!T51</f>
        <v>2632469.4600000004</v>
      </c>
      <c r="I50" s="10">
        <f t="shared" si="3"/>
        <v>74154.069295774665</v>
      </c>
      <c r="J50" s="32">
        <f t="shared" si="6"/>
        <v>88035.241383968038</v>
      </c>
      <c r="K50" s="10">
        <f t="shared" si="1"/>
        <v>74154.069295774665</v>
      </c>
      <c r="L50" s="10">
        <f t="shared" si="4"/>
        <v>13881.172088193372</v>
      </c>
      <c r="M50" s="10">
        <f>'D) Ecrêtage'!M49</f>
        <v>41472.794507042257</v>
      </c>
      <c r="N50" s="10">
        <f t="shared" si="7"/>
        <v>51569.737590448349</v>
      </c>
      <c r="O50" s="58">
        <f t="shared" si="5"/>
        <v>125723.80688622301</v>
      </c>
    </row>
    <row r="51" spans="1:15" s="220" customFormat="1" x14ac:dyDescent="0.25">
      <c r="A51" s="320">
        <f>'A) Base RI'!A52</f>
        <v>5481</v>
      </c>
      <c r="B51" s="226" t="str">
        <f>'A) Base RI'!B52</f>
        <v>Dizy</v>
      </c>
      <c r="C51" s="242">
        <v>0</v>
      </c>
      <c r="D51" s="221">
        <f>'B) D RI'!AR52</f>
        <v>223</v>
      </c>
      <c r="E51" s="222">
        <f>'B) D RI'!S52</f>
        <v>79</v>
      </c>
      <c r="F51" s="10">
        <f>'B) D RI'!R52</f>
        <v>875894.54999999993</v>
      </c>
      <c r="G51" s="10">
        <f>'B) D RI'!U52</f>
        <v>11087.272784810126</v>
      </c>
      <c r="H51" s="42">
        <f>'B) D RI'!T52</f>
        <v>838303.95</v>
      </c>
      <c r="I51" s="10">
        <f t="shared" si="3"/>
        <v>21222.884810126579</v>
      </c>
      <c r="J51" s="32">
        <f t="shared" si="6"/>
        <v>19115.734010345543</v>
      </c>
      <c r="K51" s="10">
        <f t="shared" si="1"/>
        <v>19115.734010345543</v>
      </c>
      <c r="L51" s="10">
        <f t="shared" si="4"/>
        <v>0</v>
      </c>
      <c r="M51" s="10">
        <f>'D) Ecrêtage'!M50</f>
        <v>11087.272784810126</v>
      </c>
      <c r="N51" s="10">
        <f t="shared" si="7"/>
        <v>13786.573943294057</v>
      </c>
      <c r="O51" s="58">
        <f t="shared" si="5"/>
        <v>32902.307953639596</v>
      </c>
    </row>
    <row r="52" spans="1:15" s="220" customFormat="1" x14ac:dyDescent="0.25">
      <c r="A52" s="320">
        <f>'A) Base RI'!A53</f>
        <v>5482</v>
      </c>
      <c r="B52" s="226" t="str">
        <f>'A) Base RI'!B53</f>
        <v>Eclépens</v>
      </c>
      <c r="C52" s="242">
        <v>0</v>
      </c>
      <c r="D52" s="221">
        <f>'B) D RI'!AR53</f>
        <v>1211</v>
      </c>
      <c r="E52" s="222">
        <f>'B) D RI'!S53</f>
        <v>46</v>
      </c>
      <c r="F52" s="10">
        <f>'B) D RI'!R53</f>
        <v>2254538.3000000003</v>
      </c>
      <c r="G52" s="10">
        <f>'B) D RI'!U53</f>
        <v>49011.702173913051</v>
      </c>
      <c r="H52" s="42">
        <f>'B) D RI'!T53</f>
        <v>1823643.5000000002</v>
      </c>
      <c r="I52" s="10">
        <f t="shared" si="3"/>
        <v>79288.84782608696</v>
      </c>
      <c r="J52" s="32">
        <f t="shared" si="6"/>
        <v>103807.86496201099</v>
      </c>
      <c r="K52" s="10">
        <f t="shared" si="1"/>
        <v>79288.84782608696</v>
      </c>
      <c r="L52" s="10">
        <f t="shared" si="4"/>
        <v>24519.017135924034</v>
      </c>
      <c r="M52" s="10">
        <f>'D) Ecrêtage'!M51</f>
        <v>49011.702173913051</v>
      </c>
      <c r="N52" s="10">
        <f t="shared" si="7"/>
        <v>60944.063452023212</v>
      </c>
      <c r="O52" s="58">
        <f t="shared" si="5"/>
        <v>140232.91127811017</v>
      </c>
    </row>
    <row r="53" spans="1:15" s="220" customFormat="1" x14ac:dyDescent="0.25">
      <c r="A53" s="320">
        <f>'A) Base RI'!A54</f>
        <v>5483</v>
      </c>
      <c r="B53" s="226" t="str">
        <f>'A) Base RI'!B54</f>
        <v>Ferreyres</v>
      </c>
      <c r="C53" s="242">
        <v>0</v>
      </c>
      <c r="D53" s="221">
        <f>'B) D RI'!AR54</f>
        <v>310</v>
      </c>
      <c r="E53" s="222">
        <f>'B) D RI'!S54</f>
        <v>76</v>
      </c>
      <c r="F53" s="10">
        <f>'B) D RI'!R54</f>
        <v>673223.35000000009</v>
      </c>
      <c r="G53" s="10">
        <f>'B) D RI'!U54</f>
        <v>8858.2019736842121</v>
      </c>
      <c r="H53" s="42">
        <f>'B) D RI'!T54</f>
        <v>621173.70000000007</v>
      </c>
      <c r="I53" s="10">
        <f t="shared" si="3"/>
        <v>16346.676315789475</v>
      </c>
      <c r="J53" s="32">
        <f t="shared" si="6"/>
        <v>26573.441897789769</v>
      </c>
      <c r="K53" s="10">
        <f t="shared" si="1"/>
        <v>16346.676315789475</v>
      </c>
      <c r="L53" s="10">
        <f t="shared" si="4"/>
        <v>10226.765582000295</v>
      </c>
      <c r="M53" s="10">
        <f>'D) Ecrêtage'!M52</f>
        <v>8858.2019736842121</v>
      </c>
      <c r="N53" s="10">
        <f t="shared" si="7"/>
        <v>11014.814813805646</v>
      </c>
      <c r="O53" s="58">
        <f t="shared" si="5"/>
        <v>27361.491129595121</v>
      </c>
    </row>
    <row r="54" spans="1:15" s="220" customFormat="1" x14ac:dyDescent="0.25">
      <c r="A54" s="320">
        <f>'A) Base RI'!A55</f>
        <v>5484</v>
      </c>
      <c r="B54" s="226" t="str">
        <f>'A) Base RI'!B55</f>
        <v>Gollion</v>
      </c>
      <c r="C54" s="242">
        <v>0</v>
      </c>
      <c r="D54" s="221">
        <f>'B) D RI'!AR55</f>
        <v>939</v>
      </c>
      <c r="E54" s="222">
        <f>'B) D RI'!S55</f>
        <v>74</v>
      </c>
      <c r="F54" s="10">
        <f>'B) D RI'!R55</f>
        <v>2382384.2000000002</v>
      </c>
      <c r="G54" s="10">
        <f>'B) D RI'!U55</f>
        <v>32194.381081081083</v>
      </c>
      <c r="H54" s="42">
        <f>'B) D RI'!T55</f>
        <v>2205847.5500000003</v>
      </c>
      <c r="I54" s="10">
        <f t="shared" si="3"/>
        <v>59617.501351351362</v>
      </c>
      <c r="J54" s="32">
        <f t="shared" si="6"/>
        <v>80491.812716208369</v>
      </c>
      <c r="K54" s="10">
        <f t="shared" si="1"/>
        <v>59617.501351351362</v>
      </c>
      <c r="L54" s="10">
        <f t="shared" si="4"/>
        <v>20874.311364857007</v>
      </c>
      <c r="M54" s="10">
        <f>'D) Ecrêtage'!M53</f>
        <v>32194.381081081083</v>
      </c>
      <c r="N54" s="10">
        <f t="shared" si="7"/>
        <v>40032.406881970004</v>
      </c>
      <c r="O54" s="58">
        <f t="shared" si="5"/>
        <v>99649.908233321359</v>
      </c>
    </row>
    <row r="55" spans="1:15" s="220" customFormat="1" x14ac:dyDescent="0.25">
      <c r="A55" s="320">
        <f>'A) Base RI'!A56</f>
        <v>5485</v>
      </c>
      <c r="B55" s="226" t="str">
        <f>'A) Base RI'!B56</f>
        <v>Grancy</v>
      </c>
      <c r="C55" s="242">
        <v>0</v>
      </c>
      <c r="D55" s="221">
        <f>'B) D RI'!AR56</f>
        <v>398</v>
      </c>
      <c r="E55" s="222">
        <f>'B) D RI'!S56</f>
        <v>70</v>
      </c>
      <c r="F55" s="10">
        <f>'B) D RI'!R56</f>
        <v>1308807.69</v>
      </c>
      <c r="G55" s="10">
        <f>'B) D RI'!U56</f>
        <v>18697.252714285714</v>
      </c>
      <c r="H55" s="42">
        <f>'B) D RI'!T56</f>
        <v>1234995.1399999999</v>
      </c>
      <c r="I55" s="10">
        <f t="shared" si="3"/>
        <v>35285.575428571428</v>
      </c>
      <c r="J55" s="32">
        <f t="shared" si="6"/>
        <v>34116.870565549441</v>
      </c>
      <c r="K55" s="10">
        <f t="shared" si="1"/>
        <v>34116.870565549441</v>
      </c>
      <c r="L55" s="10">
        <f t="shared" si="4"/>
        <v>0</v>
      </c>
      <c r="M55" s="10">
        <f>'D) Ecrêtage'!M54</f>
        <v>18697.252714285714</v>
      </c>
      <c r="N55" s="10">
        <f t="shared" si="7"/>
        <v>23249.275280311413</v>
      </c>
      <c r="O55" s="58">
        <f t="shared" si="5"/>
        <v>57366.145845860854</v>
      </c>
    </row>
    <row r="56" spans="1:15" s="220" customFormat="1" x14ac:dyDescent="0.25">
      <c r="A56" s="320">
        <f>'A) Base RI'!A57</f>
        <v>5486</v>
      </c>
      <c r="B56" s="226" t="str">
        <f>'A) Base RI'!B57</f>
        <v>L'Isle</v>
      </c>
      <c r="C56" s="242">
        <v>0</v>
      </c>
      <c r="D56" s="221">
        <f>'B) D RI'!AR57</f>
        <v>1005</v>
      </c>
      <c r="E56" s="222">
        <f>'B) D RI'!S57</f>
        <v>76</v>
      </c>
      <c r="F56" s="10">
        <f>'B) D RI'!R57</f>
        <v>2375335.9599999995</v>
      </c>
      <c r="G56" s="10">
        <f>'B) D RI'!U57</f>
        <v>31254.420526315782</v>
      </c>
      <c r="H56" s="42">
        <f>'B) D RI'!T57</f>
        <v>2184178.61</v>
      </c>
      <c r="I56" s="10">
        <f t="shared" si="3"/>
        <v>57478.384473684207</v>
      </c>
      <c r="J56" s="32">
        <f t="shared" si="6"/>
        <v>86149.384217028128</v>
      </c>
      <c r="K56" s="10">
        <f t="shared" si="1"/>
        <v>57478.384473684207</v>
      </c>
      <c r="L56" s="10">
        <f t="shared" si="4"/>
        <v>28670.99974334392</v>
      </c>
      <c r="M56" s="10">
        <f>'D) Ecrêtage'!M55</f>
        <v>31254.420526315782</v>
      </c>
      <c r="N56" s="10">
        <f t="shared" si="7"/>
        <v>38863.604062415907</v>
      </c>
      <c r="O56" s="58">
        <f t="shared" si="5"/>
        <v>96341.988536100107</v>
      </c>
    </row>
    <row r="57" spans="1:15" s="220" customFormat="1" x14ac:dyDescent="0.25">
      <c r="A57" s="320">
        <f>'A) Base RI'!A58</f>
        <v>5487</v>
      </c>
      <c r="B57" s="226" t="str">
        <f>'A) Base RI'!B58</f>
        <v>Lussery-Villars</v>
      </c>
      <c r="C57" s="242">
        <v>0</v>
      </c>
      <c r="D57" s="221">
        <f>'B) D RI'!AR58</f>
        <v>462</v>
      </c>
      <c r="E57" s="222">
        <f>'B) D RI'!S58</f>
        <v>75</v>
      </c>
      <c r="F57" s="10">
        <f>'B) D RI'!R58</f>
        <v>1109344.8600000001</v>
      </c>
      <c r="G57" s="10">
        <f>'B) D RI'!U58</f>
        <v>14791.264800000001</v>
      </c>
      <c r="H57" s="42">
        <f>'B) D RI'!T58</f>
        <v>1037082.31</v>
      </c>
      <c r="I57" s="10">
        <f t="shared" si="3"/>
        <v>27655.528266666668</v>
      </c>
      <c r="J57" s="32">
        <f t="shared" si="6"/>
        <v>39603.000505738302</v>
      </c>
      <c r="K57" s="10">
        <f t="shared" si="1"/>
        <v>27655.528266666668</v>
      </c>
      <c r="L57" s="10">
        <f t="shared" si="4"/>
        <v>11947.472239071634</v>
      </c>
      <c r="M57" s="10">
        <f>'D) Ecrêtage'!M56</f>
        <v>14791.264800000001</v>
      </c>
      <c r="N57" s="10">
        <f t="shared" si="7"/>
        <v>18392.337758607318</v>
      </c>
      <c r="O57" s="58">
        <f t="shared" si="5"/>
        <v>46047.866025273986</v>
      </c>
    </row>
    <row r="58" spans="1:15" s="220" customFormat="1" x14ac:dyDescent="0.25">
      <c r="A58" s="320">
        <f>'A) Base RI'!A59</f>
        <v>5488</v>
      </c>
      <c r="B58" s="226" t="str">
        <f>'A) Base RI'!B59</f>
        <v>Mauraz</v>
      </c>
      <c r="C58" s="242">
        <v>0</v>
      </c>
      <c r="D58" s="221">
        <f>'B) D RI'!AR59</f>
        <v>59</v>
      </c>
      <c r="E58" s="222">
        <f>'B) D RI'!S59</f>
        <v>78</v>
      </c>
      <c r="F58" s="10">
        <f>'B) D RI'!R59</f>
        <v>148896.92999999996</v>
      </c>
      <c r="G58" s="10">
        <f>'B) D RI'!U59</f>
        <v>1908.9349999999995</v>
      </c>
      <c r="H58" s="42">
        <f>'B) D RI'!T59</f>
        <v>140422.92999999996</v>
      </c>
      <c r="I58" s="10">
        <f t="shared" si="3"/>
        <v>3600.5879487179477</v>
      </c>
      <c r="J58" s="32">
        <f t="shared" si="6"/>
        <v>5057.5260386116015</v>
      </c>
      <c r="K58" s="10">
        <f t="shared" si="1"/>
        <v>3600.5879487179477</v>
      </c>
      <c r="L58" s="10">
        <f t="shared" si="4"/>
        <v>1456.9380898936538</v>
      </c>
      <c r="M58" s="10">
        <f>'D) Ecrêtage'!M57</f>
        <v>1908.9349999999995</v>
      </c>
      <c r="N58" s="10">
        <f t="shared" si="7"/>
        <v>2373.683234933841</v>
      </c>
      <c r="O58" s="58">
        <f t="shared" si="5"/>
        <v>5974.2711836517883</v>
      </c>
    </row>
    <row r="59" spans="1:15" s="220" customFormat="1" x14ac:dyDescent="0.25">
      <c r="A59" s="320">
        <f>'A) Base RI'!A60</f>
        <v>5489</v>
      </c>
      <c r="B59" s="226" t="str">
        <f>'A) Base RI'!B60</f>
        <v>Mex</v>
      </c>
      <c r="C59" s="242">
        <v>0</v>
      </c>
      <c r="D59" s="221">
        <f>'B) D RI'!AR60</f>
        <v>725</v>
      </c>
      <c r="E59" s="222">
        <f>'B) D RI'!S60</f>
        <v>61</v>
      </c>
      <c r="F59" s="10">
        <f>'B) D RI'!R60</f>
        <v>4305062.6800000006</v>
      </c>
      <c r="G59" s="10">
        <f>'B) D RI'!U60</f>
        <v>70574.798032786901</v>
      </c>
      <c r="H59" s="42">
        <f>'B) D RI'!T60</f>
        <v>4008058.3300000005</v>
      </c>
      <c r="I59" s="10">
        <f t="shared" si="3"/>
        <v>131411.74852459019</v>
      </c>
      <c r="J59" s="32">
        <f t="shared" si="6"/>
        <v>62147.565728701877</v>
      </c>
      <c r="K59" s="10">
        <f t="shared" si="1"/>
        <v>62147.565728701877</v>
      </c>
      <c r="L59" s="10">
        <f t="shared" si="4"/>
        <v>0</v>
      </c>
      <c r="M59" s="10">
        <f>'D) Ecrêtage'!M58</f>
        <v>63928.216488675753</v>
      </c>
      <c r="N59" s="10">
        <f t="shared" si="7"/>
        <v>79492.143901385236</v>
      </c>
      <c r="O59" s="58">
        <f t="shared" si="5"/>
        <v>141639.70963008711</v>
      </c>
    </row>
    <row r="60" spans="1:15" s="220" customFormat="1" x14ac:dyDescent="0.25">
      <c r="A60" s="320">
        <f>'A) Base RI'!A61</f>
        <v>5490</v>
      </c>
      <c r="B60" s="226" t="str">
        <f>'A) Base RI'!B61</f>
        <v>Moiry</v>
      </c>
      <c r="C60" s="242">
        <v>0</v>
      </c>
      <c r="D60" s="221">
        <f>'B) D RI'!AR61</f>
        <v>310</v>
      </c>
      <c r="E60" s="222">
        <f>'B) D RI'!S61</f>
        <v>80</v>
      </c>
      <c r="F60" s="10">
        <f>'B) D RI'!R61</f>
        <v>743712.6399999999</v>
      </c>
      <c r="G60" s="10">
        <f>'B) D RI'!U61</f>
        <v>9296.4079999999994</v>
      </c>
      <c r="H60" s="42">
        <f>'B) D RI'!T61</f>
        <v>698844.8899999999</v>
      </c>
      <c r="I60" s="10">
        <f t="shared" si="3"/>
        <v>17471.122249999997</v>
      </c>
      <c r="J60" s="32">
        <f t="shared" si="6"/>
        <v>26573.441897789769</v>
      </c>
      <c r="K60" s="10">
        <f t="shared" si="1"/>
        <v>17471.122249999997</v>
      </c>
      <c r="L60" s="10">
        <f t="shared" si="4"/>
        <v>9102.3196477897727</v>
      </c>
      <c r="M60" s="10">
        <f>'D) Ecrêtage'!M59</f>
        <v>9296.4079999999994</v>
      </c>
      <c r="N60" s="10">
        <f t="shared" si="7"/>
        <v>11559.706231330476</v>
      </c>
      <c r="O60" s="58">
        <f t="shared" si="5"/>
        <v>29030.828481330471</v>
      </c>
    </row>
    <row r="61" spans="1:15" s="220" customFormat="1" x14ac:dyDescent="0.25">
      <c r="A61" s="320">
        <f>'A) Base RI'!A62</f>
        <v>5491</v>
      </c>
      <c r="B61" s="226" t="str">
        <f>'A) Base RI'!B62</f>
        <v>Mont-la-Ville</v>
      </c>
      <c r="C61" s="242">
        <v>0</v>
      </c>
      <c r="D61" s="221">
        <f>'B) D RI'!AR62</f>
        <v>466</v>
      </c>
      <c r="E61" s="222">
        <f>'B) D RI'!S62</f>
        <v>76</v>
      </c>
      <c r="F61" s="10">
        <f>'B) D RI'!R62</f>
        <v>936665.69000000006</v>
      </c>
      <c r="G61" s="10">
        <f>'B) D RI'!U62</f>
        <v>12324.548552631581</v>
      </c>
      <c r="H61" s="42">
        <f>'B) D RI'!T62</f>
        <v>860969.84000000008</v>
      </c>
      <c r="I61" s="10">
        <f t="shared" si="3"/>
        <v>22657.10105263158</v>
      </c>
      <c r="J61" s="32">
        <f t="shared" si="6"/>
        <v>39945.883627000105</v>
      </c>
      <c r="K61" s="10">
        <f t="shared" si="1"/>
        <v>22657.10105263158</v>
      </c>
      <c r="L61" s="10">
        <f t="shared" si="4"/>
        <v>17288.782574368524</v>
      </c>
      <c r="M61" s="10">
        <f>'D) Ecrêtage'!M60</f>
        <v>12324.548552631581</v>
      </c>
      <c r="N61" s="10">
        <f t="shared" si="7"/>
        <v>15325.076169439884</v>
      </c>
      <c r="O61" s="58">
        <f t="shared" si="5"/>
        <v>37982.177222071463</v>
      </c>
    </row>
    <row r="62" spans="1:15" s="220" customFormat="1" x14ac:dyDescent="0.25">
      <c r="A62" s="320">
        <f>'A) Base RI'!A63</f>
        <v>5492</v>
      </c>
      <c r="B62" s="226" t="str">
        <f>'A) Base RI'!B63</f>
        <v>Montricher</v>
      </c>
      <c r="C62" s="242">
        <v>0</v>
      </c>
      <c r="D62" s="221">
        <f>'B) D RI'!AR63</f>
        <v>940</v>
      </c>
      <c r="E62" s="222">
        <f>'B) D RI'!S63</f>
        <v>64</v>
      </c>
      <c r="F62" s="10">
        <f>'B) D RI'!R63</f>
        <v>15130216.609999999</v>
      </c>
      <c r="G62" s="10">
        <f>'B) D RI'!U63</f>
        <v>236409.63453124999</v>
      </c>
      <c r="H62" s="42">
        <f>'B) D RI'!T63</f>
        <v>14889784.66</v>
      </c>
      <c r="I62" s="10">
        <f t="shared" si="3"/>
        <v>465305.770625</v>
      </c>
      <c r="J62" s="32">
        <f t="shared" si="6"/>
        <v>80577.533496523814</v>
      </c>
      <c r="K62" s="10">
        <f t="shared" si="1"/>
        <v>80577.533496523814</v>
      </c>
      <c r="L62" s="10">
        <f t="shared" si="4"/>
        <v>0</v>
      </c>
      <c r="M62" s="10">
        <f>'D) Ecrêtage'!M61</f>
        <v>181920.96577427909</v>
      </c>
      <c r="N62" s="10">
        <f t="shared" si="7"/>
        <v>226211.34116215559</v>
      </c>
      <c r="O62" s="58">
        <f t="shared" si="5"/>
        <v>306788.87465867942</v>
      </c>
    </row>
    <row r="63" spans="1:15" s="220" customFormat="1" x14ac:dyDescent="0.25">
      <c r="A63" s="320">
        <f>'A) Base RI'!A64</f>
        <v>5493</v>
      </c>
      <c r="B63" s="226" t="str">
        <f>'A) Base RI'!B64</f>
        <v>Orny</v>
      </c>
      <c r="C63" s="242">
        <v>0</v>
      </c>
      <c r="D63" s="221">
        <f>'B) D RI'!AR64</f>
        <v>368</v>
      </c>
      <c r="E63" s="222">
        <f>'B) D RI'!S64</f>
        <v>73</v>
      </c>
      <c r="F63" s="10">
        <f>'B) D RI'!R64</f>
        <v>782395.62692307681</v>
      </c>
      <c r="G63" s="10">
        <f>'B) D RI'!U64</f>
        <v>10717.748314014751</v>
      </c>
      <c r="H63" s="42">
        <f>'B) D RI'!T64</f>
        <v>727974.79999999993</v>
      </c>
      <c r="I63" s="10">
        <f t="shared" si="3"/>
        <v>19944.51506849315</v>
      </c>
      <c r="J63" s="32">
        <f t="shared" si="6"/>
        <v>31545.247156085919</v>
      </c>
      <c r="K63" s="10">
        <f t="shared" si="1"/>
        <v>19944.51506849315</v>
      </c>
      <c r="L63" s="10">
        <f t="shared" si="4"/>
        <v>11600.732087592769</v>
      </c>
      <c r="M63" s="10">
        <f>'D) Ecrêtage'!M62</f>
        <v>10717.748314014751</v>
      </c>
      <c r="N63" s="10">
        <f t="shared" si="7"/>
        <v>13327.08525393335</v>
      </c>
      <c r="O63" s="58">
        <f t="shared" si="5"/>
        <v>33271.6003224265</v>
      </c>
    </row>
    <row r="64" spans="1:15" s="220" customFormat="1" x14ac:dyDescent="0.25">
      <c r="A64" s="320">
        <f>'A) Base RI'!A65</f>
        <v>5494</v>
      </c>
      <c r="B64" s="226" t="str">
        <f>'A) Base RI'!B65</f>
        <v>Pampigny</v>
      </c>
      <c r="C64" s="242">
        <v>0</v>
      </c>
      <c r="D64" s="221">
        <f>'B) D RI'!AR65</f>
        <v>1113</v>
      </c>
      <c r="E64" s="222">
        <f>'B) D RI'!S65</f>
        <v>75</v>
      </c>
      <c r="F64" s="10">
        <f>'B) D RI'!R65</f>
        <v>2835999.1152380952</v>
      </c>
      <c r="G64" s="10">
        <f>'B) D RI'!U65</f>
        <v>37813.321536507938</v>
      </c>
      <c r="H64" s="42">
        <f>'B) D RI'!T65</f>
        <v>2620656.42</v>
      </c>
      <c r="I64" s="10">
        <f t="shared" si="3"/>
        <v>69884.171199999997</v>
      </c>
      <c r="J64" s="32">
        <f t="shared" si="6"/>
        <v>95407.228491096816</v>
      </c>
      <c r="K64" s="10">
        <f t="shared" si="1"/>
        <v>69884.171199999997</v>
      </c>
      <c r="L64" s="10">
        <f t="shared" si="4"/>
        <v>25523.057291096819</v>
      </c>
      <c r="M64" s="10">
        <f>'D) Ecrêtage'!M63</f>
        <v>37813.321536507938</v>
      </c>
      <c r="N64" s="10">
        <f t="shared" si="7"/>
        <v>47019.331401211493</v>
      </c>
      <c r="O64" s="58">
        <f t="shared" si="5"/>
        <v>116903.50260121148</v>
      </c>
    </row>
    <row r="65" spans="1:15" s="220" customFormat="1" x14ac:dyDescent="0.25">
      <c r="A65" s="320">
        <f>'A) Base RI'!A66</f>
        <v>5495</v>
      </c>
      <c r="B65" s="226" t="str">
        <f>'A) Base RI'!B66</f>
        <v>Penthalaz</v>
      </c>
      <c r="C65" s="242">
        <v>0</v>
      </c>
      <c r="D65" s="221">
        <f>'B) D RI'!AR66</f>
        <v>3283</v>
      </c>
      <c r="E65" s="222">
        <f>'B) D RI'!S66</f>
        <v>74</v>
      </c>
      <c r="F65" s="10">
        <f>'B) D RI'!R66</f>
        <v>6875907.919999999</v>
      </c>
      <c r="G65" s="10">
        <f>'B) D RI'!U66</f>
        <v>92917.674594594588</v>
      </c>
      <c r="H65" s="42">
        <f>'B) D RI'!T66</f>
        <v>6340115.2699999986</v>
      </c>
      <c r="I65" s="10">
        <f t="shared" si="3"/>
        <v>171354.46675675671</v>
      </c>
      <c r="J65" s="32">
        <f t="shared" si="6"/>
        <v>281421.32177562517</v>
      </c>
      <c r="K65" s="10">
        <f t="shared" si="1"/>
        <v>171354.46675675671</v>
      </c>
      <c r="L65" s="10">
        <f t="shared" si="4"/>
        <v>110066.85501886846</v>
      </c>
      <c r="M65" s="10">
        <f>'D) Ecrêtage'!M64</f>
        <v>92917.674594594588</v>
      </c>
      <c r="N65" s="10">
        <f t="shared" si="7"/>
        <v>115539.35907415775</v>
      </c>
      <c r="O65" s="58">
        <f t="shared" si="5"/>
        <v>286893.82583091443</v>
      </c>
    </row>
    <row r="66" spans="1:15" s="220" customFormat="1" x14ac:dyDescent="0.25">
      <c r="A66" s="320">
        <f>'A) Base RI'!A67</f>
        <v>5496</v>
      </c>
      <c r="B66" s="226" t="str">
        <f>'A) Base RI'!B67</f>
        <v>Penthaz</v>
      </c>
      <c r="C66" s="242">
        <v>0</v>
      </c>
      <c r="D66" s="221">
        <f>'B) D RI'!AR67</f>
        <v>1747</v>
      </c>
      <c r="E66" s="222">
        <f>'B) D RI'!S67</f>
        <v>71</v>
      </c>
      <c r="F66" s="10">
        <f>'B) D RI'!R67</f>
        <v>4078391.63</v>
      </c>
      <c r="G66" s="10">
        <f>'B) D RI'!U67</f>
        <v>57442.135633802813</v>
      </c>
      <c r="H66" s="42">
        <f>'B) D RI'!T67</f>
        <v>3754340.38</v>
      </c>
      <c r="I66" s="10">
        <f t="shared" si="3"/>
        <v>105756.06704225352</v>
      </c>
      <c r="J66" s="32">
        <f t="shared" si="6"/>
        <v>149754.20321109265</v>
      </c>
      <c r="K66" s="10">
        <f t="shared" si="1"/>
        <v>105756.06704225352</v>
      </c>
      <c r="L66" s="10">
        <f t="shared" si="4"/>
        <v>43998.136168839133</v>
      </c>
      <c r="M66" s="10">
        <f>'D) Ecrêtage'!M65</f>
        <v>57442.135633802813</v>
      </c>
      <c r="N66" s="10">
        <f t="shared" si="7"/>
        <v>71426.965471717762</v>
      </c>
      <c r="O66" s="58">
        <f t="shared" si="5"/>
        <v>177183.03251397127</v>
      </c>
    </row>
    <row r="67" spans="1:15" s="220" customFormat="1" x14ac:dyDescent="0.25">
      <c r="A67" s="320">
        <f>'A) Base RI'!A68</f>
        <v>5497</v>
      </c>
      <c r="B67" s="226" t="str">
        <f>'A) Base RI'!B68</f>
        <v>Pompaples</v>
      </c>
      <c r="C67" s="242">
        <v>0</v>
      </c>
      <c r="D67" s="221">
        <f>'B) D RI'!AR68</f>
        <v>847</v>
      </c>
      <c r="E67" s="222">
        <f>'B) D RI'!S68</f>
        <v>66</v>
      </c>
      <c r="F67" s="10">
        <f>'B) D RI'!R68</f>
        <v>1486094.42</v>
      </c>
      <c r="G67" s="10">
        <f>'B) D RI'!U68</f>
        <v>22516.582121212119</v>
      </c>
      <c r="H67" s="42">
        <f>'B) D RI'!T68</f>
        <v>1354994.17</v>
      </c>
      <c r="I67" s="10">
        <f t="shared" si="3"/>
        <v>41060.42939393939</v>
      </c>
      <c r="J67" s="32">
        <f t="shared" si="6"/>
        <v>72605.500927186891</v>
      </c>
      <c r="K67" s="10">
        <f t="shared" si="1"/>
        <v>41060.42939393939</v>
      </c>
      <c r="L67" s="10">
        <f t="shared" si="4"/>
        <v>31545.071533247501</v>
      </c>
      <c r="M67" s="10">
        <f>'D) Ecrêtage'!M66</f>
        <v>22516.582121212119</v>
      </c>
      <c r="N67" s="10">
        <f t="shared" si="7"/>
        <v>27998.456463490002</v>
      </c>
      <c r="O67" s="58">
        <f t="shared" si="5"/>
        <v>69058.885857429384</v>
      </c>
    </row>
    <row r="68" spans="1:15" s="220" customFormat="1" x14ac:dyDescent="0.25">
      <c r="A68" s="320">
        <f>'A) Base RI'!A69</f>
        <v>5498</v>
      </c>
      <c r="B68" s="226" t="str">
        <f>'A) Base RI'!B69</f>
        <v>La Sarraz</v>
      </c>
      <c r="C68" s="242">
        <v>0</v>
      </c>
      <c r="D68" s="221">
        <f>'B) D RI'!AR69</f>
        <v>2596</v>
      </c>
      <c r="E68" s="222">
        <f>'B) D RI'!S69</f>
        <v>66</v>
      </c>
      <c r="F68" s="10">
        <f>'B) D RI'!R69</f>
        <v>5161326.5200000014</v>
      </c>
      <c r="G68" s="10">
        <f>'B) D RI'!U69</f>
        <v>78201.916969696991</v>
      </c>
      <c r="H68" s="42">
        <f>'B) D RI'!T69</f>
        <v>4762968.4200000009</v>
      </c>
      <c r="I68" s="10">
        <f t="shared" si="3"/>
        <v>144332.3763636364</v>
      </c>
      <c r="J68" s="32">
        <f t="shared" si="6"/>
        <v>222531.14569891046</v>
      </c>
      <c r="K68" s="10">
        <f t="shared" si="1"/>
        <v>144332.3763636364</v>
      </c>
      <c r="L68" s="10">
        <f t="shared" si="4"/>
        <v>78198.769335274061</v>
      </c>
      <c r="M68" s="10">
        <f>'D) Ecrêtage'!M67</f>
        <v>78201.916969696991</v>
      </c>
      <c r="N68" s="10">
        <f t="shared" si="7"/>
        <v>97240.911424777718</v>
      </c>
      <c r="O68" s="58">
        <f t="shared" si="5"/>
        <v>241573.28778841411</v>
      </c>
    </row>
    <row r="69" spans="1:15" s="220" customFormat="1" x14ac:dyDescent="0.25">
      <c r="A69" s="320">
        <f>'A) Base RI'!A70</f>
        <v>5499</v>
      </c>
      <c r="B69" s="226" t="str">
        <f>'A) Base RI'!B70</f>
        <v>Senarclens</v>
      </c>
      <c r="C69" s="242">
        <v>0</v>
      </c>
      <c r="D69" s="221">
        <f>'B) D RI'!AR70</f>
        <v>488</v>
      </c>
      <c r="E69" s="222">
        <f>'B) D RI'!S70</f>
        <v>68.5</v>
      </c>
      <c r="F69" s="10">
        <f>'B) D RI'!R70</f>
        <v>1636236.46</v>
      </c>
      <c r="G69" s="10">
        <f>'B) D RI'!U70</f>
        <v>23886.663649635037</v>
      </c>
      <c r="H69" s="42">
        <f>'B) D RI'!T70</f>
        <v>1543041.16</v>
      </c>
      <c r="I69" s="10">
        <f t="shared" si="3"/>
        <v>45052.296642335765</v>
      </c>
      <c r="J69" s="32">
        <f t="shared" si="6"/>
        <v>41831.740793940022</v>
      </c>
      <c r="K69" s="10">
        <f t="shared" si="1"/>
        <v>41831.740793940022</v>
      </c>
      <c r="L69" s="10">
        <f t="shared" si="4"/>
        <v>0</v>
      </c>
      <c r="M69" s="10">
        <f>'D) Ecrêtage'!M68</f>
        <v>23886.663649635037</v>
      </c>
      <c r="N69" s="10">
        <f t="shared" si="7"/>
        <v>29702.09726556551</v>
      </c>
      <c r="O69" s="58">
        <f t="shared" si="5"/>
        <v>71533.838059505535</v>
      </c>
    </row>
    <row r="70" spans="1:15" s="220" customFormat="1" x14ac:dyDescent="0.25">
      <c r="A70" s="320">
        <f>'A) Base RI'!A71</f>
        <v>5500</v>
      </c>
      <c r="B70" s="226" t="str">
        <f>'A) Base RI'!B71</f>
        <v>Sévery</v>
      </c>
      <c r="C70" s="242">
        <v>0</v>
      </c>
      <c r="D70" s="221">
        <f>'B) D RI'!AR71</f>
        <v>225</v>
      </c>
      <c r="E70" s="222">
        <f>'B) D RI'!S71</f>
        <v>75</v>
      </c>
      <c r="F70" s="10">
        <f>'B) D RI'!R71</f>
        <v>474864.98666666669</v>
      </c>
      <c r="G70" s="10">
        <f>'B) D RI'!U71</f>
        <v>6331.5331555555558</v>
      </c>
      <c r="H70" s="42">
        <f>'B) D RI'!T71</f>
        <v>432729.62</v>
      </c>
      <c r="I70" s="10">
        <f t="shared" si="3"/>
        <v>11539.456533333334</v>
      </c>
      <c r="J70" s="32">
        <f t="shared" ref="J70:J101" si="8">+$I$315/$D$315*D70</f>
        <v>19287.175570976444</v>
      </c>
      <c r="K70" s="10">
        <f t="shared" ref="K70:K133" si="9">IF(C70=1,0,IF(J70&gt;I70,I70,J70))</f>
        <v>11539.456533333334</v>
      </c>
      <c r="L70" s="10">
        <f t="shared" si="4"/>
        <v>7747.7190376431099</v>
      </c>
      <c r="M70" s="10">
        <f>'D) Ecrêtage'!M69</f>
        <v>6331.5331555555558</v>
      </c>
      <c r="N70" s="10">
        <f t="shared" ref="N70:N133" si="10">+$N$5*M70</f>
        <v>7873.0046349247023</v>
      </c>
      <c r="O70" s="58">
        <f t="shared" ref="O70:O133" si="11">+N70+K70</f>
        <v>19412.461168258036</v>
      </c>
    </row>
    <row r="71" spans="1:15" s="220" customFormat="1" x14ac:dyDescent="0.25">
      <c r="A71" s="320">
        <f>'A) Base RI'!A72</f>
        <v>5501</v>
      </c>
      <c r="B71" s="226" t="str">
        <f>'A) Base RI'!B72</f>
        <v>Sullens</v>
      </c>
      <c r="C71" s="242">
        <v>0</v>
      </c>
      <c r="D71" s="221">
        <f>'B) D RI'!AR72</f>
        <v>1036</v>
      </c>
      <c r="E71" s="222">
        <f>'B) D RI'!S72</f>
        <v>70</v>
      </c>
      <c r="F71" s="10">
        <f>'B) D RI'!R72</f>
        <v>2646863.7399999998</v>
      </c>
      <c r="G71" s="10">
        <f>'B) D RI'!U72</f>
        <v>37812.339142857141</v>
      </c>
      <c r="H71" s="42">
        <f>'B) D RI'!T72</f>
        <v>2431617.9899999998</v>
      </c>
      <c r="I71" s="10">
        <f t="shared" ref="I71:I134" si="12">+H71/E71*$I$5</f>
        <v>69474.799714285706</v>
      </c>
      <c r="J71" s="32">
        <f t="shared" si="8"/>
        <v>88806.728406807102</v>
      </c>
      <c r="K71" s="10">
        <f t="shared" si="9"/>
        <v>69474.799714285706</v>
      </c>
      <c r="L71" s="10">
        <f t="shared" ref="L71:L134" si="13">+J71-K71</f>
        <v>19331.928692521396</v>
      </c>
      <c r="M71" s="10">
        <f>'D) Ecrêtage'!M70</f>
        <v>37812.339142857141</v>
      </c>
      <c r="N71" s="10">
        <f t="shared" si="10"/>
        <v>47018.10983455836</v>
      </c>
      <c r="O71" s="58">
        <f t="shared" si="11"/>
        <v>116492.90954884407</v>
      </c>
    </row>
    <row r="72" spans="1:15" s="220" customFormat="1" x14ac:dyDescent="0.25">
      <c r="A72" s="320">
        <f>'A) Base RI'!A73</f>
        <v>5503</v>
      </c>
      <c r="B72" s="226" t="str">
        <f>'A) Base RI'!B73</f>
        <v>Vufflens-la-Ville</v>
      </c>
      <c r="C72" s="242">
        <v>0</v>
      </c>
      <c r="D72" s="221">
        <f>'B) D RI'!AR73</f>
        <v>1298</v>
      </c>
      <c r="E72" s="222">
        <f>'B) D RI'!S73</f>
        <v>67</v>
      </c>
      <c r="F72" s="10">
        <f>'B) D RI'!R73</f>
        <v>5218833.3833333328</v>
      </c>
      <c r="G72" s="10">
        <f>'B) D RI'!U73</f>
        <v>77893.035572139299</v>
      </c>
      <c r="H72" s="42">
        <f>'B) D RI'!T73</f>
        <v>4845301.8</v>
      </c>
      <c r="I72" s="10">
        <f t="shared" si="12"/>
        <v>144635.87462686567</v>
      </c>
      <c r="J72" s="32">
        <f t="shared" si="8"/>
        <v>111265.57284945523</v>
      </c>
      <c r="K72" s="10">
        <f t="shared" si="9"/>
        <v>111265.57284945523</v>
      </c>
      <c r="L72" s="10">
        <f t="shared" si="13"/>
        <v>0</v>
      </c>
      <c r="M72" s="10">
        <f>'D) Ecrêtage'!M71</f>
        <v>76842.912393778752</v>
      </c>
      <c r="N72" s="10">
        <f t="shared" si="10"/>
        <v>95551.044363795809</v>
      </c>
      <c r="O72" s="58">
        <f t="shared" si="11"/>
        <v>206816.61721325104</v>
      </c>
    </row>
    <row r="73" spans="1:15" s="220" customFormat="1" x14ac:dyDescent="0.25">
      <c r="A73" s="320">
        <f>'A) Base RI'!A74</f>
        <v>5511</v>
      </c>
      <c r="B73" s="226" t="str">
        <f>'A) Base RI'!B74</f>
        <v>Assens</v>
      </c>
      <c r="C73" s="242">
        <v>0</v>
      </c>
      <c r="D73" s="221">
        <f>'B) D RI'!AR74</f>
        <v>1077</v>
      </c>
      <c r="E73" s="222">
        <f>'B) D RI'!S74</f>
        <v>70</v>
      </c>
      <c r="F73" s="10">
        <f>'B) D RI'!R74</f>
        <v>3194902.96</v>
      </c>
      <c r="G73" s="10">
        <f>'B) D RI'!U74</f>
        <v>45641.470857142856</v>
      </c>
      <c r="H73" s="42">
        <f>'B) D RI'!T74</f>
        <v>2966332.41</v>
      </c>
      <c r="I73" s="10">
        <f t="shared" si="12"/>
        <v>84752.354571428572</v>
      </c>
      <c r="J73" s="32">
        <f t="shared" si="8"/>
        <v>92321.280399740586</v>
      </c>
      <c r="K73" s="10">
        <f t="shared" si="9"/>
        <v>84752.354571428572</v>
      </c>
      <c r="L73" s="10">
        <f t="shared" si="13"/>
        <v>7568.9258283120143</v>
      </c>
      <c r="M73" s="10">
        <f>'D) Ecrêtage'!M72</f>
        <v>45641.470857142856</v>
      </c>
      <c r="N73" s="10">
        <f t="shared" si="10"/>
        <v>56753.317525909217</v>
      </c>
      <c r="O73" s="58">
        <f t="shared" si="11"/>
        <v>141505.67209733778</v>
      </c>
    </row>
    <row r="74" spans="1:15" s="220" customFormat="1" x14ac:dyDescent="0.25">
      <c r="A74" s="320">
        <f>'A) Base RI'!A75</f>
        <v>5512</v>
      </c>
      <c r="B74" s="226" t="str">
        <f>'A) Base RI'!B75</f>
        <v>Bercher</v>
      </c>
      <c r="C74" s="242">
        <v>0</v>
      </c>
      <c r="D74" s="221">
        <f>'B) D RI'!AR75</f>
        <v>1239</v>
      </c>
      <c r="E74" s="222">
        <f>'B) D RI'!S75</f>
        <v>79</v>
      </c>
      <c r="F74" s="10">
        <f>'B) D RI'!R75</f>
        <v>2984904.0400000005</v>
      </c>
      <c r="G74" s="10">
        <f>'B) D RI'!U75</f>
        <v>37783.595443037979</v>
      </c>
      <c r="H74" s="42">
        <f>'B) D RI'!T75</f>
        <v>2746500.64</v>
      </c>
      <c r="I74" s="10">
        <f t="shared" si="12"/>
        <v>69531.6617721519</v>
      </c>
      <c r="J74" s="32">
        <f t="shared" si="8"/>
        <v>106208.04681084362</v>
      </c>
      <c r="K74" s="10">
        <f t="shared" si="9"/>
        <v>69531.6617721519</v>
      </c>
      <c r="L74" s="10">
        <f t="shared" si="13"/>
        <v>36676.385038691718</v>
      </c>
      <c r="M74" s="10">
        <f>'D) Ecrêtage'!M73</f>
        <v>37783.595443037979</v>
      </c>
      <c r="N74" s="10">
        <f t="shared" si="10"/>
        <v>46982.368209845779</v>
      </c>
      <c r="O74" s="58">
        <f t="shared" si="11"/>
        <v>116514.02998199768</v>
      </c>
    </row>
    <row r="75" spans="1:15" s="220" customFormat="1" x14ac:dyDescent="0.25">
      <c r="A75" s="320">
        <f>'A) Base RI'!A76</f>
        <v>5513</v>
      </c>
      <c r="B75" s="226" t="str">
        <f>'A) Base RI'!B76</f>
        <v>Bioley-Orjulaz</v>
      </c>
      <c r="C75" s="242">
        <v>0</v>
      </c>
      <c r="D75" s="221">
        <f>'B) D RI'!AR76</f>
        <v>516</v>
      </c>
      <c r="E75" s="222">
        <f>'B) D RI'!S76</f>
        <v>68</v>
      </c>
      <c r="F75" s="10">
        <f>'B) D RI'!R76</f>
        <v>1571352.67</v>
      </c>
      <c r="G75" s="10">
        <f>'B) D RI'!U76</f>
        <v>23108.127499999999</v>
      </c>
      <c r="H75" s="42">
        <f>'B) D RI'!T76</f>
        <v>1448120.27</v>
      </c>
      <c r="I75" s="10">
        <f t="shared" si="12"/>
        <v>42591.772647058824</v>
      </c>
      <c r="J75" s="32">
        <f t="shared" si="8"/>
        <v>44231.922642772646</v>
      </c>
      <c r="K75" s="10">
        <f t="shared" si="9"/>
        <v>42591.772647058824</v>
      </c>
      <c r="L75" s="10">
        <f t="shared" si="13"/>
        <v>1640.1499957138221</v>
      </c>
      <c r="M75" s="10">
        <f>'D) Ecrêtage'!M74</f>
        <v>23108.127499999999</v>
      </c>
      <c r="N75" s="10">
        <f t="shared" si="10"/>
        <v>28734.019145473085</v>
      </c>
      <c r="O75" s="58">
        <f t="shared" si="11"/>
        <v>71325.791792531905</v>
      </c>
    </row>
    <row r="76" spans="1:15" s="220" customFormat="1" x14ac:dyDescent="0.25">
      <c r="A76" s="320">
        <f>'A) Base RI'!A77</f>
        <v>5514</v>
      </c>
      <c r="B76" s="226" t="str">
        <f>'A) Base RI'!B77</f>
        <v>Bottens</v>
      </c>
      <c r="C76" s="242">
        <v>0</v>
      </c>
      <c r="D76" s="221">
        <f>'B) D RI'!AR77</f>
        <v>1298</v>
      </c>
      <c r="E76" s="222">
        <f>'B) D RI'!S77</f>
        <v>69</v>
      </c>
      <c r="F76" s="10">
        <f>'B) D RI'!R77</f>
        <v>3091189.7199999993</v>
      </c>
      <c r="G76" s="10">
        <f>'B) D RI'!U77</f>
        <v>44799.851014492742</v>
      </c>
      <c r="H76" s="42">
        <f>'B) D RI'!T77</f>
        <v>2875628.8699999992</v>
      </c>
      <c r="I76" s="10">
        <f t="shared" si="12"/>
        <v>83351.561449275338</v>
      </c>
      <c r="J76" s="32">
        <f t="shared" si="8"/>
        <v>111265.57284945523</v>
      </c>
      <c r="K76" s="10">
        <f t="shared" si="9"/>
        <v>83351.561449275338</v>
      </c>
      <c r="L76" s="10">
        <f t="shared" si="13"/>
        <v>27914.011400179894</v>
      </c>
      <c r="M76" s="10">
        <f>'D) Ecrêtage'!M75</f>
        <v>44799.851014492742</v>
      </c>
      <c r="N76" s="10">
        <f t="shared" si="10"/>
        <v>55706.797392596018</v>
      </c>
      <c r="O76" s="58">
        <f t="shared" si="11"/>
        <v>139058.35884187135</v>
      </c>
    </row>
    <row r="77" spans="1:15" s="220" customFormat="1" x14ac:dyDescent="0.25">
      <c r="A77" s="320">
        <f>'A) Base RI'!A78</f>
        <v>5515</v>
      </c>
      <c r="B77" s="226" t="str">
        <f>'A) Base RI'!B78</f>
        <v>Bretigny-sur-Morrens</v>
      </c>
      <c r="C77" s="242">
        <v>0</v>
      </c>
      <c r="D77" s="221">
        <f>'B) D RI'!AR78</f>
        <v>843</v>
      </c>
      <c r="E77" s="222">
        <f>'B) D RI'!S78</f>
        <v>81</v>
      </c>
      <c r="F77" s="10">
        <f>'B) D RI'!R78</f>
        <v>2341142.9100000006</v>
      </c>
      <c r="G77" s="10">
        <f>'B) D RI'!U78</f>
        <v>28902.998888888895</v>
      </c>
      <c r="H77" s="42">
        <f>'B) D RI'!T78</f>
        <v>2178027.7600000007</v>
      </c>
      <c r="I77" s="10">
        <f t="shared" si="12"/>
        <v>53778.463209876558</v>
      </c>
      <c r="J77" s="32">
        <f t="shared" si="8"/>
        <v>72262.617805925081</v>
      </c>
      <c r="K77" s="10">
        <f t="shared" si="9"/>
        <v>53778.463209876558</v>
      </c>
      <c r="L77" s="10">
        <f t="shared" si="13"/>
        <v>18484.154596048524</v>
      </c>
      <c r="M77" s="10">
        <f>'D) Ecrêtage'!M76</f>
        <v>28902.998888888895</v>
      </c>
      <c r="N77" s="10">
        <f t="shared" si="10"/>
        <v>35939.706643687197</v>
      </c>
      <c r="O77" s="58">
        <f t="shared" si="11"/>
        <v>89718.169853563755</v>
      </c>
    </row>
    <row r="78" spans="1:15" s="220" customFormat="1" x14ac:dyDescent="0.25">
      <c r="A78" s="320">
        <f>'A) Base RI'!A79</f>
        <v>5516</v>
      </c>
      <c r="B78" s="226" t="str">
        <f>'A) Base RI'!B79</f>
        <v>Cugy</v>
      </c>
      <c r="C78" s="242">
        <v>0</v>
      </c>
      <c r="D78" s="221">
        <f>'B) D RI'!AR79</f>
        <v>2742</v>
      </c>
      <c r="E78" s="222">
        <f>'B) D RI'!S79</f>
        <v>78</v>
      </c>
      <c r="F78" s="10">
        <f>'B) D RI'!R79</f>
        <v>8724657.7400000002</v>
      </c>
      <c r="G78" s="10">
        <f>'B) D RI'!U79</f>
        <v>111854.58641025641</v>
      </c>
      <c r="H78" s="42">
        <f>'B) D RI'!T79</f>
        <v>8109719.1899999995</v>
      </c>
      <c r="I78" s="10">
        <f t="shared" si="12"/>
        <v>207941.51769230768</v>
      </c>
      <c r="J78" s="32">
        <f t="shared" si="8"/>
        <v>235046.37962496627</v>
      </c>
      <c r="K78" s="10">
        <f t="shared" si="9"/>
        <v>207941.51769230768</v>
      </c>
      <c r="L78" s="10">
        <f t="shared" si="13"/>
        <v>27104.86193265859</v>
      </c>
      <c r="M78" s="10">
        <f>'D) Ecrêtage'!M77</f>
        <v>111854.58641025641</v>
      </c>
      <c r="N78" s="10">
        <f t="shared" si="10"/>
        <v>139086.64072505577</v>
      </c>
      <c r="O78" s="58">
        <f t="shared" si="11"/>
        <v>347028.15841736342</v>
      </c>
    </row>
    <row r="79" spans="1:15" s="220" customFormat="1" x14ac:dyDescent="0.25">
      <c r="A79" s="320">
        <f>'A) Base RI'!A80</f>
        <v>5518</v>
      </c>
      <c r="B79" s="226" t="str">
        <f>'A) Base RI'!B80</f>
        <v>Echallens</v>
      </c>
      <c r="C79" s="242">
        <v>0</v>
      </c>
      <c r="D79" s="221">
        <f>'B) D RI'!AR80</f>
        <v>5742</v>
      </c>
      <c r="E79" s="222">
        <f>'B) D RI'!S80</f>
        <v>74</v>
      </c>
      <c r="F79" s="10">
        <f>'B) D RI'!R80</f>
        <v>13938800.5</v>
      </c>
      <c r="G79" s="10">
        <f>'B) D RI'!U80</f>
        <v>188362.16891891891</v>
      </c>
      <c r="H79" s="42">
        <f>'B) D RI'!T80</f>
        <v>12787270.399999999</v>
      </c>
      <c r="I79" s="10">
        <f t="shared" si="12"/>
        <v>345601.90270270268</v>
      </c>
      <c r="J79" s="32">
        <f t="shared" si="8"/>
        <v>492208.72057131887</v>
      </c>
      <c r="K79" s="10">
        <f t="shared" si="9"/>
        <v>345601.90270270268</v>
      </c>
      <c r="L79" s="10">
        <f t="shared" si="13"/>
        <v>146606.8178686162</v>
      </c>
      <c r="M79" s="10">
        <f>'D) Ecrêtage'!M78</f>
        <v>188362.16891891891</v>
      </c>
      <c r="N79" s="10">
        <f t="shared" si="10"/>
        <v>234220.7159796505</v>
      </c>
      <c r="O79" s="58">
        <f t="shared" si="11"/>
        <v>579822.61868235318</v>
      </c>
    </row>
    <row r="80" spans="1:15" s="220" customFormat="1" x14ac:dyDescent="0.25">
      <c r="A80" s="320">
        <f>'A) Base RI'!A81</f>
        <v>5520</v>
      </c>
      <c r="B80" s="226" t="str">
        <f>'A) Base RI'!B81</f>
        <v>Essertines-sur-Yverdon</v>
      </c>
      <c r="C80" s="242">
        <v>0</v>
      </c>
      <c r="D80" s="221">
        <f>'B) D RI'!AR81</f>
        <v>1024</v>
      </c>
      <c r="E80" s="222">
        <f>'B) D RI'!S81</f>
        <v>73</v>
      </c>
      <c r="F80" s="10">
        <f>'B) D RI'!R81</f>
        <v>2326267.2399999993</v>
      </c>
      <c r="G80" s="10">
        <f>'B) D RI'!U81</f>
        <v>31866.674520547935</v>
      </c>
      <c r="H80" s="42">
        <f>'B) D RI'!T81</f>
        <v>2150621.3399999994</v>
      </c>
      <c r="I80" s="10">
        <f t="shared" si="12"/>
        <v>58921.132602739708</v>
      </c>
      <c r="J80" s="32">
        <f t="shared" si="8"/>
        <v>87778.079043021688</v>
      </c>
      <c r="K80" s="10">
        <f t="shared" si="9"/>
        <v>58921.132602739708</v>
      </c>
      <c r="L80" s="10">
        <f t="shared" si="13"/>
        <v>28856.946440281979</v>
      </c>
      <c r="M80" s="10">
        <f>'D) Ecrêtage'!M79</f>
        <v>31866.674520547935</v>
      </c>
      <c r="N80" s="10">
        <f t="shared" si="10"/>
        <v>39624.917067641407</v>
      </c>
      <c r="O80" s="58">
        <f t="shared" si="11"/>
        <v>98546.049670381122</v>
      </c>
    </row>
    <row r="81" spans="1:15" s="220" customFormat="1" x14ac:dyDescent="0.25">
      <c r="A81" s="320">
        <f>'A) Base RI'!A82</f>
        <v>5521</v>
      </c>
      <c r="B81" s="226" t="str">
        <f>'A) Base RI'!B82</f>
        <v>Etagnières</v>
      </c>
      <c r="C81" s="242">
        <v>0</v>
      </c>
      <c r="D81" s="221">
        <f>'B) D RI'!AR82</f>
        <v>1118</v>
      </c>
      <c r="E81" s="222">
        <f>'B) D RI'!S82</f>
        <v>73</v>
      </c>
      <c r="F81" s="10">
        <f>'B) D RI'!R82</f>
        <v>3137943.58</v>
      </c>
      <c r="G81" s="10">
        <f>'B) D RI'!U82</f>
        <v>42985.528493150683</v>
      </c>
      <c r="H81" s="42">
        <f>'B) D RI'!T82</f>
        <v>2879257.63</v>
      </c>
      <c r="I81" s="10">
        <f t="shared" si="12"/>
        <v>78883.7706849315</v>
      </c>
      <c r="J81" s="32">
        <f t="shared" si="8"/>
        <v>95835.83239267407</v>
      </c>
      <c r="K81" s="10">
        <f t="shared" si="9"/>
        <v>78883.7706849315</v>
      </c>
      <c r="L81" s="10">
        <f t="shared" si="13"/>
        <v>16952.06170774257</v>
      </c>
      <c r="M81" s="10">
        <f>'D) Ecrêtage'!M80</f>
        <v>42985.528493150683</v>
      </c>
      <c r="N81" s="10">
        <f t="shared" si="10"/>
        <v>53450.760936837942</v>
      </c>
      <c r="O81" s="58">
        <f t="shared" si="11"/>
        <v>132334.53162176945</v>
      </c>
    </row>
    <row r="82" spans="1:15" s="220" customFormat="1" x14ac:dyDescent="0.25">
      <c r="A82" s="320">
        <f>'A) Base RI'!A83</f>
        <v>5522</v>
      </c>
      <c r="B82" s="226" t="str">
        <f>'A) Base RI'!B83</f>
        <v>Fey</v>
      </c>
      <c r="C82" s="242">
        <v>0</v>
      </c>
      <c r="D82" s="221">
        <f>'B) D RI'!AR83</f>
        <v>734</v>
      </c>
      <c r="E82" s="222">
        <f>'B) D RI'!S83</f>
        <v>75</v>
      </c>
      <c r="F82" s="10">
        <f>'B) D RI'!R83</f>
        <v>1643511.5899999996</v>
      </c>
      <c r="G82" s="10">
        <f>'B) D RI'!U83</f>
        <v>21913.487866666663</v>
      </c>
      <c r="H82" s="42">
        <f>'B) D RI'!T83</f>
        <v>1520226.2899999998</v>
      </c>
      <c r="I82" s="10">
        <f t="shared" si="12"/>
        <v>40539.367733333325</v>
      </c>
      <c r="J82" s="32">
        <f t="shared" si="8"/>
        <v>62919.052751540934</v>
      </c>
      <c r="K82" s="10">
        <f t="shared" si="9"/>
        <v>40539.367733333325</v>
      </c>
      <c r="L82" s="10">
        <f t="shared" si="13"/>
        <v>22379.685018207609</v>
      </c>
      <c r="M82" s="10">
        <f>'D) Ecrêtage'!M81</f>
        <v>21913.487866666663</v>
      </c>
      <c r="N82" s="10">
        <f t="shared" si="10"/>
        <v>27248.533222992304</v>
      </c>
      <c r="O82" s="58">
        <f t="shared" si="11"/>
        <v>67787.900956325626</v>
      </c>
    </row>
    <row r="83" spans="1:15" s="220" customFormat="1" x14ac:dyDescent="0.25">
      <c r="A83" s="320">
        <f>'A) Base RI'!A84</f>
        <v>5523</v>
      </c>
      <c r="B83" s="226" t="str">
        <f>'A) Base RI'!B84</f>
        <v>Froideville</v>
      </c>
      <c r="C83" s="242">
        <v>0</v>
      </c>
      <c r="D83" s="221">
        <f>'B) D RI'!AR84</f>
        <v>2576</v>
      </c>
      <c r="E83" s="222">
        <f>'B) D RI'!S84</f>
        <v>76</v>
      </c>
      <c r="F83" s="10">
        <f>'B) D RI'!R84</f>
        <v>6322550.8999999994</v>
      </c>
      <c r="G83" s="10">
        <f>'B) D RI'!U84</f>
        <v>83191.459210526315</v>
      </c>
      <c r="H83" s="42">
        <f>'B) D RI'!T84</f>
        <v>5801967.5599999996</v>
      </c>
      <c r="I83" s="10">
        <f t="shared" si="12"/>
        <v>152683.35684210525</v>
      </c>
      <c r="J83" s="32">
        <f t="shared" si="8"/>
        <v>220816.73009260144</v>
      </c>
      <c r="K83" s="10">
        <f t="shared" si="9"/>
        <v>152683.35684210525</v>
      </c>
      <c r="L83" s="10">
        <f t="shared" si="13"/>
        <v>68133.373250496195</v>
      </c>
      <c r="M83" s="10">
        <f>'D) Ecrêtage'!M82</f>
        <v>83191.459210526315</v>
      </c>
      <c r="N83" s="10">
        <f t="shared" si="10"/>
        <v>103445.20479623918</v>
      </c>
      <c r="O83" s="58">
        <f t="shared" si="11"/>
        <v>256128.56163834443</v>
      </c>
    </row>
    <row r="84" spans="1:15" s="220" customFormat="1" x14ac:dyDescent="0.25">
      <c r="A84" s="320">
        <f>'A) Base RI'!A85</f>
        <v>5527</v>
      </c>
      <c r="B84" s="226" t="str">
        <f>'A) Base RI'!B85</f>
        <v>Morrens</v>
      </c>
      <c r="C84" s="242">
        <v>0</v>
      </c>
      <c r="D84" s="221">
        <f>'B) D RI'!AR85</f>
        <v>1077</v>
      </c>
      <c r="E84" s="222">
        <f>'B) D RI'!S85</f>
        <v>74</v>
      </c>
      <c r="F84" s="10">
        <f>'B) D RI'!R85</f>
        <v>2799631.2100000004</v>
      </c>
      <c r="G84" s="10">
        <f>'B) D RI'!U85</f>
        <v>37832.854189189195</v>
      </c>
      <c r="H84" s="42">
        <f>'B) D RI'!T85</f>
        <v>2579290.0100000002</v>
      </c>
      <c r="I84" s="10">
        <f t="shared" si="12"/>
        <v>69710.540810810824</v>
      </c>
      <c r="J84" s="32">
        <f t="shared" si="8"/>
        <v>92321.280399740586</v>
      </c>
      <c r="K84" s="10">
        <f t="shared" si="9"/>
        <v>69710.540810810824</v>
      </c>
      <c r="L84" s="10">
        <f t="shared" si="13"/>
        <v>22610.739588929762</v>
      </c>
      <c r="M84" s="10">
        <f>'D) Ecrêtage'!M83</f>
        <v>37832.854189189195</v>
      </c>
      <c r="N84" s="10">
        <f t="shared" si="10"/>
        <v>47043.619462462026</v>
      </c>
      <c r="O84" s="58">
        <f t="shared" si="11"/>
        <v>116754.16027327285</v>
      </c>
    </row>
    <row r="85" spans="1:15" s="220" customFormat="1" x14ac:dyDescent="0.25">
      <c r="A85" s="320">
        <f>'A) Base RI'!A86</f>
        <v>5529</v>
      </c>
      <c r="B85" s="226" t="str">
        <f>'A) Base RI'!B86</f>
        <v>Oulens-sous-Echallens</v>
      </c>
      <c r="C85" s="242">
        <v>0</v>
      </c>
      <c r="D85" s="221">
        <f>'B) D RI'!AR86</f>
        <v>611</v>
      </c>
      <c r="E85" s="222">
        <f>'B) D RI'!S86</f>
        <v>71</v>
      </c>
      <c r="F85" s="10">
        <f>'B) D RI'!R86</f>
        <v>1516464.11</v>
      </c>
      <c r="G85" s="10">
        <f>'B) D RI'!U86</f>
        <v>21358.649436619718</v>
      </c>
      <c r="H85" s="42">
        <f>'B) D RI'!T86</f>
        <v>1407710.6600000001</v>
      </c>
      <c r="I85" s="10">
        <f t="shared" si="12"/>
        <v>39653.821408450705</v>
      </c>
      <c r="J85" s="32">
        <f t="shared" si="8"/>
        <v>52375.396772740482</v>
      </c>
      <c r="K85" s="10">
        <f t="shared" si="9"/>
        <v>39653.821408450705</v>
      </c>
      <c r="L85" s="10">
        <f t="shared" si="13"/>
        <v>12721.575364289776</v>
      </c>
      <c r="M85" s="10">
        <f>'D) Ecrêtage'!M84</f>
        <v>21358.649436619718</v>
      </c>
      <c r="N85" s="10">
        <f t="shared" si="10"/>
        <v>26558.614142720086</v>
      </c>
      <c r="O85" s="58">
        <f t="shared" si="11"/>
        <v>66212.435551170784</v>
      </c>
    </row>
    <row r="86" spans="1:15" s="220" customFormat="1" x14ac:dyDescent="0.25">
      <c r="A86" s="320">
        <f>'A) Base RI'!A87</f>
        <v>5530</v>
      </c>
      <c r="B86" s="226" t="str">
        <f>'A) Base RI'!B87</f>
        <v>Pailly</v>
      </c>
      <c r="C86" s="242">
        <v>0</v>
      </c>
      <c r="D86" s="221">
        <f>'B) D RI'!AR87</f>
        <v>561</v>
      </c>
      <c r="E86" s="222">
        <f>'B) D RI'!S87</f>
        <v>77.5</v>
      </c>
      <c r="F86" s="10">
        <f>'B) D RI'!R87</f>
        <v>1334211.4666666668</v>
      </c>
      <c r="G86" s="10">
        <f>'B) D RI'!U87</f>
        <v>17215.63182795699</v>
      </c>
      <c r="H86" s="42">
        <f>'B) D RI'!T87</f>
        <v>1250579.55</v>
      </c>
      <c r="I86" s="10">
        <f t="shared" si="12"/>
        <v>32273.02064516129</v>
      </c>
      <c r="J86" s="32">
        <f t="shared" si="8"/>
        <v>48089.357756967933</v>
      </c>
      <c r="K86" s="10">
        <f t="shared" si="9"/>
        <v>32273.02064516129</v>
      </c>
      <c r="L86" s="10">
        <f t="shared" si="13"/>
        <v>15816.337111806642</v>
      </c>
      <c r="M86" s="10">
        <f>'D) Ecrêtage'!M85</f>
        <v>17215.63182795699</v>
      </c>
      <c r="N86" s="10">
        <f t="shared" si="10"/>
        <v>21406.939811368618</v>
      </c>
      <c r="O86" s="58">
        <f t="shared" si="11"/>
        <v>53679.960456529909</v>
      </c>
    </row>
    <row r="87" spans="1:15" s="220" customFormat="1" x14ac:dyDescent="0.25">
      <c r="A87" s="320">
        <f>'A) Base RI'!A88</f>
        <v>5531</v>
      </c>
      <c r="B87" s="226" t="str">
        <f>'A) Base RI'!B88</f>
        <v>Penthéréaz</v>
      </c>
      <c r="C87" s="242">
        <v>0</v>
      </c>
      <c r="D87" s="221">
        <f>'B) D RI'!AR88</f>
        <v>421</v>
      </c>
      <c r="E87" s="222">
        <f>'B) D RI'!S88</f>
        <v>78</v>
      </c>
      <c r="F87" s="10">
        <f>'B) D RI'!R88</f>
        <v>1168682.2000000002</v>
      </c>
      <c r="G87" s="10">
        <f>'B) D RI'!U88</f>
        <v>14983.10512820513</v>
      </c>
      <c r="H87" s="42">
        <f>'B) D RI'!T88</f>
        <v>1092794.2000000002</v>
      </c>
      <c r="I87" s="10">
        <f t="shared" si="12"/>
        <v>28020.364102564108</v>
      </c>
      <c r="J87" s="32">
        <f t="shared" si="8"/>
        <v>36088.448512804818</v>
      </c>
      <c r="K87" s="10">
        <f t="shared" si="9"/>
        <v>28020.364102564108</v>
      </c>
      <c r="L87" s="10">
        <f t="shared" si="13"/>
        <v>8068.08441024071</v>
      </c>
      <c r="M87" s="10">
        <f>'D) Ecrêtage'!M86</f>
        <v>14983.10512820513</v>
      </c>
      <c r="N87" s="10">
        <f t="shared" si="10"/>
        <v>18630.883424564894</v>
      </c>
      <c r="O87" s="58">
        <f t="shared" si="11"/>
        <v>46651.247527129002</v>
      </c>
    </row>
    <row r="88" spans="1:15" s="220" customFormat="1" x14ac:dyDescent="0.25">
      <c r="A88" s="320">
        <f>'A) Base RI'!A89</f>
        <v>5533</v>
      </c>
      <c r="B88" s="226" t="str">
        <f>'A) Base RI'!B89</f>
        <v>Poliez-Pittet</v>
      </c>
      <c r="C88" s="242">
        <v>0</v>
      </c>
      <c r="D88" s="221">
        <f>'B) D RI'!AR89</f>
        <v>846</v>
      </c>
      <c r="E88" s="222">
        <f>'B) D RI'!S89</f>
        <v>71</v>
      </c>
      <c r="F88" s="10">
        <f>'B) D RI'!R89</f>
        <v>1828194.66</v>
      </c>
      <c r="G88" s="10">
        <f>'B) D RI'!U89</f>
        <v>25749.220563380281</v>
      </c>
      <c r="H88" s="42">
        <f>'B) D RI'!T89</f>
        <v>1681538.91</v>
      </c>
      <c r="I88" s="10">
        <f t="shared" si="12"/>
        <v>47367.293239436614</v>
      </c>
      <c r="J88" s="32">
        <f t="shared" si="8"/>
        <v>72519.780146871431</v>
      </c>
      <c r="K88" s="10">
        <f t="shared" si="9"/>
        <v>47367.293239436614</v>
      </c>
      <c r="L88" s="10">
        <f t="shared" si="13"/>
        <v>25152.486907434817</v>
      </c>
      <c r="M88" s="10">
        <f>'D) Ecrêtage'!M87</f>
        <v>25749.220563380281</v>
      </c>
      <c r="N88" s="10">
        <f t="shared" si="10"/>
        <v>32018.111231607938</v>
      </c>
      <c r="O88" s="58">
        <f t="shared" si="11"/>
        <v>79385.404471044545</v>
      </c>
    </row>
    <row r="89" spans="1:15" s="220" customFormat="1" x14ac:dyDescent="0.25">
      <c r="A89" s="320">
        <f>'A) Base RI'!A90</f>
        <v>5534</v>
      </c>
      <c r="B89" s="226" t="str">
        <f>'A) Base RI'!B90</f>
        <v>Rueyres</v>
      </c>
      <c r="C89" s="242">
        <v>0</v>
      </c>
      <c r="D89" s="221">
        <f>'B) D RI'!AR90</f>
        <v>255</v>
      </c>
      <c r="E89" s="222">
        <f>'B) D RI'!S90</f>
        <v>73</v>
      </c>
      <c r="F89" s="10">
        <f>'B) D RI'!R90</f>
        <v>661491.05000000005</v>
      </c>
      <c r="G89" s="10">
        <f>'B) D RI'!U90</f>
        <v>9061.5212328767138</v>
      </c>
      <c r="H89" s="42">
        <f>'B) D RI'!T90</f>
        <v>588242.30000000005</v>
      </c>
      <c r="I89" s="10">
        <f t="shared" si="12"/>
        <v>16116.227397260276</v>
      </c>
      <c r="J89" s="32">
        <f t="shared" si="8"/>
        <v>21858.798980439969</v>
      </c>
      <c r="K89" s="10">
        <f t="shared" si="9"/>
        <v>16116.227397260276</v>
      </c>
      <c r="L89" s="10">
        <f t="shared" si="13"/>
        <v>5742.5715831796933</v>
      </c>
      <c r="M89" s="10">
        <f>'D) Ecrêtage'!M88</f>
        <v>9061.5212328767138</v>
      </c>
      <c r="N89" s="10">
        <f t="shared" si="10"/>
        <v>11267.634064793454</v>
      </c>
      <c r="O89" s="58">
        <f t="shared" si="11"/>
        <v>27383.86146205373</v>
      </c>
    </row>
    <row r="90" spans="1:15" s="220" customFormat="1" x14ac:dyDescent="0.25">
      <c r="A90" s="320">
        <f>'A) Base RI'!A91</f>
        <v>5535</v>
      </c>
      <c r="B90" s="226" t="str">
        <f>'A) Base RI'!B91</f>
        <v>Saint-Barthélemy</v>
      </c>
      <c r="C90" s="242">
        <v>0</v>
      </c>
      <c r="D90" s="221">
        <f>'B) D RI'!AR91</f>
        <v>778</v>
      </c>
      <c r="E90" s="222">
        <f>'B) D RI'!S91</f>
        <v>77</v>
      </c>
      <c r="F90" s="10">
        <f>'B) D RI'!R91</f>
        <v>1693450.6099999999</v>
      </c>
      <c r="G90" s="10">
        <f>'B) D RI'!U91</f>
        <v>21992.865064935064</v>
      </c>
      <c r="H90" s="42">
        <f>'B) D RI'!T91</f>
        <v>1559784.0099999998</v>
      </c>
      <c r="I90" s="10">
        <f t="shared" si="12"/>
        <v>40513.870389610383</v>
      </c>
      <c r="J90" s="32">
        <f t="shared" si="8"/>
        <v>66690.767085420768</v>
      </c>
      <c r="K90" s="10">
        <f t="shared" si="9"/>
        <v>40513.870389610383</v>
      </c>
      <c r="L90" s="10">
        <f t="shared" si="13"/>
        <v>26176.896695810385</v>
      </c>
      <c r="M90" s="10">
        <f>'D) Ecrêtage'!M89</f>
        <v>21992.865064935064</v>
      </c>
      <c r="N90" s="10">
        <f t="shared" si="10"/>
        <v>27347.235549035737</v>
      </c>
      <c r="O90" s="58">
        <f t="shared" si="11"/>
        <v>67861.105938646127</v>
      </c>
    </row>
    <row r="91" spans="1:15" s="220" customFormat="1" x14ac:dyDescent="0.25">
      <c r="A91" s="320">
        <f>'A) Base RI'!A92</f>
        <v>5537</v>
      </c>
      <c r="B91" s="226" t="str">
        <f>'A) Base RI'!B92</f>
        <v>Villars-le-Terroir</v>
      </c>
      <c r="C91" s="242">
        <v>0</v>
      </c>
      <c r="D91" s="221">
        <f>'B) D RI'!AR92</f>
        <v>1213</v>
      </c>
      <c r="E91" s="222">
        <f>'B) D RI'!S92</f>
        <v>73</v>
      </c>
      <c r="F91" s="10">
        <f>'B) D RI'!R92</f>
        <v>2732087.3149999999</v>
      </c>
      <c r="G91" s="10">
        <f>'B) D RI'!U92</f>
        <v>37425.853630136982</v>
      </c>
      <c r="H91" s="42">
        <f>'B) D RI'!T92</f>
        <v>2520754.09</v>
      </c>
      <c r="I91" s="10">
        <f t="shared" si="12"/>
        <v>69061.755890410961</v>
      </c>
      <c r="J91" s="32">
        <f t="shared" si="8"/>
        <v>103979.3065226419</v>
      </c>
      <c r="K91" s="10">
        <f t="shared" si="9"/>
        <v>69061.755890410961</v>
      </c>
      <c r="L91" s="10">
        <f t="shared" si="13"/>
        <v>34917.550632230937</v>
      </c>
      <c r="M91" s="10">
        <f>'D) Ecrêtage'!M90</f>
        <v>37425.853630136982</v>
      </c>
      <c r="N91" s="10">
        <f t="shared" si="10"/>
        <v>46537.530777603228</v>
      </c>
      <c r="O91" s="58">
        <f t="shared" si="11"/>
        <v>115599.28666801419</v>
      </c>
    </row>
    <row r="92" spans="1:15" s="220" customFormat="1" x14ac:dyDescent="0.25">
      <c r="A92" s="320">
        <f>'A) Base RI'!A93</f>
        <v>5539</v>
      </c>
      <c r="B92" s="226" t="str">
        <f>'A) Base RI'!B93</f>
        <v>Vuarrens</v>
      </c>
      <c r="C92" s="242">
        <v>0</v>
      </c>
      <c r="D92" s="221">
        <f>'B) D RI'!AR93</f>
        <v>1001</v>
      </c>
      <c r="E92" s="222">
        <f>'B) D RI'!S93</f>
        <v>75</v>
      </c>
      <c r="F92" s="10">
        <f>'B) D RI'!R93</f>
        <v>2167137.9350000001</v>
      </c>
      <c r="G92" s="10">
        <f>'B) D RI'!U93</f>
        <v>28895.172466666667</v>
      </c>
      <c r="H92" s="42">
        <f>'B) D RI'!T93</f>
        <v>1988164.36</v>
      </c>
      <c r="I92" s="10">
        <f t="shared" si="12"/>
        <v>53017.71626666667</v>
      </c>
      <c r="J92" s="32">
        <f t="shared" si="8"/>
        <v>85806.501095766318</v>
      </c>
      <c r="K92" s="10">
        <f t="shared" si="9"/>
        <v>53017.71626666667</v>
      </c>
      <c r="L92" s="10">
        <f t="shared" si="13"/>
        <v>32788.784829099648</v>
      </c>
      <c r="M92" s="10">
        <f>'D) Ecrêtage'!M91</f>
        <v>28895.172466666667</v>
      </c>
      <c r="N92" s="10">
        <f t="shared" si="10"/>
        <v>35929.974805139311</v>
      </c>
      <c r="O92" s="58">
        <f t="shared" si="11"/>
        <v>88947.691071805981</v>
      </c>
    </row>
    <row r="93" spans="1:15" s="220" customFormat="1" x14ac:dyDescent="0.25">
      <c r="A93" s="320">
        <f>'A) Base RI'!A94</f>
        <v>5540</v>
      </c>
      <c r="B93" s="226" t="str">
        <f>'A) Base RI'!B94</f>
        <v>Montilliez</v>
      </c>
      <c r="C93" s="242">
        <v>0</v>
      </c>
      <c r="D93" s="221">
        <f>'B) D RI'!AR94</f>
        <v>1781</v>
      </c>
      <c r="E93" s="222">
        <f>'B) D RI'!S94</f>
        <v>74</v>
      </c>
      <c r="F93" s="10">
        <f>'B) D RI'!R94</f>
        <v>4409171.0799999991</v>
      </c>
      <c r="G93" s="10">
        <f>'B) D RI'!U94</f>
        <v>59583.392972972964</v>
      </c>
      <c r="H93" s="42">
        <f>'B) D RI'!T94</f>
        <v>4090150.9799999995</v>
      </c>
      <c r="I93" s="10">
        <f t="shared" si="12"/>
        <v>110544.62108108107</v>
      </c>
      <c r="J93" s="32">
        <f t="shared" si="8"/>
        <v>152668.70974181799</v>
      </c>
      <c r="K93" s="10">
        <f t="shared" si="9"/>
        <v>110544.62108108107</v>
      </c>
      <c r="L93" s="10">
        <f t="shared" si="13"/>
        <v>42124.088660736918</v>
      </c>
      <c r="M93" s="10">
        <f>'D) Ecrêtage'!M92</f>
        <v>59583.392972972964</v>
      </c>
      <c r="N93" s="10">
        <f t="shared" si="10"/>
        <v>74089.532111057109</v>
      </c>
      <c r="O93" s="58">
        <f t="shared" si="11"/>
        <v>184634.15319213818</v>
      </c>
    </row>
    <row r="94" spans="1:15" s="220" customFormat="1" x14ac:dyDescent="0.25">
      <c r="A94" s="320">
        <f>'A) Base RI'!A95</f>
        <v>5541</v>
      </c>
      <c r="B94" s="226" t="str">
        <f>'A) Base RI'!B95</f>
        <v>Goumoëns</v>
      </c>
      <c r="C94" s="242">
        <v>0</v>
      </c>
      <c r="D94" s="221">
        <f>'B) D RI'!AR95</f>
        <v>1119</v>
      </c>
      <c r="E94" s="222">
        <f>'B) D RI'!S95</f>
        <v>77</v>
      </c>
      <c r="F94" s="10">
        <f>'B) D RI'!R95</f>
        <v>2776932.7399999998</v>
      </c>
      <c r="G94" s="10">
        <f>'B) D RI'!U95</f>
        <v>36064.061558441557</v>
      </c>
      <c r="H94" s="42">
        <f>'B) D RI'!T95</f>
        <v>2571481.7399999998</v>
      </c>
      <c r="I94" s="10">
        <f t="shared" si="12"/>
        <v>66791.733506493503</v>
      </c>
      <c r="J94" s="32">
        <f t="shared" si="8"/>
        <v>95921.553172989516</v>
      </c>
      <c r="K94" s="10">
        <f t="shared" si="9"/>
        <v>66791.733506493503</v>
      </c>
      <c r="L94" s="10">
        <f t="shared" si="13"/>
        <v>29129.819666496012</v>
      </c>
      <c r="M94" s="10">
        <f>'D) Ecrêtage'!M93</f>
        <v>36064.061558441557</v>
      </c>
      <c r="N94" s="10">
        <f t="shared" si="10"/>
        <v>44844.197578699517</v>
      </c>
      <c r="O94" s="58">
        <f t="shared" si="11"/>
        <v>111635.93108519302</v>
      </c>
    </row>
    <row r="95" spans="1:15" s="220" customFormat="1" x14ac:dyDescent="0.25">
      <c r="A95" s="320">
        <f>'A) Base RI'!A96</f>
        <v>5551</v>
      </c>
      <c r="B95" s="226" t="str">
        <f>'A) Base RI'!B96</f>
        <v>Bonvillars</v>
      </c>
      <c r="C95" s="242">
        <v>0</v>
      </c>
      <c r="D95" s="221">
        <f>'B) D RI'!AR96</f>
        <v>505</v>
      </c>
      <c r="E95" s="222">
        <f>'B) D RI'!S96</f>
        <v>55</v>
      </c>
      <c r="F95" s="10">
        <f>'B) D RI'!R96</f>
        <v>1275728.6599999999</v>
      </c>
      <c r="G95" s="10">
        <f>'B) D RI'!U96</f>
        <v>23195.066545454545</v>
      </c>
      <c r="H95" s="42">
        <f>'B) D RI'!T96</f>
        <v>1151558.6599999999</v>
      </c>
      <c r="I95" s="10">
        <f t="shared" si="12"/>
        <v>41874.860363636362</v>
      </c>
      <c r="J95" s="32">
        <f t="shared" si="8"/>
        <v>43288.994059302691</v>
      </c>
      <c r="K95" s="10">
        <f t="shared" si="9"/>
        <v>41874.860363636362</v>
      </c>
      <c r="L95" s="10">
        <f t="shared" si="13"/>
        <v>1414.133695666329</v>
      </c>
      <c r="M95" s="10">
        <f>'D) Ecrêtage'!M94</f>
        <v>23195.066545454545</v>
      </c>
      <c r="N95" s="10">
        <f t="shared" si="10"/>
        <v>28842.12432173975</v>
      </c>
      <c r="O95" s="58">
        <f t="shared" si="11"/>
        <v>70716.984685376112</v>
      </c>
    </row>
    <row r="96" spans="1:15" s="220" customFormat="1" x14ac:dyDescent="0.25">
      <c r="A96" s="320">
        <f>'A) Base RI'!A97</f>
        <v>5552</v>
      </c>
      <c r="B96" s="226" t="str">
        <f>'A) Base RI'!B97</f>
        <v>Bullet</v>
      </c>
      <c r="C96" s="242">
        <v>0</v>
      </c>
      <c r="D96" s="221">
        <f>'B) D RI'!AR97</f>
        <v>655</v>
      </c>
      <c r="E96" s="222">
        <f>'B) D RI'!S97</f>
        <v>73</v>
      </c>
      <c r="F96" s="10">
        <f>'B) D RI'!R97</f>
        <v>1298593.6500000001</v>
      </c>
      <c r="G96" s="10">
        <f>'B) D RI'!U97</f>
        <v>17788.954109589042</v>
      </c>
      <c r="H96" s="42">
        <f>'B) D RI'!T97</f>
        <v>1185758.8000000003</v>
      </c>
      <c r="I96" s="10">
        <f t="shared" si="12"/>
        <v>32486.542465753431</v>
      </c>
      <c r="J96" s="32">
        <f t="shared" si="8"/>
        <v>56147.111106620316</v>
      </c>
      <c r="K96" s="10">
        <f t="shared" si="9"/>
        <v>32486.542465753431</v>
      </c>
      <c r="L96" s="10">
        <f t="shared" si="13"/>
        <v>23660.568640866884</v>
      </c>
      <c r="M96" s="10">
        <f>'D) Ecrêtage'!M95</f>
        <v>17788.954109589042</v>
      </c>
      <c r="N96" s="10">
        <f t="shared" si="10"/>
        <v>22119.842811273811</v>
      </c>
      <c r="O96" s="58">
        <f t="shared" si="11"/>
        <v>54606.385277027242</v>
      </c>
    </row>
    <row r="97" spans="1:15" s="220" customFormat="1" x14ac:dyDescent="0.25">
      <c r="A97" s="320">
        <f>'A) Base RI'!A98</f>
        <v>5553</v>
      </c>
      <c r="B97" s="226" t="str">
        <f>'A) Base RI'!B98</f>
        <v>Champagne</v>
      </c>
      <c r="C97" s="242">
        <v>0</v>
      </c>
      <c r="D97" s="221">
        <f>'B) D RI'!AR98</f>
        <v>1034</v>
      </c>
      <c r="E97" s="222">
        <f>'B) D RI'!S98</f>
        <v>65</v>
      </c>
      <c r="F97" s="10">
        <f>'B) D RI'!R98</f>
        <v>2509389.2499999995</v>
      </c>
      <c r="G97" s="10">
        <f>'B) D RI'!U98</f>
        <v>38605.988461538451</v>
      </c>
      <c r="H97" s="42">
        <f>'B) D RI'!T98</f>
        <v>2259234.1999999997</v>
      </c>
      <c r="I97" s="10">
        <f t="shared" si="12"/>
        <v>69514.898461538454</v>
      </c>
      <c r="J97" s="32">
        <f t="shared" si="8"/>
        <v>88635.286846176197</v>
      </c>
      <c r="K97" s="10">
        <f t="shared" si="9"/>
        <v>69514.898461538454</v>
      </c>
      <c r="L97" s="10">
        <f t="shared" si="13"/>
        <v>19120.388384637743</v>
      </c>
      <c r="M97" s="10">
        <f>'D) Ecrêtage'!M96</f>
        <v>38605.988461538451</v>
      </c>
      <c r="N97" s="10">
        <f t="shared" si="10"/>
        <v>48004.980567281316</v>
      </c>
      <c r="O97" s="58">
        <f t="shared" si="11"/>
        <v>117519.87902881976</v>
      </c>
    </row>
    <row r="98" spans="1:15" s="220" customFormat="1" x14ac:dyDescent="0.25">
      <c r="A98" s="320">
        <f>'A) Base RI'!A99</f>
        <v>5554</v>
      </c>
      <c r="B98" s="226" t="str">
        <f>'A) Base RI'!B99</f>
        <v>Concise</v>
      </c>
      <c r="C98" s="242">
        <v>0</v>
      </c>
      <c r="D98" s="221">
        <f>'B) D RI'!AR99</f>
        <v>995</v>
      </c>
      <c r="E98" s="222">
        <f>'B) D RI'!S99</f>
        <v>75</v>
      </c>
      <c r="F98" s="10">
        <f>'B) D RI'!R99</f>
        <v>2240986.21</v>
      </c>
      <c r="G98" s="10">
        <f>'B) D RI'!U99</f>
        <v>29879.816133333334</v>
      </c>
      <c r="H98" s="42">
        <f>'B) D RI'!T99</f>
        <v>2063636.91</v>
      </c>
      <c r="I98" s="10">
        <f t="shared" si="12"/>
        <v>55030.317599999995</v>
      </c>
      <c r="J98" s="32">
        <f t="shared" si="8"/>
        <v>85292.176413873618</v>
      </c>
      <c r="K98" s="10">
        <f t="shared" si="9"/>
        <v>55030.317599999995</v>
      </c>
      <c r="L98" s="10">
        <f t="shared" si="13"/>
        <v>30261.858813873623</v>
      </c>
      <c r="M98" s="10">
        <f>'D) Ecrêtage'!M97</f>
        <v>29879.816133333334</v>
      </c>
      <c r="N98" s="10">
        <f t="shared" si="10"/>
        <v>37154.339261734451</v>
      </c>
      <c r="O98" s="58">
        <f t="shared" si="11"/>
        <v>92184.656861734446</v>
      </c>
    </row>
    <row r="99" spans="1:15" s="220" customFormat="1" x14ac:dyDescent="0.25">
      <c r="A99" s="320">
        <f>'A) Base RI'!A100</f>
        <v>5555</v>
      </c>
      <c r="B99" s="226" t="str">
        <f>'A) Base RI'!B100</f>
        <v>Corcelles-près-Concise</v>
      </c>
      <c r="C99" s="242">
        <v>0</v>
      </c>
      <c r="D99" s="221">
        <f>'B) D RI'!AR100</f>
        <v>401</v>
      </c>
      <c r="E99" s="222">
        <f>'B) D RI'!S100</f>
        <v>71</v>
      </c>
      <c r="F99" s="10">
        <f>'B) D RI'!R100</f>
        <v>924370.07000000007</v>
      </c>
      <c r="G99" s="10">
        <f>'B) D RI'!U100</f>
        <v>13019.29676056338</v>
      </c>
      <c r="H99" s="42">
        <f>'B) D RI'!T100</f>
        <v>838278.42</v>
      </c>
      <c r="I99" s="10">
        <f t="shared" si="12"/>
        <v>23613.476619718313</v>
      </c>
      <c r="J99" s="32">
        <f t="shared" si="8"/>
        <v>34374.032906495799</v>
      </c>
      <c r="K99" s="10">
        <f t="shared" si="9"/>
        <v>23613.476619718313</v>
      </c>
      <c r="L99" s="10">
        <f t="shared" si="13"/>
        <v>10760.556286777486</v>
      </c>
      <c r="M99" s="10">
        <f>'D) Ecrêtage'!M98</f>
        <v>13019.29676056338</v>
      </c>
      <c r="N99" s="10">
        <f t="shared" si="10"/>
        <v>16188.967382953202</v>
      </c>
      <c r="O99" s="58">
        <f t="shared" si="11"/>
        <v>39802.444002671517</v>
      </c>
    </row>
    <row r="100" spans="1:15" s="220" customFormat="1" x14ac:dyDescent="0.25">
      <c r="A100" s="320">
        <f>'A) Base RI'!A101</f>
        <v>5556</v>
      </c>
      <c r="B100" s="226" t="str">
        <f>'A) Base RI'!B101</f>
        <v>Fiez</v>
      </c>
      <c r="C100" s="242">
        <v>0</v>
      </c>
      <c r="D100" s="221">
        <f>'B) D RI'!AR101</f>
        <v>447</v>
      </c>
      <c r="E100" s="222">
        <f>'B) D RI'!S101</f>
        <v>69</v>
      </c>
      <c r="F100" s="10">
        <f>'B) D RI'!R101</f>
        <v>875142.9833333334</v>
      </c>
      <c r="G100" s="10">
        <f>'B) D RI'!U101</f>
        <v>12683.231642512079</v>
      </c>
      <c r="H100" s="42">
        <f>'B) D RI'!T101</f>
        <v>805513.15</v>
      </c>
      <c r="I100" s="10">
        <f t="shared" si="12"/>
        <v>23348.207246376813</v>
      </c>
      <c r="J100" s="32">
        <f t="shared" si="8"/>
        <v>38317.188801006538</v>
      </c>
      <c r="K100" s="10">
        <f t="shared" si="9"/>
        <v>23348.207246376813</v>
      </c>
      <c r="L100" s="10">
        <f t="shared" si="13"/>
        <v>14968.981554629725</v>
      </c>
      <c r="M100" s="10">
        <f>'D) Ecrêtage'!M99</f>
        <v>12683.231642512079</v>
      </c>
      <c r="N100" s="10">
        <f t="shared" si="10"/>
        <v>15771.084041422748</v>
      </c>
      <c r="O100" s="58">
        <f t="shared" si="11"/>
        <v>39119.291287799562</v>
      </c>
    </row>
    <row r="101" spans="1:15" s="220" customFormat="1" x14ac:dyDescent="0.25">
      <c r="A101" s="320">
        <f>'A) Base RI'!A102</f>
        <v>5557</v>
      </c>
      <c r="B101" s="226" t="str">
        <f>'A) Base RI'!B102</f>
        <v>Fontaines-sur-Grandson</v>
      </c>
      <c r="C101" s="242">
        <v>0</v>
      </c>
      <c r="D101" s="221">
        <f>'B) D RI'!AR102</f>
        <v>218</v>
      </c>
      <c r="E101" s="222">
        <f>'B) D RI'!S102</f>
        <v>69</v>
      </c>
      <c r="F101" s="10">
        <f>'B) D RI'!R102</f>
        <v>383021.79</v>
      </c>
      <c r="G101" s="10">
        <f>'B) D RI'!U102</f>
        <v>5551.0404347826088</v>
      </c>
      <c r="H101" s="42">
        <f>'B) D RI'!T102</f>
        <v>344972.08999999997</v>
      </c>
      <c r="I101" s="10">
        <f t="shared" si="12"/>
        <v>9999.1910144927533</v>
      </c>
      <c r="J101" s="32">
        <f t="shared" si="8"/>
        <v>18687.130108768288</v>
      </c>
      <c r="K101" s="10">
        <f t="shared" si="9"/>
        <v>9999.1910144927533</v>
      </c>
      <c r="L101" s="10">
        <f t="shared" si="13"/>
        <v>8687.9390942755344</v>
      </c>
      <c r="M101" s="10">
        <f>'D) Ecrêtage'!M100</f>
        <v>5551.0404347826088</v>
      </c>
      <c r="N101" s="10">
        <f t="shared" si="10"/>
        <v>6902.4935979922529</v>
      </c>
      <c r="O101" s="58">
        <f t="shared" si="11"/>
        <v>16901.684612485005</v>
      </c>
    </row>
    <row r="102" spans="1:15" s="220" customFormat="1" x14ac:dyDescent="0.25">
      <c r="A102" s="320">
        <f>'A) Base RI'!A103</f>
        <v>5559</v>
      </c>
      <c r="B102" s="226" t="str">
        <f>'A) Base RI'!B103</f>
        <v>Giez</v>
      </c>
      <c r="C102" s="242">
        <v>0</v>
      </c>
      <c r="D102" s="221">
        <f>'B) D RI'!AR103</f>
        <v>412</v>
      </c>
      <c r="E102" s="222">
        <f>'B) D RI'!S103</f>
        <v>66</v>
      </c>
      <c r="F102" s="10">
        <f>'B) D RI'!R103</f>
        <v>1351501.74</v>
      </c>
      <c r="G102" s="10">
        <f>'B) D RI'!U103</f>
        <v>20477.299090909091</v>
      </c>
      <c r="H102" s="42">
        <f>'B) D RI'!T103</f>
        <v>1263654.3400000001</v>
      </c>
      <c r="I102" s="10">
        <f t="shared" si="12"/>
        <v>38292.555757575763</v>
      </c>
      <c r="J102" s="32">
        <f t="shared" ref="J102:J133" si="14">+$I$315/$D$315*D102</f>
        <v>35316.961489965754</v>
      </c>
      <c r="K102" s="10">
        <f t="shared" si="9"/>
        <v>35316.961489965754</v>
      </c>
      <c r="L102" s="10">
        <f t="shared" si="13"/>
        <v>0</v>
      </c>
      <c r="M102" s="10">
        <f>'D) Ecrêtage'!M101</f>
        <v>20477.299090909091</v>
      </c>
      <c r="N102" s="10">
        <f t="shared" si="10"/>
        <v>25462.690740552669</v>
      </c>
      <c r="O102" s="58">
        <f t="shared" si="11"/>
        <v>60779.652230518419</v>
      </c>
    </row>
    <row r="103" spans="1:15" s="220" customFormat="1" x14ac:dyDescent="0.25">
      <c r="A103" s="320">
        <f>'A) Base RI'!A104</f>
        <v>5560</v>
      </c>
      <c r="B103" s="226" t="str">
        <f>'A) Base RI'!B104</f>
        <v>Grandevent</v>
      </c>
      <c r="C103" s="242">
        <v>0</v>
      </c>
      <c r="D103" s="221">
        <f>'B) D RI'!AR104</f>
        <v>238</v>
      </c>
      <c r="E103" s="222">
        <f>'B) D RI'!S104</f>
        <v>68</v>
      </c>
      <c r="F103" s="10">
        <f>'B) D RI'!R104</f>
        <v>507653.01</v>
      </c>
      <c r="G103" s="10">
        <f>'B) D RI'!U104</f>
        <v>7465.4854411764709</v>
      </c>
      <c r="H103" s="42">
        <f>'B) D RI'!T104</f>
        <v>466715.76</v>
      </c>
      <c r="I103" s="10">
        <f t="shared" si="12"/>
        <v>13726.934117647059</v>
      </c>
      <c r="J103" s="32">
        <f t="shared" si="14"/>
        <v>20401.545715077307</v>
      </c>
      <c r="K103" s="10">
        <f t="shared" si="9"/>
        <v>13726.934117647059</v>
      </c>
      <c r="L103" s="10">
        <f t="shared" si="13"/>
        <v>6674.6115974302484</v>
      </c>
      <c r="M103" s="10">
        <f>'D) Ecrêtage'!M102</f>
        <v>7465.4854411764709</v>
      </c>
      <c r="N103" s="10">
        <f t="shared" si="10"/>
        <v>9283.0283023587835</v>
      </c>
      <c r="O103" s="58">
        <f t="shared" si="11"/>
        <v>23009.962420005842</v>
      </c>
    </row>
    <row r="104" spans="1:15" s="220" customFormat="1" x14ac:dyDescent="0.25">
      <c r="A104" s="320">
        <f>'A) Base RI'!A105</f>
        <v>5561</v>
      </c>
      <c r="B104" s="226" t="str">
        <f>'A) Base RI'!B105</f>
        <v>Grandson</v>
      </c>
      <c r="C104" s="242">
        <v>0</v>
      </c>
      <c r="D104" s="221">
        <f>'B) D RI'!AR105</f>
        <v>3360</v>
      </c>
      <c r="E104" s="222">
        <f>'B) D RI'!S105</f>
        <v>69</v>
      </c>
      <c r="F104" s="10">
        <f>'B) D RI'!R105</f>
        <v>8576448.1400000006</v>
      </c>
      <c r="G104" s="10">
        <f>'B) D RI'!U105</f>
        <v>124296.34985507248</v>
      </c>
      <c r="H104" s="42">
        <f>'B) D RI'!T105</f>
        <v>7973513.040000001</v>
      </c>
      <c r="I104" s="10">
        <f t="shared" si="12"/>
        <v>231116.32000000004</v>
      </c>
      <c r="J104" s="32">
        <f t="shared" si="14"/>
        <v>288021.82185991493</v>
      </c>
      <c r="K104" s="10">
        <f t="shared" si="9"/>
        <v>231116.32000000004</v>
      </c>
      <c r="L104" s="10">
        <f t="shared" si="13"/>
        <v>56905.50185991489</v>
      </c>
      <c r="M104" s="10">
        <f>'D) Ecrêtage'!M103</f>
        <v>124296.34985507248</v>
      </c>
      <c r="N104" s="10">
        <f t="shared" si="10"/>
        <v>154557.46885800562</v>
      </c>
      <c r="O104" s="58">
        <f t="shared" si="11"/>
        <v>385673.78885800566</v>
      </c>
    </row>
    <row r="105" spans="1:15" s="220" customFormat="1" x14ac:dyDescent="0.25">
      <c r="A105" s="320">
        <f>'A) Base RI'!A106</f>
        <v>5562</v>
      </c>
      <c r="B105" s="226" t="str">
        <f>'A) Base RI'!B106</f>
        <v>Mauborget</v>
      </c>
      <c r="C105" s="242">
        <v>0</v>
      </c>
      <c r="D105" s="221">
        <f>'B) D RI'!AR106</f>
        <v>122</v>
      </c>
      <c r="E105" s="222">
        <f>'B) D RI'!S106</f>
        <v>70</v>
      </c>
      <c r="F105" s="10">
        <f>'B) D RI'!R106</f>
        <v>370216.8783333333</v>
      </c>
      <c r="G105" s="10">
        <f>'B) D RI'!U106</f>
        <v>5288.8125476190471</v>
      </c>
      <c r="H105" s="42">
        <f>'B) D RI'!T106</f>
        <v>339049.76999999996</v>
      </c>
      <c r="I105" s="10">
        <f t="shared" si="12"/>
        <v>9687.1362857142849</v>
      </c>
      <c r="J105" s="32">
        <f t="shared" si="14"/>
        <v>10457.935198485005</v>
      </c>
      <c r="K105" s="10">
        <f t="shared" si="9"/>
        <v>9687.1362857142849</v>
      </c>
      <c r="L105" s="10">
        <f t="shared" si="13"/>
        <v>770.79891277072056</v>
      </c>
      <c r="M105" s="10">
        <f>'D) Ecrêtage'!M104</f>
        <v>5288.8125476190471</v>
      </c>
      <c r="N105" s="10">
        <f t="shared" si="10"/>
        <v>6576.4238578008535</v>
      </c>
      <c r="O105" s="58">
        <f t="shared" si="11"/>
        <v>16263.560143515138</v>
      </c>
    </row>
    <row r="106" spans="1:15" s="220" customFormat="1" x14ac:dyDescent="0.25">
      <c r="A106" s="320">
        <f>'A) Base RI'!A107</f>
        <v>5563</v>
      </c>
      <c r="B106" s="226" t="str">
        <f>'A) Base RI'!B107</f>
        <v>Mutrux</v>
      </c>
      <c r="C106" s="242">
        <v>0</v>
      </c>
      <c r="D106" s="221">
        <f>'B) D RI'!AR107</f>
        <v>158</v>
      </c>
      <c r="E106" s="222">
        <f>'B) D RI'!S107</f>
        <v>78.5</v>
      </c>
      <c r="F106" s="10">
        <f>'B) D RI'!R107</f>
        <v>261017.22</v>
      </c>
      <c r="G106" s="10">
        <f>'B) D RI'!U107</f>
        <v>3325.060127388535</v>
      </c>
      <c r="H106" s="42">
        <f>'B) D RI'!T107</f>
        <v>239500.27</v>
      </c>
      <c r="I106" s="10">
        <f t="shared" si="12"/>
        <v>6101.9177070063688</v>
      </c>
      <c r="J106" s="32">
        <f t="shared" si="14"/>
        <v>13543.883289841237</v>
      </c>
      <c r="K106" s="10">
        <f t="shared" si="9"/>
        <v>6101.9177070063688</v>
      </c>
      <c r="L106" s="10">
        <f t="shared" si="13"/>
        <v>7441.9655828348677</v>
      </c>
      <c r="M106" s="10">
        <f>'D) Ecrêtage'!M105</f>
        <v>3325.060127388535</v>
      </c>
      <c r="N106" s="10">
        <f t="shared" si="10"/>
        <v>4134.5773845254807</v>
      </c>
      <c r="O106" s="58">
        <f t="shared" si="11"/>
        <v>10236.49509153185</v>
      </c>
    </row>
    <row r="107" spans="1:15" s="220" customFormat="1" x14ac:dyDescent="0.25">
      <c r="A107" s="320">
        <f>'A) Base RI'!A108</f>
        <v>5564</v>
      </c>
      <c r="B107" s="226" t="str">
        <f>'A) Base RI'!B108</f>
        <v>Novalles</v>
      </c>
      <c r="C107" s="242">
        <v>0</v>
      </c>
      <c r="D107" s="221">
        <f>'B) D RI'!AR108</f>
        <v>101</v>
      </c>
      <c r="E107" s="222">
        <f>'B) D RI'!S108</f>
        <v>76</v>
      </c>
      <c r="F107" s="10">
        <f>'B) D RI'!R108</f>
        <v>218839.81749999995</v>
      </c>
      <c r="G107" s="10">
        <f>'B) D RI'!U108</f>
        <v>2879.4712828947363</v>
      </c>
      <c r="H107" s="42">
        <f>'B) D RI'!T108</f>
        <v>205620.12999999995</v>
      </c>
      <c r="I107" s="10">
        <f t="shared" si="12"/>
        <v>5411.0560526315776</v>
      </c>
      <c r="J107" s="32">
        <f t="shared" si="14"/>
        <v>8657.7988118605372</v>
      </c>
      <c r="K107" s="10">
        <f t="shared" si="9"/>
        <v>5411.0560526315776</v>
      </c>
      <c r="L107" s="10">
        <f t="shared" si="13"/>
        <v>3246.7427592289596</v>
      </c>
      <c r="M107" s="10">
        <f>'D) Ecrêtage'!M106</f>
        <v>2879.4712828947363</v>
      </c>
      <c r="N107" s="10">
        <f t="shared" si="10"/>
        <v>3580.5057320865703</v>
      </c>
      <c r="O107" s="58">
        <f t="shared" si="11"/>
        <v>8991.5617847181475</v>
      </c>
    </row>
    <row r="108" spans="1:15" s="220" customFormat="1" x14ac:dyDescent="0.25">
      <c r="A108" s="320">
        <f>'A) Base RI'!A109</f>
        <v>5565</v>
      </c>
      <c r="B108" s="226" t="str">
        <f>'A) Base RI'!B109</f>
        <v>Onnens</v>
      </c>
      <c r="C108" s="242">
        <v>0</v>
      </c>
      <c r="D108" s="221">
        <f>'B) D RI'!AR109</f>
        <v>494</v>
      </c>
      <c r="E108" s="222">
        <f>'B) D RI'!S109</f>
        <v>65</v>
      </c>
      <c r="F108" s="10">
        <f>'B) D RI'!R109</f>
        <v>1420857.76</v>
      </c>
      <c r="G108" s="10">
        <f>'B) D RI'!U109</f>
        <v>21859.350153846153</v>
      </c>
      <c r="H108" s="42">
        <f>'B) D RI'!T109</f>
        <v>1255306.9100000001</v>
      </c>
      <c r="I108" s="10">
        <f t="shared" si="12"/>
        <v>38624.828000000001</v>
      </c>
      <c r="J108" s="32">
        <f t="shared" si="14"/>
        <v>42346.065475832729</v>
      </c>
      <c r="K108" s="10">
        <f t="shared" si="9"/>
        <v>38624.828000000001</v>
      </c>
      <c r="L108" s="10">
        <f t="shared" si="13"/>
        <v>3721.2374758327278</v>
      </c>
      <c r="M108" s="10">
        <f>'D) Ecrêtage'!M107</f>
        <v>21859.350153846153</v>
      </c>
      <c r="N108" s="10">
        <f t="shared" si="10"/>
        <v>27181.215173242203</v>
      </c>
      <c r="O108" s="58">
        <f t="shared" si="11"/>
        <v>65806.0431732422</v>
      </c>
    </row>
    <row r="109" spans="1:15" s="220" customFormat="1" x14ac:dyDescent="0.25">
      <c r="A109" s="320">
        <f>'A) Base RI'!A110</f>
        <v>5566</v>
      </c>
      <c r="B109" s="226" t="str">
        <f>'A) Base RI'!B110</f>
        <v>Provence</v>
      </c>
      <c r="C109" s="242">
        <v>0</v>
      </c>
      <c r="D109" s="221">
        <f>'B) D RI'!AR110</f>
        <v>373</v>
      </c>
      <c r="E109" s="222">
        <f>'B) D RI'!S110</f>
        <v>81</v>
      </c>
      <c r="F109" s="10">
        <f>'B) D RI'!R110</f>
        <v>670996.74666666659</v>
      </c>
      <c r="G109" s="10">
        <f>'B) D RI'!U110</f>
        <v>8283.9104526748961</v>
      </c>
      <c r="H109" s="42">
        <f>'B) D RI'!T110</f>
        <v>615723.37999999989</v>
      </c>
      <c r="I109" s="10">
        <f t="shared" si="12"/>
        <v>15203.046419753084</v>
      </c>
      <c r="J109" s="32">
        <f t="shared" si="14"/>
        <v>31973.851057663174</v>
      </c>
      <c r="K109" s="10">
        <f t="shared" si="9"/>
        <v>15203.046419753084</v>
      </c>
      <c r="L109" s="10">
        <f t="shared" si="13"/>
        <v>16770.804637910092</v>
      </c>
      <c r="M109" s="10">
        <f>'D) Ecrêtage'!M108</f>
        <v>8283.9104526748961</v>
      </c>
      <c r="N109" s="10">
        <f t="shared" si="10"/>
        <v>10300.706604052843</v>
      </c>
      <c r="O109" s="58">
        <f t="shared" si="11"/>
        <v>25503.753023805926</v>
      </c>
    </row>
    <row r="110" spans="1:15" s="220" customFormat="1" x14ac:dyDescent="0.25">
      <c r="A110" s="320">
        <f>'A) Base RI'!A111</f>
        <v>5568</v>
      </c>
      <c r="B110" s="226" t="str">
        <f>'A) Base RI'!B111</f>
        <v>Sainte-Croix</v>
      </c>
      <c r="C110" s="242">
        <v>0</v>
      </c>
      <c r="D110" s="221">
        <f>'B) D RI'!AR111</f>
        <v>4845</v>
      </c>
      <c r="E110" s="222">
        <f>'B) D RI'!S111</f>
        <v>70</v>
      </c>
      <c r="F110" s="10">
        <f>'B) D RI'!R111</f>
        <v>7220277.2800000003</v>
      </c>
      <c r="G110" s="10">
        <f>'B) D RI'!U111</f>
        <v>103146.8182857143</v>
      </c>
      <c r="H110" s="42">
        <f>'B) D RI'!T111</f>
        <v>6585450.8799999999</v>
      </c>
      <c r="I110" s="10">
        <f t="shared" si="12"/>
        <v>188155.73942857143</v>
      </c>
      <c r="J110" s="32">
        <f t="shared" si="14"/>
        <v>415317.18062835943</v>
      </c>
      <c r="K110" s="10">
        <f t="shared" si="9"/>
        <v>188155.73942857143</v>
      </c>
      <c r="L110" s="10">
        <f t="shared" si="13"/>
        <v>227161.44119978801</v>
      </c>
      <c r="M110" s="10">
        <f>'D) Ecrêtage'!M109</f>
        <v>103146.8182857143</v>
      </c>
      <c r="N110" s="10">
        <f t="shared" si="10"/>
        <v>128258.88430018174</v>
      </c>
      <c r="O110" s="58">
        <f t="shared" si="11"/>
        <v>316414.62372875318</v>
      </c>
    </row>
    <row r="111" spans="1:15" s="220" customFormat="1" x14ac:dyDescent="0.25">
      <c r="A111" s="320">
        <f>'A) Base RI'!A112</f>
        <v>5571</v>
      </c>
      <c r="B111" s="226" t="str">
        <f>'A) Base RI'!B112</f>
        <v>Tévenon</v>
      </c>
      <c r="C111" s="242">
        <v>0</v>
      </c>
      <c r="D111" s="221">
        <f>'B) D RI'!AR112</f>
        <v>877</v>
      </c>
      <c r="E111" s="222">
        <f>'B) D RI'!S112</f>
        <v>73</v>
      </c>
      <c r="F111" s="10">
        <f>'B) D RI'!R112</f>
        <v>1642880.1633333331</v>
      </c>
      <c r="G111" s="10">
        <f>'B) D RI'!U112</f>
        <v>22505.207716894973</v>
      </c>
      <c r="H111" s="42">
        <f>'B) D RI'!T112</f>
        <v>1483678.7799999998</v>
      </c>
      <c r="I111" s="10">
        <f t="shared" si="12"/>
        <v>40648.733698630131</v>
      </c>
      <c r="J111" s="32">
        <f t="shared" si="14"/>
        <v>75177.124336650406</v>
      </c>
      <c r="K111" s="10">
        <f t="shared" si="9"/>
        <v>40648.733698630131</v>
      </c>
      <c r="L111" s="10">
        <f t="shared" si="13"/>
        <v>34528.390638020275</v>
      </c>
      <c r="M111" s="10">
        <f>'D) Ecrêtage'!M110</f>
        <v>22505.207716894973</v>
      </c>
      <c r="N111" s="10">
        <f t="shared" si="10"/>
        <v>27984.312853133979</v>
      </c>
      <c r="O111" s="58">
        <f t="shared" si="11"/>
        <v>68633.046551764113</v>
      </c>
    </row>
    <row r="112" spans="1:15" s="220" customFormat="1" x14ac:dyDescent="0.25">
      <c r="A112" s="320">
        <f>'A) Base RI'!A113</f>
        <v>5581</v>
      </c>
      <c r="B112" s="226" t="str">
        <f>'A) Base RI'!B113</f>
        <v>Belmont-sur-Lausanne</v>
      </c>
      <c r="C112" s="242">
        <v>1</v>
      </c>
      <c r="D112" s="221">
        <f>'B) D RI'!AR113</f>
        <v>3732</v>
      </c>
      <c r="E112" s="222">
        <f>'B) D RI'!S113</f>
        <v>69.5</v>
      </c>
      <c r="F112" s="10">
        <f>'B) D RI'!R113</f>
        <v>13063968.363333335</v>
      </c>
      <c r="G112" s="10">
        <f>'B) D RI'!U113</f>
        <v>187970.76781774583</v>
      </c>
      <c r="H112" s="42">
        <f>'B) D RI'!T113</f>
        <v>12120686.330000002</v>
      </c>
      <c r="I112" s="10">
        <f t="shared" si="12"/>
        <v>348796.72892086336</v>
      </c>
      <c r="J112" s="32">
        <f t="shared" si="14"/>
        <v>319909.95213726262</v>
      </c>
      <c r="K112" s="10">
        <f t="shared" si="9"/>
        <v>0</v>
      </c>
      <c r="L112" s="10">
        <f t="shared" si="13"/>
        <v>319909.95213726262</v>
      </c>
      <c r="M112" s="10">
        <f>'D) Ecrêtage'!M111</f>
        <v>187970.76781774583</v>
      </c>
      <c r="N112" s="10">
        <f t="shared" si="10"/>
        <v>233734.0245878592</v>
      </c>
      <c r="O112" s="58">
        <f t="shared" si="11"/>
        <v>233734.0245878592</v>
      </c>
    </row>
    <row r="113" spans="1:15" s="220" customFormat="1" x14ac:dyDescent="0.25">
      <c r="A113" s="320">
        <f>'A) Base RI'!A114</f>
        <v>5582</v>
      </c>
      <c r="B113" s="226" t="str">
        <f>'A) Base RI'!B114</f>
        <v>Cheseaux-sur-Lausanne</v>
      </c>
      <c r="C113" s="242">
        <v>0</v>
      </c>
      <c r="D113" s="221">
        <f>'B) D RI'!AR114</f>
        <v>4338</v>
      </c>
      <c r="E113" s="222">
        <f>'B) D RI'!S114</f>
        <v>74.5</v>
      </c>
      <c r="F113" s="10">
        <f>'B) D RI'!R114</f>
        <v>13250194.630000003</v>
      </c>
      <c r="G113" s="10">
        <f>'B) D RI'!U114</f>
        <v>177854.9614765101</v>
      </c>
      <c r="H113" s="42">
        <f>'B) D RI'!T114</f>
        <v>12266379.480000002</v>
      </c>
      <c r="I113" s="10">
        <f t="shared" si="12"/>
        <v>329298.77798657725</v>
      </c>
      <c r="J113" s="32">
        <f t="shared" si="14"/>
        <v>371856.74500842585</v>
      </c>
      <c r="K113" s="10">
        <f t="shared" si="9"/>
        <v>329298.77798657725</v>
      </c>
      <c r="L113" s="10">
        <f t="shared" si="13"/>
        <v>42557.967021848599</v>
      </c>
      <c r="M113" s="10">
        <f>'D) Ecrêtage'!M112</f>
        <v>177854.9614765101</v>
      </c>
      <c r="N113" s="10">
        <f t="shared" si="10"/>
        <v>221155.42975879027</v>
      </c>
      <c r="O113" s="58">
        <f t="shared" si="11"/>
        <v>550454.20774536754</v>
      </c>
    </row>
    <row r="114" spans="1:15" s="220" customFormat="1" x14ac:dyDescent="0.25">
      <c r="A114" s="320">
        <f>'A) Base RI'!A115</f>
        <v>5583</v>
      </c>
      <c r="B114" s="226" t="str">
        <f>'A) Base RI'!B115</f>
        <v>Crissier</v>
      </c>
      <c r="C114" s="242">
        <v>1</v>
      </c>
      <c r="D114" s="221">
        <f>'B) D RI'!AR115</f>
        <v>7905</v>
      </c>
      <c r="E114" s="222">
        <f>'B) D RI'!S115</f>
        <v>65</v>
      </c>
      <c r="F114" s="10">
        <f>'B) D RI'!R115</f>
        <v>22299068.68</v>
      </c>
      <c r="G114" s="10">
        <f>'B) D RI'!U115</f>
        <v>343062.59507692308</v>
      </c>
      <c r="H114" s="42">
        <f>'B) D RI'!T115</f>
        <v>19699217.98</v>
      </c>
      <c r="I114" s="10">
        <f t="shared" si="12"/>
        <v>606129.78399999999</v>
      </c>
      <c r="J114" s="32">
        <f t="shared" si="14"/>
        <v>677622.76839363913</v>
      </c>
      <c r="K114" s="10">
        <f t="shared" si="9"/>
        <v>0</v>
      </c>
      <c r="L114" s="10">
        <f t="shared" si="13"/>
        <v>677622.76839363913</v>
      </c>
      <c r="M114" s="10">
        <f>'D) Ecrêtage'!M113</f>
        <v>343062.59507692308</v>
      </c>
      <c r="N114" s="10">
        <f t="shared" si="10"/>
        <v>426584.42035322805</v>
      </c>
      <c r="O114" s="58">
        <f t="shared" si="11"/>
        <v>426584.42035322805</v>
      </c>
    </row>
    <row r="115" spans="1:15" s="220" customFormat="1" x14ac:dyDescent="0.25">
      <c r="A115" s="320">
        <f>'A) Base RI'!A116</f>
        <v>5584</v>
      </c>
      <c r="B115" s="226" t="str">
        <f>'A) Base RI'!B116</f>
        <v>Epalinges</v>
      </c>
      <c r="C115" s="242">
        <v>0</v>
      </c>
      <c r="D115" s="221">
        <f>'B) D RI'!AR116</f>
        <v>9624</v>
      </c>
      <c r="E115" s="222">
        <f>'B) D RI'!S116</f>
        <v>66</v>
      </c>
      <c r="F115" s="10">
        <f>'B) D RI'!R116</f>
        <v>30929926.279999997</v>
      </c>
      <c r="G115" s="10">
        <f>'B) D RI'!U116</f>
        <v>468635.24666666664</v>
      </c>
      <c r="H115" s="42">
        <f>'B) D RI'!T116</f>
        <v>28549402.829999998</v>
      </c>
      <c r="I115" s="10">
        <f t="shared" si="12"/>
        <v>865133.41909090907</v>
      </c>
      <c r="J115" s="32">
        <f t="shared" si="14"/>
        <v>824976.78975589911</v>
      </c>
      <c r="K115" s="10">
        <f t="shared" si="9"/>
        <v>824976.78975589911</v>
      </c>
      <c r="L115" s="10">
        <f t="shared" si="13"/>
        <v>0</v>
      </c>
      <c r="M115" s="10">
        <f>'D) Ecrêtage'!M114</f>
        <v>468635.24666666664</v>
      </c>
      <c r="N115" s="10">
        <f t="shared" si="10"/>
        <v>582728.91864403558</v>
      </c>
      <c r="O115" s="58">
        <f t="shared" si="11"/>
        <v>1407705.7083999347</v>
      </c>
    </row>
    <row r="116" spans="1:15" s="220" customFormat="1" x14ac:dyDescent="0.25">
      <c r="A116" s="320">
        <f>'A) Base RI'!A117</f>
        <v>5585</v>
      </c>
      <c r="B116" s="226" t="str">
        <f>'A) Base RI'!B117</f>
        <v>Jouxtens-Mézery</v>
      </c>
      <c r="C116" s="242">
        <v>0</v>
      </c>
      <c r="D116" s="221">
        <f>'B) D RI'!AR117</f>
        <v>1471</v>
      </c>
      <c r="E116" s="222">
        <f>'B) D RI'!S117</f>
        <v>53</v>
      </c>
      <c r="F116" s="10">
        <f>'B) D RI'!R117</f>
        <v>11786963.039999999</v>
      </c>
      <c r="G116" s="10">
        <f>'B) D RI'!U117</f>
        <v>222395.52905660376</v>
      </c>
      <c r="H116" s="42">
        <f>'B) D RI'!T117</f>
        <v>11328159.939999999</v>
      </c>
      <c r="I116" s="10">
        <f t="shared" si="12"/>
        <v>427477.73358490563</v>
      </c>
      <c r="J116" s="32">
        <f t="shared" si="14"/>
        <v>126095.26784402822</v>
      </c>
      <c r="K116" s="10">
        <f t="shared" si="9"/>
        <v>126095.26784402822</v>
      </c>
      <c r="L116" s="10">
        <f t="shared" si="13"/>
        <v>0</v>
      </c>
      <c r="M116" s="10">
        <f>'D) Ecrêtage'!M115</f>
        <v>185821.49079664846</v>
      </c>
      <c r="N116" s="10">
        <f t="shared" si="10"/>
        <v>231061.48579936856</v>
      </c>
      <c r="O116" s="58">
        <f t="shared" si="11"/>
        <v>357156.75364339678</v>
      </c>
    </row>
    <row r="117" spans="1:15" s="220" customFormat="1" x14ac:dyDescent="0.25">
      <c r="A117" s="320">
        <f>'A) Base RI'!A118</f>
        <v>5586</v>
      </c>
      <c r="B117" s="226" t="str">
        <f>'A) Base RI'!B118</f>
        <v>Lausanne</v>
      </c>
      <c r="C117" s="242">
        <v>1</v>
      </c>
      <c r="D117" s="221">
        <f>'B) D RI'!AR118</f>
        <v>139720</v>
      </c>
      <c r="E117" s="222">
        <f>'B) D RI'!S118</f>
        <v>79</v>
      </c>
      <c r="F117" s="10">
        <f>'B) D RI'!R118</f>
        <v>473886983.0933333</v>
      </c>
      <c r="G117" s="10">
        <f>'B) D RI'!U118</f>
        <v>5998569.406244725</v>
      </c>
      <c r="H117" s="42">
        <f>'B) D RI'!T118</f>
        <v>443486439.95999998</v>
      </c>
      <c r="I117" s="10">
        <f t="shared" si="12"/>
        <v>11227504.809113923</v>
      </c>
      <c r="J117" s="32">
        <f t="shared" si="14"/>
        <v>11976907.425674794</v>
      </c>
      <c r="K117" s="10">
        <f t="shared" si="9"/>
        <v>0</v>
      </c>
      <c r="L117" s="10">
        <f t="shared" si="13"/>
        <v>11976907.425674794</v>
      </c>
      <c r="M117" s="10">
        <f>'D) Ecrêtage'!M116</f>
        <v>5998569.406244725</v>
      </c>
      <c r="N117" s="10">
        <f t="shared" si="10"/>
        <v>7458977.7196133723</v>
      </c>
      <c r="O117" s="58">
        <f t="shared" si="11"/>
        <v>7458977.7196133723</v>
      </c>
    </row>
    <row r="118" spans="1:15" s="220" customFormat="1" x14ac:dyDescent="0.25">
      <c r="A118" s="320">
        <f>'A) Base RI'!A119</f>
        <v>5587</v>
      </c>
      <c r="B118" s="226" t="str">
        <f>'A) Base RI'!B119</f>
        <v>Le Mont-sur-Lausanne</v>
      </c>
      <c r="C118" s="242">
        <v>0</v>
      </c>
      <c r="D118" s="221">
        <f>'B) D RI'!AR119</f>
        <v>8516</v>
      </c>
      <c r="E118" s="222">
        <f>'B) D RI'!S119</f>
        <v>75</v>
      </c>
      <c r="F118" s="10">
        <f>'B) D RI'!R119</f>
        <v>32009206.515000004</v>
      </c>
      <c r="G118" s="10">
        <f>'B) D RI'!U119</f>
        <v>426789.42020000005</v>
      </c>
      <c r="H118" s="42">
        <f>'B) D RI'!T119</f>
        <v>29250285.340000004</v>
      </c>
      <c r="I118" s="10">
        <f t="shared" si="12"/>
        <v>780007.6090666668</v>
      </c>
      <c r="J118" s="32">
        <f t="shared" si="14"/>
        <v>729998.16516637953</v>
      </c>
      <c r="K118" s="10">
        <f t="shared" si="9"/>
        <v>729998.16516637953</v>
      </c>
      <c r="L118" s="10">
        <f t="shared" si="13"/>
        <v>0</v>
      </c>
      <c r="M118" s="10">
        <f>'D) Ecrêtage'!M117</f>
        <v>426789.42020000005</v>
      </c>
      <c r="N118" s="10">
        <f t="shared" si="10"/>
        <v>530695.33094415197</v>
      </c>
      <c r="O118" s="58">
        <f t="shared" si="11"/>
        <v>1260693.4961105315</v>
      </c>
    </row>
    <row r="119" spans="1:15" s="220" customFormat="1" x14ac:dyDescent="0.25">
      <c r="A119" s="320">
        <f>'A) Base RI'!A120</f>
        <v>5588</v>
      </c>
      <c r="B119" s="226" t="str">
        <f>'A) Base RI'!B120</f>
        <v>Paudex</v>
      </c>
      <c r="C119" s="242">
        <v>1</v>
      </c>
      <c r="D119" s="221">
        <f>'B) D RI'!AR120</f>
        <v>1507</v>
      </c>
      <c r="E119" s="222">
        <f>'B) D RI'!S120</f>
        <v>61.5</v>
      </c>
      <c r="F119" s="10">
        <f>'B) D RI'!R120</f>
        <v>7583419.5914285714</v>
      </c>
      <c r="G119" s="10">
        <f>'B) D RI'!U120</f>
        <v>123307.63563298491</v>
      </c>
      <c r="H119" s="42">
        <f>'B) D RI'!T120</f>
        <v>7024869.9699999997</v>
      </c>
      <c r="I119" s="10">
        <f t="shared" si="12"/>
        <v>228451.05593495935</v>
      </c>
      <c r="J119" s="32">
        <f t="shared" si="14"/>
        <v>129181.21593538446</v>
      </c>
      <c r="K119" s="10">
        <f t="shared" si="9"/>
        <v>0</v>
      </c>
      <c r="L119" s="10">
        <f t="shared" si="13"/>
        <v>129181.21593538446</v>
      </c>
      <c r="M119" s="10">
        <f>'D) Ecrêtage'!M118</f>
        <v>115234.85166339125</v>
      </c>
      <c r="N119" s="10">
        <f t="shared" si="10"/>
        <v>143289.86344400409</v>
      </c>
      <c r="O119" s="58">
        <f t="shared" si="11"/>
        <v>143289.86344400409</v>
      </c>
    </row>
    <row r="120" spans="1:15" s="220" customFormat="1" x14ac:dyDescent="0.25">
      <c r="A120" s="320">
        <f>'A) Base RI'!A121</f>
        <v>5589</v>
      </c>
      <c r="B120" s="226" t="str">
        <f>'A) Base RI'!B121</f>
        <v>Prilly</v>
      </c>
      <c r="C120" s="242">
        <v>1</v>
      </c>
      <c r="D120" s="221">
        <f>'B) D RI'!AR121</f>
        <v>12392</v>
      </c>
      <c r="E120" s="222">
        <f>'B) D RI'!S121</f>
        <v>73.5</v>
      </c>
      <c r="F120" s="10">
        <f>'B) D RI'!R121</f>
        <v>31313436.990000002</v>
      </c>
      <c r="G120" s="10">
        <f>'B) D RI'!U121</f>
        <v>426033.15632653062</v>
      </c>
      <c r="H120" s="42">
        <f>'B) D RI'!T121</f>
        <v>28866867.240000002</v>
      </c>
      <c r="I120" s="10">
        <f t="shared" si="12"/>
        <v>785492.98612244905</v>
      </c>
      <c r="J120" s="32">
        <f t="shared" si="14"/>
        <v>1062251.9096690672</v>
      </c>
      <c r="K120" s="10">
        <f t="shared" si="9"/>
        <v>0</v>
      </c>
      <c r="L120" s="10">
        <f t="shared" si="13"/>
        <v>1062251.9096690672</v>
      </c>
      <c r="M120" s="10">
        <f>'D) Ecrêtage'!M119</f>
        <v>426033.15632653062</v>
      </c>
      <c r="N120" s="10">
        <f t="shared" si="10"/>
        <v>529754.94749597774</v>
      </c>
      <c r="O120" s="58">
        <f t="shared" si="11"/>
        <v>529754.94749597774</v>
      </c>
    </row>
    <row r="121" spans="1:15" s="220" customFormat="1" x14ac:dyDescent="0.25">
      <c r="A121" s="320">
        <f>'A) Base RI'!A122</f>
        <v>5590</v>
      </c>
      <c r="B121" s="226" t="str">
        <f>'A) Base RI'!B122</f>
        <v>Pully</v>
      </c>
      <c r="C121" s="242">
        <v>1</v>
      </c>
      <c r="D121" s="221">
        <f>'B) D RI'!AR122</f>
        <v>18336</v>
      </c>
      <c r="E121" s="222">
        <f>'B) D RI'!S122</f>
        <v>61</v>
      </c>
      <c r="F121" s="10">
        <f>'B) D RI'!R122</f>
        <v>85695293.769999966</v>
      </c>
      <c r="G121" s="10">
        <f>'B) D RI'!U122</f>
        <v>1404840.8814754093</v>
      </c>
      <c r="H121" s="42">
        <f>'B) D RI'!T122</f>
        <v>80477869.669999972</v>
      </c>
      <c r="I121" s="10">
        <f t="shared" si="12"/>
        <v>2638618.6777049173</v>
      </c>
      <c r="J121" s="32">
        <f t="shared" si="14"/>
        <v>1571776.2278641071</v>
      </c>
      <c r="K121" s="10">
        <f t="shared" si="9"/>
        <v>0</v>
      </c>
      <c r="L121" s="10">
        <f t="shared" si="13"/>
        <v>1571776.2278641071</v>
      </c>
      <c r="M121" s="10">
        <f>'D) Ecrêtage'!M120</f>
        <v>1328575.6928938658</v>
      </c>
      <c r="N121" s="10">
        <f t="shared" si="10"/>
        <v>1652029.9793145296</v>
      </c>
      <c r="O121" s="58">
        <f t="shared" si="11"/>
        <v>1652029.9793145296</v>
      </c>
    </row>
    <row r="122" spans="1:15" s="220" customFormat="1" x14ac:dyDescent="0.25">
      <c r="A122" s="320">
        <f>'A) Base RI'!A123</f>
        <v>5591</v>
      </c>
      <c r="B122" s="226" t="str">
        <f>'A) Base RI'!B123</f>
        <v>Renens</v>
      </c>
      <c r="C122" s="242">
        <v>1</v>
      </c>
      <c r="D122" s="221">
        <f>'B) D RI'!AR123</f>
        <v>20968</v>
      </c>
      <c r="E122" s="222">
        <f>'B) D RI'!S123</f>
        <v>78.5</v>
      </c>
      <c r="F122" s="10">
        <f>'B) D RI'!R123</f>
        <v>45556282.758571431</v>
      </c>
      <c r="G122" s="10">
        <f>'B) D RI'!U123</f>
        <v>580334.81221110106</v>
      </c>
      <c r="H122" s="42">
        <f>'B) D RI'!T123</f>
        <v>41563028.880000003</v>
      </c>
      <c r="I122" s="10">
        <f t="shared" si="12"/>
        <v>1058930.6721019109</v>
      </c>
      <c r="J122" s="32">
        <f t="shared" si="14"/>
        <v>1797393.3216543738</v>
      </c>
      <c r="K122" s="10">
        <f t="shared" si="9"/>
        <v>0</v>
      </c>
      <c r="L122" s="10">
        <f t="shared" si="13"/>
        <v>1797393.3216543738</v>
      </c>
      <c r="M122" s="10">
        <f>'D) Ecrêtage'!M121</f>
        <v>580334.81221110106</v>
      </c>
      <c r="N122" s="10">
        <f t="shared" si="10"/>
        <v>721622.79721099453</v>
      </c>
      <c r="O122" s="58">
        <f t="shared" si="11"/>
        <v>721622.79721099453</v>
      </c>
    </row>
    <row r="123" spans="1:15" s="220" customFormat="1" x14ac:dyDescent="0.25">
      <c r="A123" s="320">
        <f>'A) Base RI'!A124</f>
        <v>5592</v>
      </c>
      <c r="B123" s="226" t="str">
        <f>'A) Base RI'!B124</f>
        <v>Romanel-sur-Lausanne</v>
      </c>
      <c r="C123" s="242">
        <v>0</v>
      </c>
      <c r="D123" s="221">
        <f>'B) D RI'!AR124</f>
        <v>3311</v>
      </c>
      <c r="E123" s="222">
        <f>'B) D RI'!S124</f>
        <v>70</v>
      </c>
      <c r="F123" s="10">
        <f>'B) D RI'!R124</f>
        <v>7974694.080000001</v>
      </c>
      <c r="G123" s="10">
        <f>'B) D RI'!U124</f>
        <v>113924.20114285716</v>
      </c>
      <c r="H123" s="42">
        <f>'B) D RI'!T124</f>
        <v>7177878.830000001</v>
      </c>
      <c r="I123" s="10">
        <f t="shared" si="12"/>
        <v>205082.25228571432</v>
      </c>
      <c r="J123" s="32">
        <f t="shared" si="14"/>
        <v>283821.50362445781</v>
      </c>
      <c r="K123" s="10">
        <f t="shared" si="9"/>
        <v>205082.25228571432</v>
      </c>
      <c r="L123" s="10">
        <f t="shared" si="13"/>
        <v>78739.251338743488</v>
      </c>
      <c r="M123" s="10">
        <f>'D) Ecrêtage'!M122</f>
        <v>113924.20114285716</v>
      </c>
      <c r="N123" s="10">
        <f t="shared" si="10"/>
        <v>141660.12268936911</v>
      </c>
      <c r="O123" s="58">
        <f t="shared" si="11"/>
        <v>346742.3749750834</v>
      </c>
    </row>
    <row r="124" spans="1:15" s="220" customFormat="1" x14ac:dyDescent="0.25">
      <c r="A124" s="320">
        <f>'A) Base RI'!A125</f>
        <v>5601</v>
      </c>
      <c r="B124" s="226" t="str">
        <f>'A) Base RI'!B125</f>
        <v>Chexbres</v>
      </c>
      <c r="C124" s="242">
        <v>1</v>
      </c>
      <c r="D124" s="221">
        <f>'B) D RI'!AR125</f>
        <v>2238</v>
      </c>
      <c r="E124" s="222">
        <f>'B) D RI'!S125</f>
        <v>69</v>
      </c>
      <c r="F124" s="10">
        <f>'B) D RI'!R125</f>
        <v>7095564.8200000012</v>
      </c>
      <c r="G124" s="10">
        <f>'B) D RI'!U125</f>
        <v>102834.27275362321</v>
      </c>
      <c r="H124" s="42">
        <f>'B) D RI'!T125</f>
        <v>6615480.2700000005</v>
      </c>
      <c r="I124" s="10">
        <f t="shared" si="12"/>
        <v>191753.05130434784</v>
      </c>
      <c r="J124" s="32">
        <f t="shared" si="14"/>
        <v>191843.10634597903</v>
      </c>
      <c r="K124" s="10">
        <f t="shared" si="9"/>
        <v>0</v>
      </c>
      <c r="L124" s="10">
        <f t="shared" si="13"/>
        <v>191843.10634597903</v>
      </c>
      <c r="M124" s="10">
        <f>'D) Ecrêtage'!M123</f>
        <v>102834.27275362321</v>
      </c>
      <c r="N124" s="10">
        <f t="shared" si="10"/>
        <v>127870.24660970089</v>
      </c>
      <c r="O124" s="58">
        <f t="shared" si="11"/>
        <v>127870.24660970089</v>
      </c>
    </row>
    <row r="125" spans="1:15" s="220" customFormat="1" x14ac:dyDescent="0.25">
      <c r="A125" s="320">
        <f>'A) Base RI'!A126</f>
        <v>5604</v>
      </c>
      <c r="B125" s="226" t="str">
        <f>'A) Base RI'!B126</f>
        <v>Forel (Lavaux)</v>
      </c>
      <c r="C125" s="242">
        <v>0</v>
      </c>
      <c r="D125" s="221">
        <f>'B) D RI'!AR126</f>
        <v>2082</v>
      </c>
      <c r="E125" s="222">
        <f>'B) D RI'!S126</f>
        <v>70</v>
      </c>
      <c r="F125" s="10">
        <f>'B) D RI'!R126</f>
        <v>5349110.78</v>
      </c>
      <c r="G125" s="10">
        <f>'B) D RI'!U126</f>
        <v>76415.868285714285</v>
      </c>
      <c r="H125" s="42">
        <f>'B) D RI'!T126</f>
        <v>4926437.53</v>
      </c>
      <c r="I125" s="10">
        <f t="shared" si="12"/>
        <v>140755.35800000001</v>
      </c>
      <c r="J125" s="32">
        <f t="shared" si="14"/>
        <v>178470.66461676871</v>
      </c>
      <c r="K125" s="10">
        <f t="shared" si="9"/>
        <v>140755.35800000001</v>
      </c>
      <c r="L125" s="10">
        <f t="shared" si="13"/>
        <v>37715.306616768707</v>
      </c>
      <c r="M125" s="10">
        <f>'D) Ecrêtage'!M124</f>
        <v>76415.868285714285</v>
      </c>
      <c r="N125" s="10">
        <f t="shared" si="10"/>
        <v>95020.032338823818</v>
      </c>
      <c r="O125" s="58">
        <f t="shared" si="11"/>
        <v>235775.39033882384</v>
      </c>
    </row>
    <row r="126" spans="1:15" s="220" customFormat="1" x14ac:dyDescent="0.25">
      <c r="A126" s="320">
        <f>'A) Base RI'!A127</f>
        <v>5606</v>
      </c>
      <c r="B126" s="226" t="str">
        <f>'A) Base RI'!B127</f>
        <v>Lutry</v>
      </c>
      <c r="C126" s="242">
        <v>1</v>
      </c>
      <c r="D126" s="221">
        <f>'B) D RI'!AR127</f>
        <v>10285</v>
      </c>
      <c r="E126" s="222">
        <f>'B) D RI'!S127</f>
        <v>55.5</v>
      </c>
      <c r="F126" s="10">
        <f>'B) D RI'!R127</f>
        <v>46275400.43571429</v>
      </c>
      <c r="G126" s="10">
        <f>'B) D RI'!U127</f>
        <v>833790.99884169886</v>
      </c>
      <c r="H126" s="42">
        <f>'B) D RI'!T127</f>
        <v>43251093.150000006</v>
      </c>
      <c r="I126" s="10">
        <f t="shared" si="12"/>
        <v>1558597.9513513516</v>
      </c>
      <c r="J126" s="32">
        <f t="shared" si="14"/>
        <v>881638.22554441215</v>
      </c>
      <c r="K126" s="10">
        <f t="shared" si="9"/>
        <v>0</v>
      </c>
      <c r="L126" s="10">
        <f t="shared" si="13"/>
        <v>881638.22554441215</v>
      </c>
      <c r="M126" s="10">
        <f>'D) Ecrêtage'!M125</f>
        <v>780480.77736579673</v>
      </c>
      <c r="N126" s="10">
        <f t="shared" si="10"/>
        <v>970496.18579015206</v>
      </c>
      <c r="O126" s="58">
        <f t="shared" si="11"/>
        <v>970496.18579015206</v>
      </c>
    </row>
    <row r="127" spans="1:15" s="220" customFormat="1" x14ac:dyDescent="0.25">
      <c r="A127" s="320">
        <f>'A) Base RI'!A128</f>
        <v>5607</v>
      </c>
      <c r="B127" s="226" t="str">
        <f>'A) Base RI'!B128</f>
        <v>Puidoux</v>
      </c>
      <c r="C127" s="242">
        <v>1</v>
      </c>
      <c r="D127" s="221">
        <f>'B) D RI'!AR128</f>
        <v>2880</v>
      </c>
      <c r="E127" s="222">
        <f>'B) D RI'!S128</f>
        <v>70</v>
      </c>
      <c r="F127" s="10">
        <f>'B) D RI'!R128</f>
        <v>7822581.0460869577</v>
      </c>
      <c r="G127" s="10">
        <f>'B) D RI'!U128</f>
        <v>111751.15780124225</v>
      </c>
      <c r="H127" s="42">
        <f>'B) D RI'!T128</f>
        <v>7023559.5700000003</v>
      </c>
      <c r="I127" s="10">
        <f t="shared" si="12"/>
        <v>200673.13057142857</v>
      </c>
      <c r="J127" s="32">
        <f t="shared" si="14"/>
        <v>246875.84730849849</v>
      </c>
      <c r="K127" s="10">
        <f t="shared" si="9"/>
        <v>0</v>
      </c>
      <c r="L127" s="10">
        <f t="shared" si="13"/>
        <v>246875.84730849849</v>
      </c>
      <c r="M127" s="10">
        <f>'D) Ecrêtage'!M126</f>
        <v>111751.15780124225</v>
      </c>
      <c r="N127" s="10">
        <f t="shared" si="10"/>
        <v>138958.03144541587</v>
      </c>
      <c r="O127" s="58">
        <f t="shared" si="11"/>
        <v>138958.03144541587</v>
      </c>
    </row>
    <row r="128" spans="1:15" s="220" customFormat="1" x14ac:dyDescent="0.25">
      <c r="A128" s="320">
        <f>'A) Base RI'!A129</f>
        <v>5609</v>
      </c>
      <c r="B128" s="226" t="str">
        <f>'A) Base RI'!B129</f>
        <v>Rivaz</v>
      </c>
      <c r="C128" s="242">
        <v>1</v>
      </c>
      <c r="D128" s="221">
        <f>'B) D RI'!AR129</f>
        <v>358</v>
      </c>
      <c r="E128" s="222">
        <f>'B) D RI'!S129</f>
        <v>63.5</v>
      </c>
      <c r="F128" s="10">
        <f>'B) D RI'!R129</f>
        <v>858450.7</v>
      </c>
      <c r="G128" s="10">
        <f>'B) D RI'!U129</f>
        <v>13518.908661417323</v>
      </c>
      <c r="H128" s="42">
        <f>'B) D RI'!T129</f>
        <v>802231.79999999993</v>
      </c>
      <c r="I128" s="10">
        <f t="shared" si="12"/>
        <v>25267.143307086611</v>
      </c>
      <c r="J128" s="32">
        <f t="shared" si="14"/>
        <v>30688.03935293141</v>
      </c>
      <c r="K128" s="10">
        <f t="shared" si="9"/>
        <v>0</v>
      </c>
      <c r="L128" s="10">
        <f t="shared" si="13"/>
        <v>30688.03935293141</v>
      </c>
      <c r="M128" s="10">
        <f>'D) Ecrêtage'!M127</f>
        <v>13518.908661417323</v>
      </c>
      <c r="N128" s="10">
        <f t="shared" si="10"/>
        <v>16810.214514484884</v>
      </c>
      <c r="O128" s="58">
        <f t="shared" si="11"/>
        <v>16810.214514484884</v>
      </c>
    </row>
    <row r="129" spans="1:15" s="220" customFormat="1" x14ac:dyDescent="0.25">
      <c r="A129" s="320">
        <f>'A) Base RI'!A130</f>
        <v>5610</v>
      </c>
      <c r="B129" s="226" t="str">
        <f>'A) Base RI'!B130</f>
        <v>St-Saphorin (Lavaux)</v>
      </c>
      <c r="C129" s="242">
        <v>1</v>
      </c>
      <c r="D129" s="221">
        <f>'B) D RI'!AR130</f>
        <v>391</v>
      </c>
      <c r="E129" s="222">
        <f>'B) D RI'!S130</f>
        <v>70</v>
      </c>
      <c r="F129" s="10">
        <f>'B) D RI'!R130</f>
        <v>1504584.9300000004</v>
      </c>
      <c r="G129" s="10">
        <f>'B) D RI'!U130</f>
        <v>21494.070428571435</v>
      </c>
      <c r="H129" s="42">
        <f>'B) D RI'!T130</f>
        <v>1403677.5800000003</v>
      </c>
      <c r="I129" s="10">
        <f t="shared" si="12"/>
        <v>40105.073714285725</v>
      </c>
      <c r="J129" s="32">
        <f t="shared" si="14"/>
        <v>33516.825103341289</v>
      </c>
      <c r="K129" s="10">
        <f t="shared" si="9"/>
        <v>0</v>
      </c>
      <c r="L129" s="10">
        <f t="shared" si="13"/>
        <v>33516.825103341289</v>
      </c>
      <c r="M129" s="10">
        <f>'D) Ecrêtage'!M128</f>
        <v>21494.070428571435</v>
      </c>
      <c r="N129" s="10">
        <f t="shared" si="10"/>
        <v>26727.004652744734</v>
      </c>
      <c r="O129" s="58">
        <f t="shared" si="11"/>
        <v>26727.004652744734</v>
      </c>
    </row>
    <row r="130" spans="1:15" s="220" customFormat="1" x14ac:dyDescent="0.25">
      <c r="A130" s="320">
        <f>'A) Base RI'!A131</f>
        <v>5611</v>
      </c>
      <c r="B130" s="226" t="str">
        <f>'A) Base RI'!B131</f>
        <v>Savigny</v>
      </c>
      <c r="C130" s="242">
        <v>1</v>
      </c>
      <c r="D130" s="221">
        <f>'B) D RI'!AR131</f>
        <v>3353</v>
      </c>
      <c r="E130" s="222">
        <f>'B) D RI'!S131</f>
        <v>69</v>
      </c>
      <c r="F130" s="10">
        <f>'B) D RI'!R131</f>
        <v>9504577.836666666</v>
      </c>
      <c r="G130" s="10">
        <f>'B) D RI'!U131</f>
        <v>137747.50487922705</v>
      </c>
      <c r="H130" s="42">
        <f>'B) D RI'!T131</f>
        <v>8837934.7699999996</v>
      </c>
      <c r="I130" s="10">
        <f t="shared" si="12"/>
        <v>256172.02231884058</v>
      </c>
      <c r="J130" s="32">
        <f t="shared" si="14"/>
        <v>287421.77639770677</v>
      </c>
      <c r="K130" s="10">
        <f t="shared" si="9"/>
        <v>0</v>
      </c>
      <c r="L130" s="10">
        <f t="shared" si="13"/>
        <v>287421.77639770677</v>
      </c>
      <c r="M130" s="10">
        <f>'D) Ecrêtage'!M129</f>
        <v>137747.50487922705</v>
      </c>
      <c r="N130" s="10">
        <f t="shared" si="10"/>
        <v>171283.43447303801</v>
      </c>
      <c r="O130" s="58">
        <f t="shared" si="11"/>
        <v>171283.43447303801</v>
      </c>
    </row>
    <row r="131" spans="1:15" s="220" customFormat="1" x14ac:dyDescent="0.25">
      <c r="A131" s="320">
        <f>'A) Base RI'!A132</f>
        <v>5613</v>
      </c>
      <c r="B131" s="226" t="str">
        <f>'A) Base RI'!B132</f>
        <v>Bourg-en-Lavaux</v>
      </c>
      <c r="C131" s="242">
        <v>1</v>
      </c>
      <c r="D131" s="221">
        <f>'B) D RI'!AR132</f>
        <v>5367</v>
      </c>
      <c r="E131" s="222">
        <f>'B) D RI'!S132</f>
        <v>61</v>
      </c>
      <c r="F131" s="10">
        <f>'B) D RI'!R132</f>
        <v>17933483.999999996</v>
      </c>
      <c r="G131" s="10">
        <f>'B) D RI'!U132</f>
        <v>293991.54098360648</v>
      </c>
      <c r="H131" s="42">
        <f>'B) D RI'!T132</f>
        <v>16528532.499999998</v>
      </c>
      <c r="I131" s="10">
        <f t="shared" si="12"/>
        <v>541919.09836065571</v>
      </c>
      <c r="J131" s="32">
        <f t="shared" si="14"/>
        <v>460063.4279530248</v>
      </c>
      <c r="K131" s="10">
        <f t="shared" si="9"/>
        <v>0</v>
      </c>
      <c r="L131" s="10">
        <f t="shared" si="13"/>
        <v>460063.4279530248</v>
      </c>
      <c r="M131" s="10">
        <f>'D) Ecrêtage'!M130</f>
        <v>293991.54098360648</v>
      </c>
      <c r="N131" s="10">
        <f t="shared" si="10"/>
        <v>365566.55519708747</v>
      </c>
      <c r="O131" s="58">
        <f t="shared" si="11"/>
        <v>365566.55519708747</v>
      </c>
    </row>
    <row r="132" spans="1:15" s="220" customFormat="1" x14ac:dyDescent="0.25">
      <c r="A132" s="320">
        <f>'A) Base RI'!A133</f>
        <v>5621</v>
      </c>
      <c r="B132" s="226" t="str">
        <f>'A) Base RI'!B133</f>
        <v>Aclens</v>
      </c>
      <c r="C132" s="242">
        <v>0</v>
      </c>
      <c r="D132" s="221">
        <f>'B) D RI'!AR133</f>
        <v>535</v>
      </c>
      <c r="E132" s="222">
        <f>'B) D RI'!S133</f>
        <v>62</v>
      </c>
      <c r="F132" s="10">
        <f>'B) D RI'!R133</f>
        <v>2454874.1954545453</v>
      </c>
      <c r="G132" s="10">
        <f>'B) D RI'!U133</f>
        <v>39594.745087976538</v>
      </c>
      <c r="H132" s="42">
        <f>'B) D RI'!T133</f>
        <v>2157482</v>
      </c>
      <c r="I132" s="10">
        <f t="shared" si="12"/>
        <v>69596.193548387091</v>
      </c>
      <c r="J132" s="32">
        <f t="shared" si="14"/>
        <v>45860.617468766213</v>
      </c>
      <c r="K132" s="10">
        <f t="shared" si="9"/>
        <v>45860.617468766213</v>
      </c>
      <c r="L132" s="10">
        <f t="shared" si="13"/>
        <v>0</v>
      </c>
      <c r="M132" s="10">
        <f>'D) Ecrêtage'!M131</f>
        <v>37690.385795317372</v>
      </c>
      <c r="N132" s="10">
        <f t="shared" si="10"/>
        <v>46866.46579403356</v>
      </c>
      <c r="O132" s="58">
        <f t="shared" si="11"/>
        <v>92727.083262799773</v>
      </c>
    </row>
    <row r="133" spans="1:15" s="220" customFormat="1" x14ac:dyDescent="0.25">
      <c r="A133" s="320">
        <f>'A) Base RI'!A134</f>
        <v>5622</v>
      </c>
      <c r="B133" s="226" t="str">
        <f>'A) Base RI'!B134</f>
        <v>Bremblens</v>
      </c>
      <c r="C133" s="242">
        <v>0</v>
      </c>
      <c r="D133" s="221">
        <f>'B) D RI'!AR134</f>
        <v>548</v>
      </c>
      <c r="E133" s="222">
        <f>'B) D RI'!S134</f>
        <v>66</v>
      </c>
      <c r="F133" s="10">
        <f>'B) D RI'!R134</f>
        <v>1673118.5699999998</v>
      </c>
      <c r="G133" s="10">
        <f>'B) D RI'!U134</f>
        <v>25350.281363636361</v>
      </c>
      <c r="H133" s="42">
        <f>'B) D RI'!T134</f>
        <v>1528749.17</v>
      </c>
      <c r="I133" s="10">
        <f t="shared" si="12"/>
        <v>46325.732424242422</v>
      </c>
      <c r="J133" s="32">
        <f t="shared" si="14"/>
        <v>46974.987612867073</v>
      </c>
      <c r="K133" s="10">
        <f t="shared" si="9"/>
        <v>46325.732424242422</v>
      </c>
      <c r="L133" s="10">
        <f t="shared" si="13"/>
        <v>649.25518862465105</v>
      </c>
      <c r="M133" s="10">
        <f>'D) Ecrêtage'!M132</f>
        <v>25350.281363636361</v>
      </c>
      <c r="N133" s="10">
        <f t="shared" si="10"/>
        <v>31522.046520033127</v>
      </c>
      <c r="O133" s="58">
        <f t="shared" si="11"/>
        <v>77847.778944275546</v>
      </c>
    </row>
    <row r="134" spans="1:15" s="220" customFormat="1" x14ac:dyDescent="0.25">
      <c r="A134" s="320">
        <f>'A) Base RI'!A135</f>
        <v>5623</v>
      </c>
      <c r="B134" s="226" t="str">
        <f>'A) Base RI'!B135</f>
        <v>Buchillon</v>
      </c>
      <c r="C134" s="242">
        <v>1</v>
      </c>
      <c r="D134" s="221">
        <f>'B) D RI'!AR135</f>
        <v>650</v>
      </c>
      <c r="E134" s="222">
        <f>'B) D RI'!S135</f>
        <v>53</v>
      </c>
      <c r="F134" s="10">
        <f>'B) D RI'!R135</f>
        <v>6271952.4799999995</v>
      </c>
      <c r="G134" s="10">
        <f>'B) D RI'!U135</f>
        <v>118338.72603773585</v>
      </c>
      <c r="H134" s="42">
        <f>'B) D RI'!T135</f>
        <v>5932462.1799999997</v>
      </c>
      <c r="I134" s="10">
        <f t="shared" si="12"/>
        <v>223866.49735849057</v>
      </c>
      <c r="J134" s="32">
        <f t="shared" ref="J134:J169" si="15">+$I$315/$D$315*D134</f>
        <v>55718.507205043061</v>
      </c>
      <c r="K134" s="10">
        <f t="shared" ref="K134:K192" si="16">IF(C134=1,0,IF(J134&gt;I134,I134,J134))</f>
        <v>0</v>
      </c>
      <c r="L134" s="10">
        <f t="shared" si="13"/>
        <v>55718.507205043061</v>
      </c>
      <c r="M134" s="10">
        <f>'D) Ecrêtage'!M133</f>
        <v>95555.278269668168</v>
      </c>
      <c r="N134" s="10">
        <f t="shared" ref="N134:N192" si="17">+$N$5*M134</f>
        <v>118819.11224748321</v>
      </c>
      <c r="O134" s="58">
        <f t="shared" ref="O134:O192" si="18">+N134+K134</f>
        <v>118819.11224748321</v>
      </c>
    </row>
    <row r="135" spans="1:15" s="220" customFormat="1" x14ac:dyDescent="0.25">
      <c r="A135" s="320">
        <f>'A) Base RI'!A136</f>
        <v>5624</v>
      </c>
      <c r="B135" s="226" t="str">
        <f>'A) Base RI'!B136</f>
        <v>Bussigny</v>
      </c>
      <c r="C135" s="242">
        <v>1</v>
      </c>
      <c r="D135" s="221">
        <f>'B) D RI'!AR136</f>
        <v>8759</v>
      </c>
      <c r="E135" s="222">
        <f>'B) D RI'!S136</f>
        <v>63</v>
      </c>
      <c r="F135" s="10">
        <f>'B) D RI'!R136</f>
        <v>24178406.560000002</v>
      </c>
      <c r="G135" s="10">
        <f>'B) D RI'!U136</f>
        <v>383784.23111111118</v>
      </c>
      <c r="H135" s="42">
        <f>'B) D RI'!T136</f>
        <v>21860151.629999999</v>
      </c>
      <c r="I135" s="10">
        <f t="shared" ref="I135:I193" si="19">+H135/E135*$I$5</f>
        <v>693973.06761904759</v>
      </c>
      <c r="J135" s="32">
        <f t="shared" si="15"/>
        <v>750828.31478303415</v>
      </c>
      <c r="K135" s="10">
        <f t="shared" si="16"/>
        <v>0</v>
      </c>
      <c r="L135" s="10">
        <f t="shared" ref="L135:L193" si="20">+J135-K135</f>
        <v>750828.31478303415</v>
      </c>
      <c r="M135" s="10">
        <f>'D) Ecrêtage'!M134</f>
        <v>383784.23111111118</v>
      </c>
      <c r="N135" s="10">
        <f t="shared" si="17"/>
        <v>477220.12285406236</v>
      </c>
      <c r="O135" s="58">
        <f t="shared" si="18"/>
        <v>477220.12285406236</v>
      </c>
    </row>
    <row r="136" spans="1:15" s="220" customFormat="1" x14ac:dyDescent="0.25">
      <c r="A136" s="320">
        <f>'A) Base RI'!A137</f>
        <v>5625</v>
      </c>
      <c r="B136" s="226" t="str">
        <f>'A) Base RI'!B137</f>
        <v>Bussy-Chardonney</v>
      </c>
      <c r="C136" s="242">
        <v>0</v>
      </c>
      <c r="D136" s="221">
        <f>'B) D RI'!AR137</f>
        <v>376</v>
      </c>
      <c r="E136" s="222">
        <f>'B) D RI'!S137</f>
        <v>78</v>
      </c>
      <c r="F136" s="10">
        <f>'B) D RI'!R137</f>
        <v>1054275.3583333334</v>
      </c>
      <c r="G136" s="10">
        <f>'B) D RI'!U137</f>
        <v>13516.350747863249</v>
      </c>
      <c r="H136" s="42">
        <f>'B) D RI'!T137</f>
        <v>954880.15</v>
      </c>
      <c r="I136" s="10">
        <f t="shared" si="19"/>
        <v>24484.106410256412</v>
      </c>
      <c r="J136" s="32">
        <f t="shared" si="15"/>
        <v>32231.013398609524</v>
      </c>
      <c r="K136" s="10">
        <f t="shared" si="16"/>
        <v>24484.106410256412</v>
      </c>
      <c r="L136" s="10">
        <f t="shared" si="20"/>
        <v>7746.906988353112</v>
      </c>
      <c r="M136" s="10">
        <f>'D) Ecrêtage'!M135</f>
        <v>13516.350747863249</v>
      </c>
      <c r="N136" s="10">
        <f t="shared" si="17"/>
        <v>16807.033852744324</v>
      </c>
      <c r="O136" s="58">
        <f t="shared" si="18"/>
        <v>41291.140263000736</v>
      </c>
    </row>
    <row r="137" spans="1:15" s="220" customFormat="1" x14ac:dyDescent="0.25">
      <c r="A137" s="320">
        <f>'A) Base RI'!A138</f>
        <v>5627</v>
      </c>
      <c r="B137" s="226" t="str">
        <f>'A) Base RI'!B138</f>
        <v>Chavannes-près-Renens</v>
      </c>
      <c r="C137" s="242">
        <v>1</v>
      </c>
      <c r="D137" s="221">
        <f>'B) D RI'!AR138</f>
        <v>7741</v>
      </c>
      <c r="E137" s="222">
        <f>'B) D RI'!S138</f>
        <v>79</v>
      </c>
      <c r="F137" s="10">
        <f>'B) D RI'!R138</f>
        <v>14390358.723333333</v>
      </c>
      <c r="G137" s="10">
        <f>'B) D RI'!U138</f>
        <v>182156.43953586498</v>
      </c>
      <c r="H137" s="42">
        <f>'B) D RI'!T138</f>
        <v>13078290.34</v>
      </c>
      <c r="I137" s="10">
        <f t="shared" si="19"/>
        <v>331095.95797468355</v>
      </c>
      <c r="J137" s="32">
        <f t="shared" si="15"/>
        <v>663564.56042190513</v>
      </c>
      <c r="K137" s="10">
        <f t="shared" si="16"/>
        <v>0</v>
      </c>
      <c r="L137" s="10">
        <f t="shared" si="20"/>
        <v>663564.56042190513</v>
      </c>
      <c r="M137" s="10">
        <f>'D) Ecrêtage'!M136</f>
        <v>182156.43953586498</v>
      </c>
      <c r="N137" s="10">
        <f t="shared" si="17"/>
        <v>226504.14323249494</v>
      </c>
      <c r="O137" s="58">
        <f t="shared" si="18"/>
        <v>226504.14323249494</v>
      </c>
    </row>
    <row r="138" spans="1:15" s="220" customFormat="1" x14ac:dyDescent="0.25">
      <c r="A138" s="320">
        <f>'A) Base RI'!A139</f>
        <v>5628</v>
      </c>
      <c r="B138" s="226" t="str">
        <f>'A) Base RI'!B139</f>
        <v>Chigny</v>
      </c>
      <c r="C138" s="242">
        <v>0</v>
      </c>
      <c r="D138" s="221">
        <f>'B) D RI'!AR139</f>
        <v>358</v>
      </c>
      <c r="E138" s="222">
        <f>'B) D RI'!S139</f>
        <v>62</v>
      </c>
      <c r="F138" s="10">
        <f>'B) D RI'!R139</f>
        <v>1682638.5499999998</v>
      </c>
      <c r="G138" s="10">
        <f>'B) D RI'!U139</f>
        <v>27139.331451612899</v>
      </c>
      <c r="H138" s="42">
        <f>'B) D RI'!T139</f>
        <v>1594066.3499999999</v>
      </c>
      <c r="I138" s="10">
        <f t="shared" si="19"/>
        <v>51421.495161290317</v>
      </c>
      <c r="J138" s="32">
        <f t="shared" si="15"/>
        <v>30688.03935293141</v>
      </c>
      <c r="K138" s="10">
        <f t="shared" si="16"/>
        <v>30688.03935293141</v>
      </c>
      <c r="L138" s="10">
        <f t="shared" si="20"/>
        <v>0</v>
      </c>
      <c r="M138" s="10">
        <f>'D) Ecrêtage'!M137</f>
        <v>25716.856589278395</v>
      </c>
      <c r="N138" s="10">
        <f t="shared" si="17"/>
        <v>31977.867942684283</v>
      </c>
      <c r="O138" s="58">
        <f t="shared" si="18"/>
        <v>62665.907295615689</v>
      </c>
    </row>
    <row r="139" spans="1:15" s="220" customFormat="1" x14ac:dyDescent="0.25">
      <c r="A139" s="320">
        <f>'A) Base RI'!A140</f>
        <v>5629</v>
      </c>
      <c r="B139" s="226" t="str">
        <f>'A) Base RI'!B140</f>
        <v>Clarmont</v>
      </c>
      <c r="C139" s="242">
        <v>0</v>
      </c>
      <c r="D139" s="221">
        <f>'B) D RI'!AR140</f>
        <v>190</v>
      </c>
      <c r="E139" s="222">
        <f>'B) D RI'!S140</f>
        <v>75</v>
      </c>
      <c r="F139" s="10">
        <f>'B) D RI'!R140</f>
        <v>522006.89999999991</v>
      </c>
      <c r="G139" s="10">
        <f>'B) D RI'!U140</f>
        <v>6960.0919999999987</v>
      </c>
      <c r="H139" s="42">
        <f>'B) D RI'!T140</f>
        <v>490568.74999999994</v>
      </c>
      <c r="I139" s="10">
        <f t="shared" si="19"/>
        <v>13081.833333333332</v>
      </c>
      <c r="J139" s="32">
        <f t="shared" si="15"/>
        <v>16286.948259935665</v>
      </c>
      <c r="K139" s="10">
        <f t="shared" si="16"/>
        <v>13081.833333333332</v>
      </c>
      <c r="L139" s="10">
        <f t="shared" si="20"/>
        <v>3205.1149266023331</v>
      </c>
      <c r="M139" s="10">
        <f>'D) Ecrêtage'!M138</f>
        <v>6960.0919999999987</v>
      </c>
      <c r="N139" s="10">
        <f t="shared" si="17"/>
        <v>8654.5920599691181</v>
      </c>
      <c r="O139" s="58">
        <f t="shared" si="18"/>
        <v>21736.425393302452</v>
      </c>
    </row>
    <row r="140" spans="1:15" s="220" customFormat="1" x14ac:dyDescent="0.25">
      <c r="A140" s="320">
        <f>'A) Base RI'!A141</f>
        <v>5631</v>
      </c>
      <c r="B140" s="226" t="str">
        <f>'A) Base RI'!B141</f>
        <v>Denens</v>
      </c>
      <c r="C140" s="242">
        <v>0</v>
      </c>
      <c r="D140" s="221">
        <f>'B) D RI'!AR141</f>
        <v>747</v>
      </c>
      <c r="E140" s="222">
        <f>'B) D RI'!S141</f>
        <v>70</v>
      </c>
      <c r="F140" s="10">
        <f>'B) D RI'!R141</f>
        <v>3073625.65</v>
      </c>
      <c r="G140" s="10">
        <f>'B) D RI'!U141</f>
        <v>43908.937857142853</v>
      </c>
      <c r="H140" s="42">
        <f>'B) D RI'!T141</f>
        <v>2870267.8</v>
      </c>
      <c r="I140" s="10">
        <f t="shared" si="19"/>
        <v>82007.651428571422</v>
      </c>
      <c r="J140" s="32">
        <f t="shared" si="15"/>
        <v>64033.422895641801</v>
      </c>
      <c r="K140" s="10">
        <f t="shared" si="16"/>
        <v>64033.422895641801</v>
      </c>
      <c r="L140" s="10">
        <f t="shared" si="20"/>
        <v>0</v>
      </c>
      <c r="M140" s="10">
        <f>'D) Ecrêtage'!M139</f>
        <v>43469.932701404548</v>
      </c>
      <c r="N140" s="10">
        <f t="shared" si="17"/>
        <v>54053.097919534368</v>
      </c>
      <c r="O140" s="58">
        <f t="shared" si="18"/>
        <v>118086.52081517616</v>
      </c>
    </row>
    <row r="141" spans="1:15" s="220" customFormat="1" x14ac:dyDescent="0.25">
      <c r="A141" s="320">
        <f>'A) Base RI'!A142</f>
        <v>5632</v>
      </c>
      <c r="B141" s="226" t="str">
        <f>'A) Base RI'!B142</f>
        <v>Denges</v>
      </c>
      <c r="C141" s="242">
        <v>0</v>
      </c>
      <c r="D141" s="221">
        <f>'B) D RI'!AR142</f>
        <v>1610</v>
      </c>
      <c r="E141" s="222">
        <f>'B) D RI'!S142</f>
        <v>62</v>
      </c>
      <c r="F141" s="10">
        <f>'B) D RI'!R142</f>
        <v>4278632.0999999996</v>
      </c>
      <c r="G141" s="10">
        <f>'B) D RI'!U142</f>
        <v>69010.195161290321</v>
      </c>
      <c r="H141" s="42">
        <f>'B) D RI'!T142</f>
        <v>4016057.15</v>
      </c>
      <c r="I141" s="10">
        <f t="shared" si="19"/>
        <v>129550.23064516128</v>
      </c>
      <c r="J141" s="32">
        <f t="shared" si="15"/>
        <v>138010.45630787589</v>
      </c>
      <c r="K141" s="10">
        <f t="shared" si="16"/>
        <v>129550.23064516128</v>
      </c>
      <c r="L141" s="10">
        <f t="shared" si="20"/>
        <v>8460.2256627146126</v>
      </c>
      <c r="M141" s="10">
        <f>'D) Ecrêtage'!M140</f>
        <v>69010.195161290321</v>
      </c>
      <c r="N141" s="10">
        <f t="shared" si="17"/>
        <v>85811.378226009459</v>
      </c>
      <c r="O141" s="58">
        <f t="shared" si="18"/>
        <v>215361.60887117073</v>
      </c>
    </row>
    <row r="142" spans="1:15" s="220" customFormat="1" x14ac:dyDescent="0.25">
      <c r="A142" s="320">
        <f>'A) Base RI'!A143</f>
        <v>5633</v>
      </c>
      <c r="B142" s="226" t="str">
        <f>'A) Base RI'!B143</f>
        <v>Echandens</v>
      </c>
      <c r="C142" s="242">
        <v>0</v>
      </c>
      <c r="D142" s="221">
        <f>'B) D RI'!AR143</f>
        <v>2789</v>
      </c>
      <c r="E142" s="222">
        <f>'B) D RI'!S143</f>
        <v>62</v>
      </c>
      <c r="F142" s="10">
        <f>'B) D RI'!R143</f>
        <v>8616682.3899999987</v>
      </c>
      <c r="G142" s="10">
        <f>'B) D RI'!U143</f>
        <v>138978.74822580643</v>
      </c>
      <c r="H142" s="42">
        <f>'B) D RI'!T143</f>
        <v>7982557.6399999997</v>
      </c>
      <c r="I142" s="10">
        <f t="shared" si="19"/>
        <v>257501.8593548387</v>
      </c>
      <c r="J142" s="32">
        <f t="shared" si="15"/>
        <v>239075.25629979247</v>
      </c>
      <c r="K142" s="10">
        <f t="shared" si="16"/>
        <v>239075.25629979247</v>
      </c>
      <c r="L142" s="10">
        <f t="shared" si="20"/>
        <v>0</v>
      </c>
      <c r="M142" s="10">
        <f>'D) Ecrêtage'!M141</f>
        <v>138978.74822580643</v>
      </c>
      <c r="N142" s="10">
        <f t="shared" si="17"/>
        <v>172814.43562807958</v>
      </c>
      <c r="O142" s="58">
        <f t="shared" si="18"/>
        <v>411889.69192787202</v>
      </c>
    </row>
    <row r="143" spans="1:15" s="220" customFormat="1" x14ac:dyDescent="0.25">
      <c r="A143" s="320">
        <f>'A) Base RI'!A144</f>
        <v>5634</v>
      </c>
      <c r="B143" s="226" t="str">
        <f>'A) Base RI'!B144</f>
        <v>Echichens</v>
      </c>
      <c r="C143" s="242">
        <v>0</v>
      </c>
      <c r="D143" s="221">
        <f>'B) D RI'!AR144</f>
        <v>3050</v>
      </c>
      <c r="E143" s="222">
        <f>'B) D RI'!S144</f>
        <v>68</v>
      </c>
      <c r="F143" s="10">
        <f>'B) D RI'!R144</f>
        <v>11786287.910000002</v>
      </c>
      <c r="G143" s="10">
        <f>'B) D RI'!U144</f>
        <v>173327.76338235298</v>
      </c>
      <c r="H143" s="42">
        <f>'B) D RI'!T144</f>
        <v>11170307.560000001</v>
      </c>
      <c r="I143" s="10">
        <f t="shared" si="19"/>
        <v>328538.45764705882</v>
      </c>
      <c r="J143" s="32">
        <f t="shared" si="15"/>
        <v>261448.37996212515</v>
      </c>
      <c r="K143" s="10">
        <f t="shared" si="16"/>
        <v>261448.37996212515</v>
      </c>
      <c r="L143" s="10">
        <f t="shared" si="20"/>
        <v>0</v>
      </c>
      <c r="M143" s="10">
        <f>'D) Ecrêtage'!M142</f>
        <v>172606.73271860249</v>
      </c>
      <c r="N143" s="10">
        <f t="shared" si="17"/>
        <v>214629.47019717976</v>
      </c>
      <c r="O143" s="58">
        <f t="shared" si="18"/>
        <v>476077.85015930491</v>
      </c>
    </row>
    <row r="144" spans="1:15" s="220" customFormat="1" x14ac:dyDescent="0.25">
      <c r="A144" s="320">
        <f>'A) Base RI'!A145</f>
        <v>5635</v>
      </c>
      <c r="B144" s="226" t="str">
        <f>'A) Base RI'!B145</f>
        <v>Ecublens</v>
      </c>
      <c r="C144" s="242">
        <v>1</v>
      </c>
      <c r="D144" s="221">
        <f>'B) D RI'!AR145</f>
        <v>12939</v>
      </c>
      <c r="E144" s="222">
        <f>'B) D RI'!S145</f>
        <v>64</v>
      </c>
      <c r="F144" s="10">
        <f>'B) D RI'!R145</f>
        <v>27974802.601666674</v>
      </c>
      <c r="G144" s="10">
        <f>'B) D RI'!U145</f>
        <v>437106.29065104178</v>
      </c>
      <c r="H144" s="42">
        <f>'B) D RI'!T145</f>
        <v>25235131.210000005</v>
      </c>
      <c r="I144" s="10">
        <f t="shared" si="19"/>
        <v>788597.85031250014</v>
      </c>
      <c r="J144" s="32">
        <f t="shared" si="15"/>
        <v>1109141.1765016187</v>
      </c>
      <c r="K144" s="10">
        <f t="shared" si="16"/>
        <v>0</v>
      </c>
      <c r="L144" s="10">
        <f t="shared" si="20"/>
        <v>1109141.1765016187</v>
      </c>
      <c r="M144" s="10">
        <f>'D) Ecrêtage'!M143</f>
        <v>437106.29065104178</v>
      </c>
      <c r="N144" s="10">
        <f t="shared" si="17"/>
        <v>543523.94083742867</v>
      </c>
      <c r="O144" s="58">
        <f t="shared" si="18"/>
        <v>543523.94083742867</v>
      </c>
    </row>
    <row r="145" spans="1:15" s="220" customFormat="1" x14ac:dyDescent="0.25">
      <c r="A145" s="320">
        <f>'A) Base RI'!A146</f>
        <v>5636</v>
      </c>
      <c r="B145" s="226" t="str">
        <f>'A) Base RI'!B146</f>
        <v>Etoy</v>
      </c>
      <c r="C145" s="242">
        <v>0</v>
      </c>
      <c r="D145" s="221">
        <f>'B) D RI'!AR146</f>
        <v>2905</v>
      </c>
      <c r="E145" s="222">
        <f>'B) D RI'!S146</f>
        <v>61</v>
      </c>
      <c r="F145" s="10">
        <f>'B) D RI'!R146</f>
        <v>11460187.469999999</v>
      </c>
      <c r="G145" s="10">
        <f>'B) D RI'!U146</f>
        <v>187871.92573770491</v>
      </c>
      <c r="H145" s="42">
        <f>'B) D RI'!T146</f>
        <v>9960085.4199999999</v>
      </c>
      <c r="I145" s="10">
        <f t="shared" si="19"/>
        <v>326560.17770491802</v>
      </c>
      <c r="J145" s="32">
        <f t="shared" si="15"/>
        <v>249018.86681638478</v>
      </c>
      <c r="K145" s="10">
        <f t="shared" si="16"/>
        <v>249018.86681638478</v>
      </c>
      <c r="L145" s="10">
        <f t="shared" si="20"/>
        <v>0</v>
      </c>
      <c r="M145" s="10">
        <f>'D) Ecrêtage'!M144</f>
        <v>183083.99333260235</v>
      </c>
      <c r="N145" s="10">
        <f t="shared" si="17"/>
        <v>227657.51875173196</v>
      </c>
      <c r="O145" s="58">
        <f t="shared" si="18"/>
        <v>476676.38556811673</v>
      </c>
    </row>
    <row r="146" spans="1:15" s="220" customFormat="1" x14ac:dyDescent="0.25">
      <c r="A146" s="320">
        <f>'A) Base RI'!A147</f>
        <v>5637</v>
      </c>
      <c r="B146" s="226" t="str">
        <f>'A) Base RI'!B147</f>
        <v>Lavigny</v>
      </c>
      <c r="C146" s="242">
        <v>0</v>
      </c>
      <c r="D146" s="221">
        <f>'B) D RI'!AR147</f>
        <v>999</v>
      </c>
      <c r="E146" s="222">
        <f>'B) D RI'!S147</f>
        <v>74.5</v>
      </c>
      <c r="F146" s="10">
        <f>'B) D RI'!R147</f>
        <v>2671347.8633333333</v>
      </c>
      <c r="G146" s="10">
        <f>'B) D RI'!U147</f>
        <v>35857.018299776282</v>
      </c>
      <c r="H146" s="42">
        <f>'B) D RI'!T147</f>
        <v>2478404.2800000003</v>
      </c>
      <c r="I146" s="10">
        <f t="shared" si="19"/>
        <v>66534.34308724833</v>
      </c>
      <c r="J146" s="32">
        <f t="shared" si="15"/>
        <v>85635.059535135413</v>
      </c>
      <c r="K146" s="10">
        <f t="shared" si="16"/>
        <v>66534.34308724833</v>
      </c>
      <c r="L146" s="10">
        <f t="shared" si="20"/>
        <v>19100.716447887084</v>
      </c>
      <c r="M146" s="10">
        <f>'D) Ecrêtage'!M145</f>
        <v>35857.018299776282</v>
      </c>
      <c r="N146" s="10">
        <f t="shared" si="17"/>
        <v>44586.747685434508</v>
      </c>
      <c r="O146" s="58">
        <f t="shared" si="18"/>
        <v>111121.09077268283</v>
      </c>
    </row>
    <row r="147" spans="1:15" s="220" customFormat="1" x14ac:dyDescent="0.25">
      <c r="A147" s="320">
        <f>'A) Base RI'!A148</f>
        <v>5638</v>
      </c>
      <c r="B147" s="226" t="str">
        <f>'A) Base RI'!B148</f>
        <v>Lonay</v>
      </c>
      <c r="C147" s="242">
        <v>0</v>
      </c>
      <c r="D147" s="221">
        <f>'B) D RI'!AR148</f>
        <v>2593</v>
      </c>
      <c r="E147" s="222">
        <f>'B) D RI'!S148</f>
        <v>55</v>
      </c>
      <c r="F147" s="10">
        <f>'B) D RI'!R148</f>
        <v>9249880.9899999984</v>
      </c>
      <c r="G147" s="10">
        <f>'B) D RI'!U148</f>
        <v>168179.65436363633</v>
      </c>
      <c r="H147" s="42">
        <f>'B) D RI'!T148</f>
        <v>8581361.9899999984</v>
      </c>
      <c r="I147" s="10">
        <f t="shared" si="19"/>
        <v>312049.52690909087</v>
      </c>
      <c r="J147" s="32">
        <f t="shared" si="15"/>
        <v>222273.98335796408</v>
      </c>
      <c r="K147" s="10">
        <f t="shared" si="16"/>
        <v>222273.98335796408</v>
      </c>
      <c r="L147" s="10">
        <f t="shared" si="20"/>
        <v>0</v>
      </c>
      <c r="M147" s="10">
        <f>'D) Ecrêtage'!M146</f>
        <v>163818.58469948487</v>
      </c>
      <c r="N147" s="10">
        <f t="shared" si="17"/>
        <v>203701.76463407962</v>
      </c>
      <c r="O147" s="58">
        <f t="shared" si="18"/>
        <v>425975.74799204373</v>
      </c>
    </row>
    <row r="148" spans="1:15" s="220" customFormat="1" x14ac:dyDescent="0.25">
      <c r="A148" s="320">
        <f>'A) Base RI'!A149</f>
        <v>5639</v>
      </c>
      <c r="B148" s="226" t="str">
        <f>'A) Base RI'!B149</f>
        <v>Lully</v>
      </c>
      <c r="C148" s="242">
        <v>0</v>
      </c>
      <c r="D148" s="221">
        <f>'B) D RI'!AR149</f>
        <v>790</v>
      </c>
      <c r="E148" s="222">
        <f>'B) D RI'!S149</f>
        <v>61</v>
      </c>
      <c r="F148" s="10">
        <f>'B) D RI'!R149</f>
        <v>2852437.73</v>
      </c>
      <c r="G148" s="10">
        <f>'B) D RI'!U149</f>
        <v>46761.274262295083</v>
      </c>
      <c r="H148" s="42">
        <f>'B) D RI'!T149</f>
        <v>2652730.96</v>
      </c>
      <c r="I148" s="10">
        <f t="shared" si="19"/>
        <v>86974.785573770496</v>
      </c>
      <c r="J148" s="32">
        <f t="shared" si="15"/>
        <v>67719.416449206183</v>
      </c>
      <c r="K148" s="10">
        <f t="shared" si="16"/>
        <v>67719.416449206183</v>
      </c>
      <c r="L148" s="10">
        <f t="shared" si="20"/>
        <v>0</v>
      </c>
      <c r="M148" s="10">
        <f>'D) Ecrêtage'!M147</f>
        <v>46238.537920854986</v>
      </c>
      <c r="N148" s="10">
        <f t="shared" si="17"/>
        <v>57495.746199103778</v>
      </c>
      <c r="O148" s="58">
        <f t="shared" si="18"/>
        <v>125215.16264830995</v>
      </c>
    </row>
    <row r="149" spans="1:15" s="220" customFormat="1" x14ac:dyDescent="0.25">
      <c r="A149" s="320">
        <f>'A) Base RI'!A150</f>
        <v>5640</v>
      </c>
      <c r="B149" s="226" t="str">
        <f>'A) Base RI'!B150</f>
        <v>Lussy-sur-Morges</v>
      </c>
      <c r="C149" s="242">
        <v>1</v>
      </c>
      <c r="D149" s="221">
        <f>'B) D RI'!AR150</f>
        <v>687</v>
      </c>
      <c r="E149" s="222">
        <f>'B) D RI'!S150</f>
        <v>66</v>
      </c>
      <c r="F149" s="10">
        <f>'B) D RI'!R150</f>
        <v>3499873.7999999993</v>
      </c>
      <c r="G149" s="10">
        <f>'B) D RI'!U150</f>
        <v>53028.3909090909</v>
      </c>
      <c r="H149" s="42">
        <f>'B) D RI'!T150</f>
        <v>3306265.5999999996</v>
      </c>
      <c r="I149" s="10">
        <f t="shared" si="19"/>
        <v>100189.86666666665</v>
      </c>
      <c r="J149" s="32">
        <f t="shared" si="15"/>
        <v>58890.176076714743</v>
      </c>
      <c r="K149" s="10">
        <f t="shared" si="16"/>
        <v>0</v>
      </c>
      <c r="L149" s="10">
        <f t="shared" si="20"/>
        <v>58890.176076714743</v>
      </c>
      <c r="M149" s="10">
        <f>'D) Ecrêtage'!M148</f>
        <v>50080.591536998734</v>
      </c>
      <c r="N149" s="10">
        <f t="shared" si="17"/>
        <v>62273.184014617327</v>
      </c>
      <c r="O149" s="58">
        <f t="shared" si="18"/>
        <v>62273.184014617327</v>
      </c>
    </row>
    <row r="150" spans="1:15" s="220" customFormat="1" x14ac:dyDescent="0.25">
      <c r="A150" s="320">
        <f>'A) Base RI'!A151</f>
        <v>5642</v>
      </c>
      <c r="B150" s="226" t="str">
        <f>'A) Base RI'!B151</f>
        <v>Morges</v>
      </c>
      <c r="C150" s="242">
        <v>1</v>
      </c>
      <c r="D150" s="221">
        <f>'B) D RI'!AR151</f>
        <v>15725</v>
      </c>
      <c r="E150" s="222">
        <f>'B) D RI'!S151</f>
        <v>68.5</v>
      </c>
      <c r="F150" s="10">
        <f>'B) D RI'!R151</f>
        <v>52006747.729999997</v>
      </c>
      <c r="G150" s="10">
        <f>'B) D RI'!U151</f>
        <v>759222.5945985401</v>
      </c>
      <c r="H150" s="42">
        <f>'B) D RI'!T151</f>
        <v>48405399.880000003</v>
      </c>
      <c r="I150" s="10">
        <f t="shared" si="19"/>
        <v>1413296.346861314</v>
      </c>
      <c r="J150" s="32">
        <f t="shared" si="15"/>
        <v>1347959.270460465</v>
      </c>
      <c r="K150" s="10">
        <f t="shared" si="16"/>
        <v>0</v>
      </c>
      <c r="L150" s="10">
        <f t="shared" si="20"/>
        <v>1347959.270460465</v>
      </c>
      <c r="M150" s="10">
        <f>'D) Ecrêtage'!M149</f>
        <v>759222.5945985401</v>
      </c>
      <c r="N150" s="10">
        <f t="shared" si="17"/>
        <v>944062.49787526939</v>
      </c>
      <c r="O150" s="58">
        <f t="shared" si="18"/>
        <v>944062.49787526939</v>
      </c>
    </row>
    <row r="151" spans="1:15" s="220" customFormat="1" x14ac:dyDescent="0.25">
      <c r="A151" s="320">
        <f>'A) Base RI'!A152</f>
        <v>5643</v>
      </c>
      <c r="B151" s="226" t="str">
        <f>'A) Base RI'!B152</f>
        <v>Préverenges</v>
      </c>
      <c r="C151" s="242">
        <v>1</v>
      </c>
      <c r="D151" s="221">
        <f>'B) D RI'!AR152</f>
        <v>5298</v>
      </c>
      <c r="E151" s="222">
        <f>'B) D RI'!S152</f>
        <v>64</v>
      </c>
      <c r="F151" s="10">
        <f>'B) D RI'!R152</f>
        <v>16643431.32</v>
      </c>
      <c r="G151" s="10">
        <f>'B) D RI'!U152</f>
        <v>260053.614375</v>
      </c>
      <c r="H151" s="42">
        <f>'B) D RI'!T152</f>
        <v>15429405.52</v>
      </c>
      <c r="I151" s="10">
        <f t="shared" si="19"/>
        <v>482168.92249999999</v>
      </c>
      <c r="J151" s="32">
        <f t="shared" si="15"/>
        <v>454148.69411125866</v>
      </c>
      <c r="K151" s="10">
        <f t="shared" si="16"/>
        <v>0</v>
      </c>
      <c r="L151" s="10">
        <f t="shared" si="20"/>
        <v>454148.69411125866</v>
      </c>
      <c r="M151" s="10">
        <f>'D) Ecrêtage'!M150</f>
        <v>260053.614375</v>
      </c>
      <c r="N151" s="10">
        <f t="shared" si="17"/>
        <v>323366.12018004165</v>
      </c>
      <c r="O151" s="58">
        <f t="shared" si="18"/>
        <v>323366.12018004165</v>
      </c>
    </row>
    <row r="152" spans="1:15" s="220" customFormat="1" x14ac:dyDescent="0.25">
      <c r="A152" s="320">
        <f>'A) Base RI'!A153</f>
        <v>5644</v>
      </c>
      <c r="B152" s="226" t="str">
        <f>'A) Base RI'!B153</f>
        <v>Reverolle</v>
      </c>
      <c r="C152" s="242">
        <v>0</v>
      </c>
      <c r="D152" s="221">
        <f>'B) D RI'!AR153</f>
        <v>399</v>
      </c>
      <c r="E152" s="222">
        <f>'B) D RI'!S153</f>
        <v>76</v>
      </c>
      <c r="F152" s="10">
        <f>'B) D RI'!R153</f>
        <v>1013962.7300000001</v>
      </c>
      <c r="G152" s="10">
        <f>'B) D RI'!U153</f>
        <v>13341.614868421055</v>
      </c>
      <c r="H152" s="42">
        <f>'B) D RI'!T153</f>
        <v>937060.28000000014</v>
      </c>
      <c r="I152" s="10">
        <f t="shared" si="19"/>
        <v>24659.481052631581</v>
      </c>
      <c r="J152" s="32">
        <f t="shared" si="15"/>
        <v>34202.591345864894</v>
      </c>
      <c r="K152" s="10">
        <f t="shared" si="16"/>
        <v>24659.481052631581</v>
      </c>
      <c r="L152" s="10">
        <f t="shared" si="20"/>
        <v>9543.1102932333124</v>
      </c>
      <c r="M152" s="10">
        <f>'D) Ecrêtage'!M151</f>
        <v>13341.614868421055</v>
      </c>
      <c r="N152" s="10">
        <f t="shared" si="17"/>
        <v>16589.756874966999</v>
      </c>
      <c r="O152" s="58">
        <f t="shared" si="18"/>
        <v>41249.23792759858</v>
      </c>
    </row>
    <row r="153" spans="1:15" s="220" customFormat="1" x14ac:dyDescent="0.25">
      <c r="A153" s="320">
        <f>'A) Base RI'!A154</f>
        <v>5645</v>
      </c>
      <c r="B153" s="226" t="str">
        <f>'A) Base RI'!B154</f>
        <v>Romanel-sur-Morges</v>
      </c>
      <c r="C153" s="242">
        <v>0</v>
      </c>
      <c r="D153" s="221">
        <f>'B) D RI'!AR154</f>
        <v>458</v>
      </c>
      <c r="E153" s="222">
        <f>'B) D RI'!S154</f>
        <v>56</v>
      </c>
      <c r="F153" s="10">
        <f>'B) D RI'!R154</f>
        <v>1490381.3150000004</v>
      </c>
      <c r="G153" s="10">
        <f>'B) D RI'!U154</f>
        <v>26613.952053571436</v>
      </c>
      <c r="H153" s="42">
        <f>'B) D RI'!T154</f>
        <v>1323267.5900000003</v>
      </c>
      <c r="I153" s="10">
        <f t="shared" si="19"/>
        <v>47259.556785714296</v>
      </c>
      <c r="J153" s="32">
        <f t="shared" si="15"/>
        <v>39260.1173844765</v>
      </c>
      <c r="K153" s="10">
        <f t="shared" si="16"/>
        <v>39260.1173844765</v>
      </c>
      <c r="L153" s="10">
        <f t="shared" si="20"/>
        <v>0</v>
      </c>
      <c r="M153" s="10">
        <f>'D) Ecrêtage'!M152</f>
        <v>26400.132083680532</v>
      </c>
      <c r="N153" s="10">
        <f t="shared" si="17"/>
        <v>32827.493302323812</v>
      </c>
      <c r="O153" s="58">
        <f t="shared" si="18"/>
        <v>72087.610686800312</v>
      </c>
    </row>
    <row r="154" spans="1:15" s="220" customFormat="1" x14ac:dyDescent="0.25">
      <c r="A154" s="320">
        <f>'A) Base RI'!A155</f>
        <v>5646</v>
      </c>
      <c r="B154" s="226" t="str">
        <f>'A) Base RI'!B155</f>
        <v>Saint-Prex</v>
      </c>
      <c r="C154" s="242">
        <v>1</v>
      </c>
      <c r="D154" s="221">
        <f>'B) D RI'!AR155</f>
        <v>5684</v>
      </c>
      <c r="E154" s="222">
        <f>'B) D RI'!S155</f>
        <v>55</v>
      </c>
      <c r="F154" s="10">
        <f>'B) D RI'!R155</f>
        <v>27769644.670000002</v>
      </c>
      <c r="G154" s="10">
        <f>'B) D RI'!U155</f>
        <v>504902.63036363642</v>
      </c>
      <c r="H154" s="42">
        <f>'B) D RI'!T155</f>
        <v>26043876.82</v>
      </c>
      <c r="I154" s="10">
        <f t="shared" si="19"/>
        <v>947050.06618181814</v>
      </c>
      <c r="J154" s="32">
        <f t="shared" si="15"/>
        <v>487236.91531302274</v>
      </c>
      <c r="K154" s="10">
        <f t="shared" si="16"/>
        <v>0</v>
      </c>
      <c r="L154" s="10">
        <f t="shared" si="20"/>
        <v>487236.91531302274</v>
      </c>
      <c r="M154" s="10">
        <f>'D) Ecrêtage'!M153</f>
        <v>465295.81777053984</v>
      </c>
      <c r="N154" s="10">
        <f t="shared" si="17"/>
        <v>578576.47427846538</v>
      </c>
      <c r="O154" s="58">
        <f t="shared" si="18"/>
        <v>578576.47427846538</v>
      </c>
    </row>
    <row r="155" spans="1:15" s="220" customFormat="1" x14ac:dyDescent="0.25">
      <c r="A155" s="320">
        <f>'A) Base RI'!A156</f>
        <v>5648</v>
      </c>
      <c r="B155" s="226" t="str">
        <f>'A) Base RI'!B156</f>
        <v>Saint-Sulpice</v>
      </c>
      <c r="C155" s="242">
        <v>1</v>
      </c>
      <c r="D155" s="221">
        <f>'B) D RI'!AR156</f>
        <v>4669</v>
      </c>
      <c r="E155" s="222">
        <f>'B) D RI'!S156</f>
        <v>55</v>
      </c>
      <c r="F155" s="10">
        <f>'B) D RI'!R156</f>
        <v>15140687.567499999</v>
      </c>
      <c r="G155" s="10">
        <f>'B) D RI'!U156</f>
        <v>275285.22849999997</v>
      </c>
      <c r="H155" s="42">
        <f>'B) D RI'!T156</f>
        <v>13720874.079999998</v>
      </c>
      <c r="I155" s="10">
        <f t="shared" si="19"/>
        <v>498940.87563636358</v>
      </c>
      <c r="J155" s="32">
        <f t="shared" si="15"/>
        <v>400230.3232928401</v>
      </c>
      <c r="K155" s="10">
        <f t="shared" si="16"/>
        <v>0</v>
      </c>
      <c r="L155" s="10">
        <f t="shared" si="20"/>
        <v>400230.3232928401</v>
      </c>
      <c r="M155" s="10">
        <f>'D) Ecrêtage'!M154</f>
        <v>272390.15842991677</v>
      </c>
      <c r="N155" s="10">
        <f t="shared" si="17"/>
        <v>338706.11226996547</v>
      </c>
      <c r="O155" s="58">
        <f t="shared" si="18"/>
        <v>338706.11226996547</v>
      </c>
    </row>
    <row r="156" spans="1:15" s="220" customFormat="1" x14ac:dyDescent="0.25">
      <c r="A156" s="320">
        <f>'A) Base RI'!A157</f>
        <v>5649</v>
      </c>
      <c r="B156" s="226" t="str">
        <f>'A) Base RI'!B157</f>
        <v>Tolochenaz</v>
      </c>
      <c r="C156" s="242">
        <v>1</v>
      </c>
      <c r="D156" s="221">
        <f>'B) D RI'!AR157</f>
        <v>1933</v>
      </c>
      <c r="E156" s="222">
        <f>'B) D RI'!S157</f>
        <v>65</v>
      </c>
      <c r="F156" s="10">
        <f>'B) D RI'!R157</f>
        <v>8738037.839999998</v>
      </c>
      <c r="G156" s="10">
        <f>'B) D RI'!U157</f>
        <v>134431.35138461535</v>
      </c>
      <c r="H156" s="42">
        <f>'B) D RI'!T157</f>
        <v>8136607.0399999991</v>
      </c>
      <c r="I156" s="10">
        <f t="shared" si="19"/>
        <v>250357.13969230765</v>
      </c>
      <c r="J156" s="32">
        <f t="shared" si="15"/>
        <v>165698.26834976653</v>
      </c>
      <c r="K156" s="10">
        <f t="shared" si="16"/>
        <v>0</v>
      </c>
      <c r="L156" s="10">
        <f t="shared" si="20"/>
        <v>165698.26834976653</v>
      </c>
      <c r="M156" s="10">
        <f>'D) Ecrêtage'!M155</f>
        <v>129535.13347447779</v>
      </c>
      <c r="N156" s="10">
        <f t="shared" si="17"/>
        <v>161071.68377303856</v>
      </c>
      <c r="O156" s="58">
        <f t="shared" si="18"/>
        <v>161071.68377303856</v>
      </c>
    </row>
    <row r="157" spans="1:15" s="220" customFormat="1" x14ac:dyDescent="0.25">
      <c r="A157" s="320">
        <f>'A) Base RI'!A158</f>
        <v>5650</v>
      </c>
      <c r="B157" s="226" t="str">
        <f>'A) Base RI'!B158</f>
        <v>Vaux-sur-Morges</v>
      </c>
      <c r="C157" s="242">
        <v>0</v>
      </c>
      <c r="D157" s="221">
        <f>'B) D RI'!AR158</f>
        <v>184</v>
      </c>
      <c r="E157" s="222">
        <f>'B) D RI'!S158</f>
        <v>56</v>
      </c>
      <c r="F157" s="10">
        <f>'B) D RI'!R158</f>
        <v>10364232.870000001</v>
      </c>
      <c r="G157" s="10">
        <f>'B) D RI'!U158</f>
        <v>185075.58696428573</v>
      </c>
      <c r="H157" s="42">
        <f>'B) D RI'!T158</f>
        <v>10320005.91</v>
      </c>
      <c r="I157" s="10">
        <f t="shared" si="19"/>
        <v>368571.63964285713</v>
      </c>
      <c r="J157" s="32">
        <f t="shared" si="15"/>
        <v>15772.62357804296</v>
      </c>
      <c r="K157" s="10">
        <f t="shared" si="16"/>
        <v>15772.62357804296</v>
      </c>
      <c r="L157" s="10">
        <f t="shared" si="20"/>
        <v>0</v>
      </c>
      <c r="M157" s="10">
        <f>'D) Ecrêtage'!M156</f>
        <v>128605.83258251277</v>
      </c>
      <c r="N157" s="10">
        <f t="shared" si="17"/>
        <v>159916.13581175837</v>
      </c>
      <c r="O157" s="58">
        <f t="shared" si="18"/>
        <v>175688.75938980133</v>
      </c>
    </row>
    <row r="158" spans="1:15" s="220" customFormat="1" x14ac:dyDescent="0.25">
      <c r="A158" s="320">
        <f>'A) Base RI'!A159</f>
        <v>5651</v>
      </c>
      <c r="B158" s="226" t="str">
        <f>'A) Base RI'!B159</f>
        <v>Villars-Sainte-Croix</v>
      </c>
      <c r="C158" s="242">
        <v>1</v>
      </c>
      <c r="D158" s="221">
        <f>'B) D RI'!AR159</f>
        <v>963</v>
      </c>
      <c r="E158" s="222">
        <f>'B) D RI'!S159</f>
        <v>59</v>
      </c>
      <c r="F158" s="10">
        <f>'B) D RI'!R159</f>
        <v>3427435.2699999996</v>
      </c>
      <c r="G158" s="10">
        <f>'B) D RI'!U159</f>
        <v>58092.123220338974</v>
      </c>
      <c r="H158" s="42">
        <f>'B) D RI'!T159</f>
        <v>3077556.1199999996</v>
      </c>
      <c r="I158" s="10">
        <f t="shared" si="19"/>
        <v>104323.93627118642</v>
      </c>
      <c r="J158" s="32">
        <f t="shared" si="15"/>
        <v>82549.111443779184</v>
      </c>
      <c r="K158" s="10">
        <f t="shared" si="16"/>
        <v>0</v>
      </c>
      <c r="L158" s="10">
        <f t="shared" si="20"/>
        <v>82549.111443779184</v>
      </c>
      <c r="M158" s="10">
        <f>'D) Ecrêtage'!M157</f>
        <v>57258.584311335449</v>
      </c>
      <c r="N158" s="10">
        <f t="shared" si="17"/>
        <v>71198.726848144564</v>
      </c>
      <c r="O158" s="58">
        <f t="shared" si="18"/>
        <v>71198.726848144564</v>
      </c>
    </row>
    <row r="159" spans="1:15" s="220" customFormat="1" x14ac:dyDescent="0.25">
      <c r="A159" s="320">
        <f>'A) Base RI'!A160</f>
        <v>5652</v>
      </c>
      <c r="B159" s="226" t="str">
        <f>'A) Base RI'!B160</f>
        <v>Villars-sous-Yens</v>
      </c>
      <c r="C159" s="242">
        <v>0</v>
      </c>
      <c r="D159" s="221">
        <f>'B) D RI'!AR160</f>
        <v>608</v>
      </c>
      <c r="E159" s="222">
        <f>'B) D RI'!S160</f>
        <v>76</v>
      </c>
      <c r="F159" s="10">
        <f>'B) D RI'!R160</f>
        <v>2264872.1383333332</v>
      </c>
      <c r="G159" s="10">
        <f>'B) D RI'!U160</f>
        <v>29800.949188596489</v>
      </c>
      <c r="H159" s="42">
        <f>'B) D RI'!T160</f>
        <v>2155026.5299999998</v>
      </c>
      <c r="I159" s="10">
        <f t="shared" si="19"/>
        <v>56711.224473684204</v>
      </c>
      <c r="J159" s="32">
        <f t="shared" si="15"/>
        <v>52118.234431794124</v>
      </c>
      <c r="K159" s="10">
        <f t="shared" si="16"/>
        <v>52118.234431794124</v>
      </c>
      <c r="L159" s="10">
        <f t="shared" si="20"/>
        <v>0</v>
      </c>
      <c r="M159" s="10">
        <f>'D) Ecrêtage'!M158</f>
        <v>29800.949188596489</v>
      </c>
      <c r="N159" s="10">
        <f t="shared" si="17"/>
        <v>37056.271415258641</v>
      </c>
      <c r="O159" s="58">
        <f t="shared" si="18"/>
        <v>89174.505847052758</v>
      </c>
    </row>
    <row r="160" spans="1:15" s="220" customFormat="1" x14ac:dyDescent="0.25">
      <c r="A160" s="320">
        <f>'A) Base RI'!A161</f>
        <v>5653</v>
      </c>
      <c r="B160" s="226" t="str">
        <f>'A) Base RI'!B161</f>
        <v>Vufflens-le-Château</v>
      </c>
      <c r="C160" s="242">
        <v>0</v>
      </c>
      <c r="D160" s="221">
        <f>'B) D RI'!AR161</f>
        <v>886</v>
      </c>
      <c r="E160" s="222">
        <f>'B) D RI'!S161</f>
        <v>55</v>
      </c>
      <c r="F160" s="10">
        <f>'B) D RI'!R161</f>
        <v>3407867.61</v>
      </c>
      <c r="G160" s="10">
        <f>'B) D RI'!U161</f>
        <v>61961.229272727272</v>
      </c>
      <c r="H160" s="42">
        <f>'B) D RI'!T161</f>
        <v>3160837.11</v>
      </c>
      <c r="I160" s="10">
        <f t="shared" si="19"/>
        <v>114939.53127272727</v>
      </c>
      <c r="J160" s="32">
        <f t="shared" si="15"/>
        <v>75948.61135948947</v>
      </c>
      <c r="K160" s="10">
        <f t="shared" si="16"/>
        <v>75948.61135948947</v>
      </c>
      <c r="L160" s="10">
        <f t="shared" si="20"/>
        <v>0</v>
      </c>
      <c r="M160" s="10">
        <f>'D) Ecrêtage'!M159</f>
        <v>59637.912560059514</v>
      </c>
      <c r="N160" s="10">
        <f t="shared" si="17"/>
        <v>74157.325005965977</v>
      </c>
      <c r="O160" s="58">
        <f t="shared" si="18"/>
        <v>150105.93636545545</v>
      </c>
    </row>
    <row r="161" spans="1:15" s="220" customFormat="1" x14ac:dyDescent="0.25">
      <c r="A161" s="320">
        <f>'A) Base RI'!A162</f>
        <v>5654</v>
      </c>
      <c r="B161" s="226" t="str">
        <f>'A) Base RI'!B162</f>
        <v>Vullierens</v>
      </c>
      <c r="C161" s="242">
        <v>0</v>
      </c>
      <c r="D161" s="221">
        <f>'B) D RI'!AR162</f>
        <v>507</v>
      </c>
      <c r="E161" s="222">
        <f>'B) D RI'!S162</f>
        <v>76</v>
      </c>
      <c r="F161" s="10">
        <f>'B) D RI'!R162</f>
        <v>1465348.5</v>
      </c>
      <c r="G161" s="10">
        <f>'B) D RI'!U162</f>
        <v>19280.901315789473</v>
      </c>
      <c r="H161" s="42">
        <f>'B) D RI'!T162</f>
        <v>1368953.7</v>
      </c>
      <c r="I161" s="10">
        <f t="shared" si="19"/>
        <v>36025.097368421055</v>
      </c>
      <c r="J161" s="32">
        <f t="shared" si="15"/>
        <v>43460.435619933589</v>
      </c>
      <c r="K161" s="10">
        <f t="shared" si="16"/>
        <v>36025.097368421055</v>
      </c>
      <c r="L161" s="10">
        <f t="shared" si="20"/>
        <v>7435.338251512534</v>
      </c>
      <c r="M161" s="10">
        <f>'D) Ecrêtage'!M160</f>
        <v>19280.901315789473</v>
      </c>
      <c r="N161" s="10">
        <f t="shared" si="17"/>
        <v>23975.018640081154</v>
      </c>
      <c r="O161" s="58">
        <f t="shared" si="18"/>
        <v>60000.116008502213</v>
      </c>
    </row>
    <row r="162" spans="1:15" s="220" customFormat="1" x14ac:dyDescent="0.25">
      <c r="A162" s="320">
        <f>'A) Base RI'!A163</f>
        <v>5655</v>
      </c>
      <c r="B162" s="226" t="str">
        <f>'A) Base RI'!B163</f>
        <v>Yens</v>
      </c>
      <c r="C162" s="242">
        <v>0</v>
      </c>
      <c r="D162" s="221">
        <f>'B) D RI'!AR163</f>
        <v>1429</v>
      </c>
      <c r="E162" s="222">
        <f>'B) D RI'!S163</f>
        <v>73</v>
      </c>
      <c r="F162" s="10">
        <f>'B) D RI'!R163</f>
        <v>6372374.8999999994</v>
      </c>
      <c r="G162" s="10">
        <f>'B) D RI'!U163</f>
        <v>87292.806849315064</v>
      </c>
      <c r="H162" s="42">
        <f>'B) D RI'!T163</f>
        <v>5956536.0499999998</v>
      </c>
      <c r="I162" s="10">
        <f t="shared" si="19"/>
        <v>163192.76849315068</v>
      </c>
      <c r="J162" s="32">
        <f t="shared" si="15"/>
        <v>122494.99507077929</v>
      </c>
      <c r="K162" s="10">
        <f t="shared" si="16"/>
        <v>122494.99507077929</v>
      </c>
      <c r="L162" s="10">
        <f t="shared" si="20"/>
        <v>0</v>
      </c>
      <c r="M162" s="10">
        <f>'D) Ecrêtage'!M161</f>
        <v>85859.778494703729</v>
      </c>
      <c r="N162" s="10">
        <f t="shared" si="17"/>
        <v>106763.15158348055</v>
      </c>
      <c r="O162" s="58">
        <f t="shared" si="18"/>
        <v>229258.14665425982</v>
      </c>
    </row>
    <row r="163" spans="1:15" s="220" customFormat="1" x14ac:dyDescent="0.25">
      <c r="A163" s="320">
        <f>'A) Base RI'!A164</f>
        <v>5661</v>
      </c>
      <c r="B163" s="226" t="str">
        <f>'A) Base RI'!B164</f>
        <v>Boulens</v>
      </c>
      <c r="C163" s="242">
        <v>0</v>
      </c>
      <c r="D163" s="221">
        <f>'B) D RI'!AR164</f>
        <v>384</v>
      </c>
      <c r="E163" s="222">
        <f>'B) D RI'!S164</f>
        <v>79</v>
      </c>
      <c r="F163" s="10">
        <f>'B) D RI'!R164</f>
        <v>816826.16</v>
      </c>
      <c r="G163" s="10">
        <f>'B) D RI'!U164</f>
        <v>10339.57164556962</v>
      </c>
      <c r="H163" s="42">
        <f>'B) D RI'!T164</f>
        <v>765312.16</v>
      </c>
      <c r="I163" s="10">
        <f t="shared" si="19"/>
        <v>19374.991392405063</v>
      </c>
      <c r="J163" s="32">
        <f t="shared" si="15"/>
        <v>32916.779641133136</v>
      </c>
      <c r="K163" s="10">
        <f t="shared" si="16"/>
        <v>19374.991392405063</v>
      </c>
      <c r="L163" s="10">
        <f t="shared" si="20"/>
        <v>13541.788248728073</v>
      </c>
      <c r="M163" s="10">
        <f>'D) Ecrêtage'!M162</f>
        <v>10339.57164556962</v>
      </c>
      <c r="N163" s="10">
        <f t="shared" si="17"/>
        <v>12856.837907778903</v>
      </c>
      <c r="O163" s="58">
        <f t="shared" si="18"/>
        <v>32231.829300183967</v>
      </c>
    </row>
    <row r="164" spans="1:15" s="220" customFormat="1" x14ac:dyDescent="0.25">
      <c r="A164" s="320">
        <f>'A) Base RI'!A165</f>
        <v>5663</v>
      </c>
      <c r="B164" s="226" t="str">
        <f>'A) Base RI'!B165</f>
        <v>Bussy-sur-Moudon</v>
      </c>
      <c r="C164" s="242">
        <v>0</v>
      </c>
      <c r="D164" s="221">
        <f>'B) D RI'!AR165</f>
        <v>214</v>
      </c>
      <c r="E164" s="222">
        <f>'B) D RI'!S165</f>
        <v>80</v>
      </c>
      <c r="F164" s="10">
        <f>'B) D RI'!R165</f>
        <v>423565.14000000007</v>
      </c>
      <c r="G164" s="10">
        <f>'B) D RI'!U165</f>
        <v>5294.5642500000013</v>
      </c>
      <c r="H164" s="42">
        <f>'B) D RI'!T165</f>
        <v>392806.69000000006</v>
      </c>
      <c r="I164" s="10">
        <f t="shared" si="19"/>
        <v>9820.1672500000022</v>
      </c>
      <c r="J164" s="32">
        <f t="shared" si="15"/>
        <v>18344.246987506485</v>
      </c>
      <c r="K164" s="10">
        <f t="shared" si="16"/>
        <v>9820.1672500000022</v>
      </c>
      <c r="L164" s="10">
        <f t="shared" si="20"/>
        <v>8524.0797375064831</v>
      </c>
      <c r="M164" s="10">
        <f>'D) Ecrêtage'!M163</f>
        <v>5294.5642500000013</v>
      </c>
      <c r="N164" s="10">
        <f t="shared" si="17"/>
        <v>6583.5758663888882</v>
      </c>
      <c r="O164" s="58">
        <f t="shared" si="18"/>
        <v>16403.74311638889</v>
      </c>
    </row>
    <row r="165" spans="1:15" s="220" customFormat="1" x14ac:dyDescent="0.25">
      <c r="A165" s="320">
        <f>'A) Base RI'!A166</f>
        <v>5665</v>
      </c>
      <c r="B165" s="226" t="str">
        <f>'A) Base RI'!B166</f>
        <v>Chavannes-sur-Moudon</v>
      </c>
      <c r="C165" s="242">
        <v>0</v>
      </c>
      <c r="D165" s="221">
        <f>'B) D RI'!AR166</f>
        <v>216</v>
      </c>
      <c r="E165" s="222">
        <f>'B) D RI'!S166</f>
        <v>73</v>
      </c>
      <c r="F165" s="10">
        <f>'B) D RI'!R166</f>
        <v>337145.38999999996</v>
      </c>
      <c r="G165" s="10">
        <f>'B) D RI'!U166</f>
        <v>4618.4299999999994</v>
      </c>
      <c r="H165" s="42">
        <f>'B) D RI'!T166</f>
        <v>312867.08999999997</v>
      </c>
      <c r="I165" s="10">
        <f t="shared" si="19"/>
        <v>8571.7010958904102</v>
      </c>
      <c r="J165" s="32">
        <f t="shared" si="15"/>
        <v>18515.688548137387</v>
      </c>
      <c r="K165" s="10">
        <f t="shared" si="16"/>
        <v>8571.7010958904102</v>
      </c>
      <c r="L165" s="10">
        <f t="shared" si="20"/>
        <v>9943.9874522469763</v>
      </c>
      <c r="M165" s="10">
        <f>'D) Ecrêtage'!M164</f>
        <v>4618.4299999999994</v>
      </c>
      <c r="N165" s="10">
        <f t="shared" si="17"/>
        <v>5742.8303544727823</v>
      </c>
      <c r="O165" s="58">
        <f t="shared" si="18"/>
        <v>14314.531450363193</v>
      </c>
    </row>
    <row r="166" spans="1:15" s="220" customFormat="1" x14ac:dyDescent="0.25">
      <c r="A166" s="320">
        <f>'A) Base RI'!A167</f>
        <v>5669</v>
      </c>
      <c r="B166" s="226" t="str">
        <f>'A) Base RI'!B167</f>
        <v>Curtilles</v>
      </c>
      <c r="C166" s="242">
        <v>0</v>
      </c>
      <c r="D166" s="221">
        <f>'B) D RI'!AR167</f>
        <v>313</v>
      </c>
      <c r="E166" s="222">
        <f>'B) D RI'!S167</f>
        <v>75</v>
      </c>
      <c r="F166" s="10">
        <f>'B) D RI'!R167</f>
        <v>584689.86999999988</v>
      </c>
      <c r="G166" s="10">
        <f>'B) D RI'!U167</f>
        <v>7795.8649333333315</v>
      </c>
      <c r="H166" s="42">
        <f>'B) D RI'!T167</f>
        <v>537713.47</v>
      </c>
      <c r="I166" s="10">
        <f t="shared" si="19"/>
        <v>14339.025866666665</v>
      </c>
      <c r="J166" s="32">
        <f t="shared" si="15"/>
        <v>26830.604238736123</v>
      </c>
      <c r="K166" s="10">
        <f t="shared" si="16"/>
        <v>14339.025866666665</v>
      </c>
      <c r="L166" s="10">
        <f t="shared" si="20"/>
        <v>12491.578372069458</v>
      </c>
      <c r="M166" s="10">
        <f>'D) Ecrêtage'!M165</f>
        <v>7795.8649333333315</v>
      </c>
      <c r="N166" s="10">
        <f t="shared" si="17"/>
        <v>9693.8417987317334</v>
      </c>
      <c r="O166" s="58">
        <f t="shared" si="18"/>
        <v>24032.8676653984</v>
      </c>
    </row>
    <row r="167" spans="1:15" s="220" customFormat="1" x14ac:dyDescent="0.25">
      <c r="A167" s="320">
        <f>'A) Base RI'!A168</f>
        <v>5671</v>
      </c>
      <c r="B167" s="226" t="str">
        <f>'A) Base RI'!B168</f>
        <v>Dompierre</v>
      </c>
      <c r="C167" s="242">
        <v>0</v>
      </c>
      <c r="D167" s="221">
        <f>'B) D RI'!AR168</f>
        <v>239</v>
      </c>
      <c r="E167" s="222">
        <f>'B) D RI'!S168</f>
        <v>80</v>
      </c>
      <c r="F167" s="10">
        <f>'B) D RI'!R168</f>
        <v>492711.51</v>
      </c>
      <c r="G167" s="10">
        <f>'B) D RI'!U168</f>
        <v>6158.8938749999998</v>
      </c>
      <c r="H167" s="42">
        <f>'B) D RI'!T168</f>
        <v>459862.81</v>
      </c>
      <c r="I167" s="10">
        <f t="shared" si="19"/>
        <v>11496.570250000001</v>
      </c>
      <c r="J167" s="32">
        <f t="shared" si="15"/>
        <v>20487.266495392756</v>
      </c>
      <c r="K167" s="10">
        <f t="shared" si="16"/>
        <v>11496.570250000001</v>
      </c>
      <c r="L167" s="10">
        <f t="shared" si="20"/>
        <v>8990.6962453927554</v>
      </c>
      <c r="M167" s="10">
        <f>'D) Ecrêtage'!M166</f>
        <v>6158.8938749999998</v>
      </c>
      <c r="N167" s="10">
        <f t="shared" si="17"/>
        <v>7658.3346928126011</v>
      </c>
      <c r="O167" s="58">
        <f t="shared" si="18"/>
        <v>19154.904942812602</v>
      </c>
    </row>
    <row r="168" spans="1:15" s="220" customFormat="1" x14ac:dyDescent="0.25">
      <c r="A168" s="320">
        <f>'A) Base RI'!A169</f>
        <v>5673</v>
      </c>
      <c r="B168" s="226" t="str">
        <f>'A) Base RI'!B169</f>
        <v>Hermenches</v>
      </c>
      <c r="C168" s="242">
        <v>0</v>
      </c>
      <c r="D168" s="221">
        <f>'B) D RI'!AR169</f>
        <v>364</v>
      </c>
      <c r="E168" s="222">
        <f>'B) D RI'!S169</f>
        <v>75</v>
      </c>
      <c r="F168" s="10">
        <f>'B) D RI'!R169</f>
        <v>697045.09</v>
      </c>
      <c r="G168" s="10">
        <f>'B) D RI'!U169</f>
        <v>9293.9345333333331</v>
      </c>
      <c r="H168" s="42">
        <f>'B) D RI'!T169</f>
        <v>650208.59</v>
      </c>
      <c r="I168" s="10">
        <f t="shared" si="19"/>
        <v>17338.895733333331</v>
      </c>
      <c r="J168" s="32">
        <f t="shared" si="15"/>
        <v>31202.364034824117</v>
      </c>
      <c r="K168" s="10">
        <f t="shared" si="16"/>
        <v>17338.895733333331</v>
      </c>
      <c r="L168" s="10">
        <f t="shared" si="20"/>
        <v>13863.468301490786</v>
      </c>
      <c r="M168" s="10">
        <f>'D) Ecrêtage'!M167</f>
        <v>9293.9345333333331</v>
      </c>
      <c r="N168" s="10">
        <f t="shared" si="17"/>
        <v>11556.630575868749</v>
      </c>
      <c r="O168" s="58">
        <f t="shared" si="18"/>
        <v>28895.52630920208</v>
      </c>
    </row>
    <row r="169" spans="1:15" s="220" customFormat="1" x14ac:dyDescent="0.25">
      <c r="A169" s="320">
        <f>'A) Base RI'!A170</f>
        <v>5674</v>
      </c>
      <c r="B169" s="226" t="str">
        <f>'A) Base RI'!B170</f>
        <v>Lovatens</v>
      </c>
      <c r="C169" s="242">
        <v>0</v>
      </c>
      <c r="D169" s="221">
        <f>'B) D RI'!AR170</f>
        <v>146</v>
      </c>
      <c r="E169" s="222">
        <f>'B) D RI'!S170</f>
        <v>75</v>
      </c>
      <c r="F169" s="10">
        <f>'B) D RI'!R170</f>
        <v>245777.33714285714</v>
      </c>
      <c r="G169" s="10">
        <f>'B) D RI'!U170</f>
        <v>3277.031161904762</v>
      </c>
      <c r="H169" s="42">
        <f>'B) D RI'!T170</f>
        <v>227715.48</v>
      </c>
      <c r="I169" s="10">
        <f t="shared" si="19"/>
        <v>6072.4128000000001</v>
      </c>
      <c r="J169" s="32">
        <f t="shared" si="15"/>
        <v>12515.233926055827</v>
      </c>
      <c r="K169" s="10">
        <f t="shared" si="16"/>
        <v>6072.4128000000001</v>
      </c>
      <c r="L169" s="10">
        <f t="shared" si="20"/>
        <v>6442.8211260558273</v>
      </c>
      <c r="M169" s="10">
        <f>'D) Ecrêtage'!M168</f>
        <v>3277.031161904762</v>
      </c>
      <c r="N169" s="10">
        <f t="shared" si="17"/>
        <v>4074.8553142821002</v>
      </c>
      <c r="O169" s="58">
        <f t="shared" si="18"/>
        <v>10147.2681142821</v>
      </c>
    </row>
    <row r="170" spans="1:15" s="220" customFormat="1" x14ac:dyDescent="0.25">
      <c r="A170" s="320">
        <f>'A) Base RI'!A171</f>
        <v>5675</v>
      </c>
      <c r="B170" s="226" t="str">
        <f>'A) Base RI'!B171</f>
        <v>Lucens</v>
      </c>
      <c r="C170" s="242">
        <v>0</v>
      </c>
      <c r="D170" s="221">
        <f>'B) D RI'!AR171</f>
        <v>4199</v>
      </c>
      <c r="E170" s="222">
        <f>'B) D RI'!S171</f>
        <v>69</v>
      </c>
      <c r="F170" s="10">
        <f>'B) D RI'!R171</f>
        <v>6357847.8727272721</v>
      </c>
      <c r="G170" s="10">
        <f>'B) D RI'!U171</f>
        <v>92142.722793148874</v>
      </c>
      <c r="H170" s="42">
        <f>'B) D RI'!T171</f>
        <v>5678419.5999999996</v>
      </c>
      <c r="I170" s="10">
        <f t="shared" ref="I170" si="21">+H170/E170*$I$5</f>
        <v>164591.87246376812</v>
      </c>
      <c r="J170" s="32">
        <f t="shared" ref="J170" si="22">+$I$315/$D$315*D170</f>
        <v>359941.55654457817</v>
      </c>
      <c r="K170" s="10">
        <f t="shared" ref="K170" si="23">IF(C170=1,0,IF(J170&gt;I170,I170,J170))</f>
        <v>164591.87246376812</v>
      </c>
      <c r="L170" s="10">
        <f t="shared" ref="L170" si="24">+J170-K170</f>
        <v>195349.68408081005</v>
      </c>
      <c r="M170" s="10">
        <f>'D) Ecrêtage'!M169</f>
        <v>92142.722793148874</v>
      </c>
      <c r="N170" s="10">
        <f t="shared" ref="N170" si="25">+$N$5*M170</f>
        <v>114575.73794563662</v>
      </c>
      <c r="O170" s="58">
        <f t="shared" ref="O170" si="26">+N170+K170</f>
        <v>279167.61040940473</v>
      </c>
    </row>
    <row r="171" spans="1:15" s="220" customFormat="1" x14ac:dyDescent="0.25">
      <c r="A171" s="320">
        <f>'A) Base RI'!A172</f>
        <v>5678</v>
      </c>
      <c r="B171" s="226" t="str">
        <f>'A) Base RI'!B172</f>
        <v>Moudon</v>
      </c>
      <c r="C171" s="242">
        <v>0</v>
      </c>
      <c r="D171" s="221">
        <f>'B) D RI'!AR172</f>
        <v>6135</v>
      </c>
      <c r="E171" s="222">
        <f>'B) D RI'!S172</f>
        <v>75</v>
      </c>
      <c r="F171" s="10">
        <f>'B) D RI'!R172</f>
        <v>8984909.5199999996</v>
      </c>
      <c r="G171" s="10">
        <f>'B) D RI'!U172</f>
        <v>119798.79359999999</v>
      </c>
      <c r="H171" s="42">
        <f>'B) D RI'!T172</f>
        <v>8084953.4199999999</v>
      </c>
      <c r="I171" s="10">
        <f t="shared" si="19"/>
        <v>215598.75786666665</v>
      </c>
      <c r="J171" s="32">
        <f t="shared" ref="J171:J218" si="27">+$I$315/$D$315*D171</f>
        <v>525896.98723529105</v>
      </c>
      <c r="K171" s="10">
        <f t="shared" si="16"/>
        <v>215598.75786666665</v>
      </c>
      <c r="L171" s="10">
        <f t="shared" si="20"/>
        <v>310298.22936862439</v>
      </c>
      <c r="M171" s="10">
        <f>'D) Ecrêtage'!M170</f>
        <v>119798.79359999999</v>
      </c>
      <c r="N171" s="10">
        <f t="shared" si="17"/>
        <v>148964.9401020043</v>
      </c>
      <c r="O171" s="58">
        <f t="shared" si="18"/>
        <v>364563.69796867098</v>
      </c>
    </row>
    <row r="172" spans="1:15" s="220" customFormat="1" x14ac:dyDescent="0.25">
      <c r="A172" s="320">
        <f>'A) Base RI'!A173</f>
        <v>5680</v>
      </c>
      <c r="B172" s="226" t="str">
        <f>'A) Base RI'!B173</f>
        <v>Ogens</v>
      </c>
      <c r="C172" s="242">
        <v>0</v>
      </c>
      <c r="D172" s="221">
        <f>'B) D RI'!AR173</f>
        <v>299</v>
      </c>
      <c r="E172" s="222">
        <f>'B) D RI'!S173</f>
        <v>78</v>
      </c>
      <c r="F172" s="10">
        <f>'B) D RI'!R173</f>
        <v>502735.51333333337</v>
      </c>
      <c r="G172" s="10">
        <f>'B) D RI'!U173</f>
        <v>6445.3270940170942</v>
      </c>
      <c r="H172" s="42">
        <f>'B) D RI'!T173</f>
        <v>458342.68000000005</v>
      </c>
      <c r="I172" s="10">
        <f t="shared" si="19"/>
        <v>11752.376410256411</v>
      </c>
      <c r="J172" s="32">
        <f t="shared" si="27"/>
        <v>25630.513314319811</v>
      </c>
      <c r="K172" s="10">
        <f t="shared" si="16"/>
        <v>11752.376410256411</v>
      </c>
      <c r="L172" s="10">
        <f t="shared" si="20"/>
        <v>13878.1369040634</v>
      </c>
      <c r="M172" s="10">
        <f>'D) Ecrêtage'!M171</f>
        <v>6445.3270940170942</v>
      </c>
      <c r="N172" s="10">
        <f t="shared" si="17"/>
        <v>8014.5027812540675</v>
      </c>
      <c r="O172" s="58">
        <f t="shared" si="18"/>
        <v>19766.879191510478</v>
      </c>
    </row>
    <row r="173" spans="1:15" s="220" customFormat="1" x14ac:dyDescent="0.25">
      <c r="A173" s="320">
        <f>'A) Base RI'!A174</f>
        <v>5683</v>
      </c>
      <c r="B173" s="226" t="str">
        <f>'A) Base RI'!B174</f>
        <v>Prévonloup</v>
      </c>
      <c r="C173" s="242">
        <v>0</v>
      </c>
      <c r="D173" s="221">
        <f>'B) D RI'!AR174</f>
        <v>184</v>
      </c>
      <c r="E173" s="222">
        <f>'B) D RI'!S174</f>
        <v>74</v>
      </c>
      <c r="F173" s="10">
        <f>'B) D RI'!R174</f>
        <v>275623.53000000003</v>
      </c>
      <c r="G173" s="10">
        <f>'B) D RI'!U174</f>
        <v>3724.6422972972978</v>
      </c>
      <c r="H173" s="42">
        <f>'B) D RI'!T174</f>
        <v>252988.53</v>
      </c>
      <c r="I173" s="10">
        <f t="shared" si="19"/>
        <v>6837.527837837838</v>
      </c>
      <c r="J173" s="32">
        <f t="shared" si="27"/>
        <v>15772.62357804296</v>
      </c>
      <c r="K173" s="10">
        <f t="shared" si="16"/>
        <v>6837.527837837838</v>
      </c>
      <c r="L173" s="10">
        <f t="shared" si="20"/>
        <v>8935.0957402051208</v>
      </c>
      <c r="M173" s="10">
        <f>'D) Ecrêtage'!M172</f>
        <v>3724.6422972972978</v>
      </c>
      <c r="N173" s="10">
        <f t="shared" si="17"/>
        <v>4631.4416034176465</v>
      </c>
      <c r="O173" s="58">
        <f t="shared" si="18"/>
        <v>11468.969441255485</v>
      </c>
    </row>
    <row r="174" spans="1:15" s="220" customFormat="1" x14ac:dyDescent="0.25">
      <c r="A174" s="320">
        <f>'A) Base RI'!A175</f>
        <v>5684</v>
      </c>
      <c r="B174" s="226" t="str">
        <f>'A) Base RI'!B175</f>
        <v>Rossenges</v>
      </c>
      <c r="C174" s="242">
        <v>0</v>
      </c>
      <c r="D174" s="221">
        <f>'B) D RI'!AR175</f>
        <v>65</v>
      </c>
      <c r="E174" s="222">
        <f>'B) D RI'!S175</f>
        <v>75</v>
      </c>
      <c r="F174" s="10">
        <f>'B) D RI'!R175</f>
        <v>146358.27499999999</v>
      </c>
      <c r="G174" s="10">
        <f>'B) D RI'!U175</f>
        <v>1951.4436666666666</v>
      </c>
      <c r="H174" s="42">
        <f>'B) D RI'!T175</f>
        <v>138280.9</v>
      </c>
      <c r="I174" s="10">
        <f t="shared" si="19"/>
        <v>3687.4906666666666</v>
      </c>
      <c r="J174" s="32">
        <f t="shared" si="27"/>
        <v>5571.8507205043061</v>
      </c>
      <c r="K174" s="10">
        <f t="shared" si="16"/>
        <v>3687.4906666666666</v>
      </c>
      <c r="L174" s="10">
        <f t="shared" si="20"/>
        <v>1884.3600538376395</v>
      </c>
      <c r="M174" s="10">
        <f>'D) Ecrêtage'!M173</f>
        <v>1951.4436666666666</v>
      </c>
      <c r="N174" s="10">
        <f t="shared" si="17"/>
        <v>2426.5410375337506</v>
      </c>
      <c r="O174" s="58">
        <f t="shared" si="18"/>
        <v>6114.0317042004172</v>
      </c>
    </row>
    <row r="175" spans="1:15" s="220" customFormat="1" x14ac:dyDescent="0.25">
      <c r="A175" s="320">
        <f>'A) Base RI'!A176</f>
        <v>5688</v>
      </c>
      <c r="B175" s="226" t="str">
        <f>'A) Base RI'!B176</f>
        <v>Syens</v>
      </c>
      <c r="C175" s="242">
        <v>0</v>
      </c>
      <c r="D175" s="221">
        <f>'B) D RI'!AR176</f>
        <v>159</v>
      </c>
      <c r="E175" s="222">
        <f>'B) D RI'!S176</f>
        <v>75.599999999999994</v>
      </c>
      <c r="F175" s="10">
        <f>'B) D RI'!R176</f>
        <v>299900.77</v>
      </c>
      <c r="G175" s="10">
        <f>'B) D RI'!U176</f>
        <v>3966.9414021164025</v>
      </c>
      <c r="H175" s="42">
        <f>'B) D RI'!T176</f>
        <v>275951.27</v>
      </c>
      <c r="I175" s="10">
        <f t="shared" si="19"/>
        <v>7300.2981481481493</v>
      </c>
      <c r="J175" s="32">
        <f t="shared" si="27"/>
        <v>13629.604070156687</v>
      </c>
      <c r="K175" s="10">
        <f t="shared" si="16"/>
        <v>7300.2981481481493</v>
      </c>
      <c r="L175" s="10">
        <f t="shared" si="20"/>
        <v>6329.3059220085379</v>
      </c>
      <c r="M175" s="10">
        <f>'D) Ecrêtage'!M174</f>
        <v>3966.9414021164025</v>
      </c>
      <c r="N175" s="10">
        <f t="shared" si="17"/>
        <v>4932.7307111916598</v>
      </c>
      <c r="O175" s="58">
        <f t="shared" si="18"/>
        <v>12233.028859339809</v>
      </c>
    </row>
    <row r="176" spans="1:15" s="220" customFormat="1" x14ac:dyDescent="0.25">
      <c r="A176" s="320">
        <f>'A) Base RI'!A177</f>
        <v>5690</v>
      </c>
      <c r="B176" s="226" t="str">
        <f>'A) Base RI'!B177</f>
        <v>Villars-le-Comte</v>
      </c>
      <c r="C176" s="242">
        <v>0</v>
      </c>
      <c r="D176" s="221">
        <f>'B) D RI'!AR177</f>
        <v>132</v>
      </c>
      <c r="E176" s="222">
        <f>'B) D RI'!S177</f>
        <v>70</v>
      </c>
      <c r="F176" s="10">
        <f>'B) D RI'!R177</f>
        <v>284158.4916666667</v>
      </c>
      <c r="G176" s="10">
        <f>'B) D RI'!U177</f>
        <v>4059.4070238095242</v>
      </c>
      <c r="H176" s="42">
        <f>'B) D RI'!T177</f>
        <v>263067.10000000003</v>
      </c>
      <c r="I176" s="10">
        <f t="shared" si="19"/>
        <v>7516.2028571428582</v>
      </c>
      <c r="J176" s="32">
        <f t="shared" si="27"/>
        <v>11315.143001639515</v>
      </c>
      <c r="K176" s="10">
        <f t="shared" si="16"/>
        <v>7516.2028571428582</v>
      </c>
      <c r="L176" s="10">
        <f t="shared" si="20"/>
        <v>3798.940144496657</v>
      </c>
      <c r="M176" s="10">
        <f>'D) Ecrêtage'!M175</f>
        <v>4059.4070238095242</v>
      </c>
      <c r="N176" s="10">
        <f t="shared" si="17"/>
        <v>5047.707960820745</v>
      </c>
      <c r="O176" s="58">
        <f t="shared" si="18"/>
        <v>12563.910817963602</v>
      </c>
    </row>
    <row r="177" spans="1:15" s="220" customFormat="1" x14ac:dyDescent="0.25">
      <c r="A177" s="320">
        <f>'A) Base RI'!A178</f>
        <v>5692</v>
      </c>
      <c r="B177" s="226" t="str">
        <f>'A) Base RI'!B178</f>
        <v>Vucherens</v>
      </c>
      <c r="C177" s="242">
        <v>0</v>
      </c>
      <c r="D177" s="221">
        <f>'B) D RI'!AR178</f>
        <v>577</v>
      </c>
      <c r="E177" s="222">
        <f>'B) D RI'!S178</f>
        <v>79</v>
      </c>
      <c r="F177" s="10">
        <f>'B) D RI'!R178</f>
        <v>1280243.3900000001</v>
      </c>
      <c r="G177" s="10">
        <f>'B) D RI'!U178</f>
        <v>16205.612531645571</v>
      </c>
      <c r="H177" s="42">
        <f>'B) D RI'!T178</f>
        <v>1189761.7400000002</v>
      </c>
      <c r="I177" s="10">
        <f t="shared" si="19"/>
        <v>30120.550379746841</v>
      </c>
      <c r="J177" s="32">
        <f t="shared" si="27"/>
        <v>49460.89024201515</v>
      </c>
      <c r="K177" s="10">
        <f t="shared" si="16"/>
        <v>30120.550379746841</v>
      </c>
      <c r="L177" s="10">
        <f t="shared" si="20"/>
        <v>19340.339862268309</v>
      </c>
      <c r="M177" s="10">
        <f>'D) Ecrêtage'!M176</f>
        <v>16205.612531645571</v>
      </c>
      <c r="N177" s="10">
        <f t="shared" si="17"/>
        <v>20151.021788694146</v>
      </c>
      <c r="O177" s="58">
        <f t="shared" si="18"/>
        <v>50271.572168440987</v>
      </c>
    </row>
    <row r="178" spans="1:15" s="220" customFormat="1" x14ac:dyDescent="0.25">
      <c r="A178" s="320">
        <f>'A) Base RI'!A179</f>
        <v>5693</v>
      </c>
      <c r="B178" s="226" t="str">
        <f>'A) Base RI'!B179</f>
        <v>Montanaire</v>
      </c>
      <c r="C178" s="242">
        <v>0</v>
      </c>
      <c r="D178" s="221">
        <f>'B) D RI'!AR179</f>
        <v>2685</v>
      </c>
      <c r="E178" s="222">
        <f>'B) D RI'!S179</f>
        <v>72</v>
      </c>
      <c r="F178" s="10">
        <f>'B) D RI'!R179</f>
        <v>5034952.55</v>
      </c>
      <c r="G178" s="10">
        <f>'B) D RI'!U179</f>
        <v>69929.896527777775</v>
      </c>
      <c r="H178" s="42">
        <f>'B) D RI'!T179</f>
        <v>4656582.25</v>
      </c>
      <c r="I178" s="10">
        <f t="shared" si="19"/>
        <v>129349.50694444444</v>
      </c>
      <c r="J178" s="32">
        <f t="shared" si="27"/>
        <v>230160.29514698559</v>
      </c>
      <c r="K178" s="10">
        <f t="shared" si="16"/>
        <v>129349.50694444444</v>
      </c>
      <c r="L178" s="10">
        <f t="shared" si="20"/>
        <v>100810.78820254115</v>
      </c>
      <c r="M178" s="10">
        <f>'D) Ecrêtage'!M177</f>
        <v>69929.896527777775</v>
      </c>
      <c r="N178" s="10">
        <f t="shared" si="17"/>
        <v>86954.989566771197</v>
      </c>
      <c r="O178" s="58">
        <f t="shared" si="18"/>
        <v>216304.49651121564</v>
      </c>
    </row>
    <row r="179" spans="1:15" s="220" customFormat="1" x14ac:dyDescent="0.25">
      <c r="A179" s="320">
        <f>'A) Base RI'!A180</f>
        <v>5701</v>
      </c>
      <c r="B179" s="226" t="str">
        <f>'A) Base RI'!B180</f>
        <v>Arnex-sur-Nyon</v>
      </c>
      <c r="C179" s="242">
        <v>0</v>
      </c>
      <c r="D179" s="221">
        <f>'B) D RI'!AR180</f>
        <v>235</v>
      </c>
      <c r="E179" s="222">
        <f>'B) D RI'!S180</f>
        <v>70</v>
      </c>
      <c r="F179" s="10">
        <f>'B) D RI'!R180</f>
        <v>945145.87</v>
      </c>
      <c r="G179" s="10">
        <f>'B) D RI'!U180</f>
        <v>13502.083857142858</v>
      </c>
      <c r="H179" s="42">
        <f>'B) D RI'!T180</f>
        <v>874659.37</v>
      </c>
      <c r="I179" s="10">
        <f t="shared" si="19"/>
        <v>24990.267714285714</v>
      </c>
      <c r="J179" s="32">
        <f t="shared" si="27"/>
        <v>20144.383374130954</v>
      </c>
      <c r="K179" s="10">
        <f t="shared" si="16"/>
        <v>20144.383374130954</v>
      </c>
      <c r="L179" s="10">
        <f t="shared" si="20"/>
        <v>0</v>
      </c>
      <c r="M179" s="10">
        <f>'D) Ecrêtage'!M178</f>
        <v>13420.011118625067</v>
      </c>
      <c r="N179" s="10">
        <f t="shared" si="17"/>
        <v>16687.239431885355</v>
      </c>
      <c r="O179" s="58">
        <f t="shared" si="18"/>
        <v>36831.622806016312</v>
      </c>
    </row>
    <row r="180" spans="1:15" s="220" customFormat="1" x14ac:dyDescent="0.25">
      <c r="A180" s="320">
        <f>'A) Base RI'!A181</f>
        <v>5702</v>
      </c>
      <c r="B180" s="226" t="str">
        <f>'A) Base RI'!B181</f>
        <v>Arzier-Le Muids</v>
      </c>
      <c r="C180" s="242">
        <v>0</v>
      </c>
      <c r="D180" s="221">
        <f>'B) D RI'!AR181</f>
        <v>2697</v>
      </c>
      <c r="E180" s="222">
        <f>'B) D RI'!S181</f>
        <v>64</v>
      </c>
      <c r="F180" s="10">
        <f>'B) D RI'!R181</f>
        <v>11268618.793333335</v>
      </c>
      <c r="G180" s="10">
        <f>'B) D RI'!U181</f>
        <v>176072.16864583336</v>
      </c>
      <c r="H180" s="42">
        <f>'B) D RI'!T181</f>
        <v>10493640.010000002</v>
      </c>
      <c r="I180" s="10">
        <f t="shared" si="19"/>
        <v>327926.25031250005</v>
      </c>
      <c r="J180" s="32">
        <f t="shared" si="27"/>
        <v>231188.94451077099</v>
      </c>
      <c r="K180" s="10">
        <f t="shared" si="16"/>
        <v>231188.94451077099</v>
      </c>
      <c r="L180" s="10">
        <f t="shared" si="20"/>
        <v>0</v>
      </c>
      <c r="M180" s="10">
        <f>'D) Ecrêtage'!M179</f>
        <v>171329.69511301353</v>
      </c>
      <c r="N180" s="10">
        <f t="shared" si="17"/>
        <v>213041.52573874267</v>
      </c>
      <c r="O180" s="58">
        <f t="shared" si="18"/>
        <v>444230.47024951363</v>
      </c>
    </row>
    <row r="181" spans="1:15" s="220" customFormat="1" x14ac:dyDescent="0.25">
      <c r="A181" s="320">
        <f>'A) Base RI'!A182</f>
        <v>5703</v>
      </c>
      <c r="B181" s="226" t="str">
        <f>'A) Base RI'!B182</f>
        <v>Bassins</v>
      </c>
      <c r="C181" s="242">
        <v>0</v>
      </c>
      <c r="D181" s="221">
        <f>'B) D RI'!AR182</f>
        <v>1347</v>
      </c>
      <c r="E181" s="222">
        <f>'B) D RI'!S182</f>
        <v>74</v>
      </c>
      <c r="F181" s="10">
        <f>'B) D RI'!R182</f>
        <v>4088147.2085714284</v>
      </c>
      <c r="G181" s="10">
        <f>'B) D RI'!U182</f>
        <v>55245.232548262546</v>
      </c>
      <c r="H181" s="42">
        <f>'B) D RI'!T182</f>
        <v>3780388.73</v>
      </c>
      <c r="I181" s="10">
        <f t="shared" si="19"/>
        <v>102172.66837837838</v>
      </c>
      <c r="J181" s="32">
        <f t="shared" si="27"/>
        <v>115465.89108491232</v>
      </c>
      <c r="K181" s="10">
        <f t="shared" si="16"/>
        <v>102172.66837837838</v>
      </c>
      <c r="L181" s="10">
        <f t="shared" si="20"/>
        <v>13293.222706533939</v>
      </c>
      <c r="M181" s="10">
        <f>'D) Ecrêtage'!M180</f>
        <v>55245.232548262546</v>
      </c>
      <c r="N181" s="10">
        <f t="shared" si="17"/>
        <v>68695.205604084054</v>
      </c>
      <c r="O181" s="58">
        <f t="shared" si="18"/>
        <v>170867.87398246245</v>
      </c>
    </row>
    <row r="182" spans="1:15" s="220" customFormat="1" x14ac:dyDescent="0.25">
      <c r="A182" s="320">
        <f>'A) Base RI'!A183</f>
        <v>5704</v>
      </c>
      <c r="B182" s="226" t="str">
        <f>'A) Base RI'!B183</f>
        <v>Begnins</v>
      </c>
      <c r="C182" s="242">
        <v>0</v>
      </c>
      <c r="D182" s="221">
        <f>'B) D RI'!AR183</f>
        <v>1952</v>
      </c>
      <c r="E182" s="222">
        <f>'B) D RI'!S183</f>
        <v>64</v>
      </c>
      <c r="F182" s="10">
        <f>'B) D RI'!R183</f>
        <v>7927199.7433333341</v>
      </c>
      <c r="G182" s="10">
        <f>'B) D RI'!U183</f>
        <v>123862.49598958335</v>
      </c>
      <c r="H182" s="42">
        <f>'B) D RI'!T183</f>
        <v>7410345.6100000003</v>
      </c>
      <c r="I182" s="10">
        <f t="shared" si="19"/>
        <v>231573.30031250001</v>
      </c>
      <c r="J182" s="32">
        <f t="shared" si="27"/>
        <v>167326.96317576009</v>
      </c>
      <c r="K182" s="10">
        <f t="shared" si="16"/>
        <v>167326.96317576009</v>
      </c>
      <c r="L182" s="10">
        <f t="shared" si="20"/>
        <v>0</v>
      </c>
      <c r="M182" s="10">
        <f>'D) Ecrêtage'!M181</f>
        <v>121073.1454283051</v>
      </c>
      <c r="N182" s="10">
        <f t="shared" si="17"/>
        <v>150549.54490533975</v>
      </c>
      <c r="O182" s="58">
        <f t="shared" si="18"/>
        <v>317876.50808109983</v>
      </c>
    </row>
    <row r="183" spans="1:15" s="220" customFormat="1" x14ac:dyDescent="0.25">
      <c r="A183" s="320">
        <f>'A) Base RI'!A184</f>
        <v>5705</v>
      </c>
      <c r="B183" s="226" t="str">
        <f>'A) Base RI'!B184</f>
        <v>Bogis-Bossey</v>
      </c>
      <c r="C183" s="242">
        <v>0</v>
      </c>
      <c r="D183" s="221">
        <f>'B) D RI'!AR184</f>
        <v>867</v>
      </c>
      <c r="E183" s="222">
        <f>'B) D RI'!S184</f>
        <v>70</v>
      </c>
      <c r="F183" s="10">
        <f>'B) D RI'!R184</f>
        <v>3458349.4699999997</v>
      </c>
      <c r="G183" s="10">
        <f>'B) D RI'!U184</f>
        <v>49404.992428571422</v>
      </c>
      <c r="H183" s="42">
        <f>'B) D RI'!T184</f>
        <v>3232230.57</v>
      </c>
      <c r="I183" s="10">
        <f t="shared" si="19"/>
        <v>92349.444857142851</v>
      </c>
      <c r="J183" s="32">
        <f t="shared" si="27"/>
        <v>74319.916533495896</v>
      </c>
      <c r="K183" s="10">
        <f t="shared" si="16"/>
        <v>74319.916533495896</v>
      </c>
      <c r="L183" s="10">
        <f t="shared" si="20"/>
        <v>0</v>
      </c>
      <c r="M183" s="10">
        <f>'D) Ecrêtage'!M182</f>
        <v>49175.830567814912</v>
      </c>
      <c r="N183" s="10">
        <f t="shared" si="17"/>
        <v>61148.150451832771</v>
      </c>
      <c r="O183" s="58">
        <f t="shared" si="18"/>
        <v>135468.06698532868</v>
      </c>
    </row>
    <row r="184" spans="1:15" s="220" customFormat="1" x14ac:dyDescent="0.25">
      <c r="A184" s="320">
        <f>'A) Base RI'!A185</f>
        <v>5706</v>
      </c>
      <c r="B184" s="226" t="str">
        <f>'A) Base RI'!B185</f>
        <v>Borex</v>
      </c>
      <c r="C184" s="242">
        <v>0</v>
      </c>
      <c r="D184" s="221">
        <f>'B) D RI'!AR185</f>
        <v>1140</v>
      </c>
      <c r="E184" s="222">
        <f>'B) D RI'!S185</f>
        <v>58</v>
      </c>
      <c r="F184" s="10">
        <f>'B) D RI'!R185</f>
        <v>4116146.2066666665</v>
      </c>
      <c r="G184" s="10">
        <f>'B) D RI'!U185</f>
        <v>70968.038045977009</v>
      </c>
      <c r="H184" s="42">
        <f>'B) D RI'!T185</f>
        <v>3856611.44</v>
      </c>
      <c r="I184" s="10">
        <f t="shared" si="19"/>
        <v>132986.60137931033</v>
      </c>
      <c r="J184" s="32">
        <f t="shared" si="27"/>
        <v>97721.689559613995</v>
      </c>
      <c r="K184" s="10">
        <f t="shared" si="16"/>
        <v>97721.689559613995</v>
      </c>
      <c r="L184" s="10">
        <f t="shared" si="20"/>
        <v>0</v>
      </c>
      <c r="M184" s="10">
        <f>'D) Ecrêtage'!M183</f>
        <v>69585.555817171087</v>
      </c>
      <c r="N184" s="10">
        <f t="shared" si="17"/>
        <v>86526.81586160454</v>
      </c>
      <c r="O184" s="58">
        <f t="shared" si="18"/>
        <v>184248.50542121852</v>
      </c>
    </row>
    <row r="185" spans="1:15" s="220" customFormat="1" x14ac:dyDescent="0.25">
      <c r="A185" s="320">
        <f>'A) Base RI'!A186</f>
        <v>5707</v>
      </c>
      <c r="B185" s="226" t="str">
        <f>'A) Base RI'!B186</f>
        <v>Chavannes-de-Bogis</v>
      </c>
      <c r="C185" s="242">
        <v>0</v>
      </c>
      <c r="D185" s="221">
        <f>'B) D RI'!AR186</f>
        <v>1281</v>
      </c>
      <c r="E185" s="222">
        <f>'B) D RI'!S186</f>
        <v>59</v>
      </c>
      <c r="F185" s="10">
        <f>'B) D RI'!R186</f>
        <v>4584552.8866666667</v>
      </c>
      <c r="G185" s="10">
        <f>'B) D RI'!U186</f>
        <v>77704.286214689273</v>
      </c>
      <c r="H185" s="42">
        <f>'B) D RI'!T186</f>
        <v>4062248.62</v>
      </c>
      <c r="I185" s="10">
        <f t="shared" si="19"/>
        <v>137703.34305084747</v>
      </c>
      <c r="J185" s="32">
        <f t="shared" si="27"/>
        <v>109808.31958409256</v>
      </c>
      <c r="K185" s="10">
        <f t="shared" si="16"/>
        <v>109808.31958409256</v>
      </c>
      <c r="L185" s="10">
        <f t="shared" si="20"/>
        <v>0</v>
      </c>
      <c r="M185" s="10">
        <f>'D) Ecrêtage'!M184</f>
        <v>76518.260728975889</v>
      </c>
      <c r="N185" s="10">
        <f t="shared" si="17"/>
        <v>95147.353188383378</v>
      </c>
      <c r="O185" s="58">
        <f t="shared" si="18"/>
        <v>204955.67277247593</v>
      </c>
    </row>
    <row r="186" spans="1:15" s="220" customFormat="1" x14ac:dyDescent="0.25">
      <c r="A186" s="320">
        <f>'A) Base RI'!A187</f>
        <v>5708</v>
      </c>
      <c r="B186" s="226" t="str">
        <f>'A) Base RI'!B187</f>
        <v>Chavannes-des-Bois</v>
      </c>
      <c r="C186" s="242">
        <v>0</v>
      </c>
      <c r="D186" s="221">
        <f>'B) D RI'!AR187</f>
        <v>964</v>
      </c>
      <c r="E186" s="222">
        <f>'B) D RI'!S187</f>
        <v>63</v>
      </c>
      <c r="F186" s="10">
        <f>'B) D RI'!R187</f>
        <v>3593569.4466666668</v>
      </c>
      <c r="G186" s="10">
        <f>'B) D RI'!U187</f>
        <v>57040.784867724869</v>
      </c>
      <c r="H186" s="42">
        <f>'B) D RI'!T187</f>
        <v>3315900.0300000003</v>
      </c>
      <c r="I186" s="10">
        <f t="shared" si="19"/>
        <v>105266.66761904763</v>
      </c>
      <c r="J186" s="32">
        <f t="shared" si="27"/>
        <v>82634.832224094629</v>
      </c>
      <c r="K186" s="10">
        <f t="shared" si="16"/>
        <v>82634.832224094629</v>
      </c>
      <c r="L186" s="10">
        <f t="shared" si="20"/>
        <v>0</v>
      </c>
      <c r="M186" s="10">
        <f>'D) Ecrêtage'!M185</f>
        <v>56406.479638173878</v>
      </c>
      <c r="N186" s="10">
        <f t="shared" si="17"/>
        <v>70139.169253416403</v>
      </c>
      <c r="O186" s="58">
        <f t="shared" si="18"/>
        <v>152774.00147751102</v>
      </c>
    </row>
    <row r="187" spans="1:15" s="220" customFormat="1" x14ac:dyDescent="0.25">
      <c r="A187" s="320">
        <f>'A) Base RI'!A188</f>
        <v>5709</v>
      </c>
      <c r="B187" s="226" t="str">
        <f>'A) Base RI'!B188</f>
        <v>Chéserex</v>
      </c>
      <c r="C187" s="242">
        <v>0</v>
      </c>
      <c r="D187" s="221">
        <f>'B) D RI'!AR188</f>
        <v>1227</v>
      </c>
      <c r="E187" s="222">
        <f>'B) D RI'!S188</f>
        <v>57</v>
      </c>
      <c r="F187" s="10">
        <f>'B) D RI'!R188</f>
        <v>6197140.4199999999</v>
      </c>
      <c r="G187" s="10">
        <f>'B) D RI'!U188</f>
        <v>108721.76175438597</v>
      </c>
      <c r="H187" s="42">
        <f>'B) D RI'!T188</f>
        <v>5854031.1200000001</v>
      </c>
      <c r="I187" s="10">
        <f t="shared" si="19"/>
        <v>205404.60070175439</v>
      </c>
      <c r="J187" s="32">
        <f t="shared" si="27"/>
        <v>105179.39744705822</v>
      </c>
      <c r="K187" s="10">
        <f t="shared" si="16"/>
        <v>105179.39744705822</v>
      </c>
      <c r="L187" s="10">
        <f t="shared" si="20"/>
        <v>0</v>
      </c>
      <c r="M187" s="10">
        <f>'D) Ecrêtage'!M186</f>
        <v>100234.2316147745</v>
      </c>
      <c r="N187" s="10">
        <f t="shared" si="17"/>
        <v>124637.20092641492</v>
      </c>
      <c r="O187" s="58">
        <f t="shared" si="18"/>
        <v>229816.59837347316</v>
      </c>
    </row>
    <row r="188" spans="1:15" s="220" customFormat="1" x14ac:dyDescent="0.25">
      <c r="A188" s="320">
        <f>'A) Base RI'!A189</f>
        <v>5710</v>
      </c>
      <c r="B188" s="226" t="str">
        <f>'A) Base RI'!B189</f>
        <v>Coinsins</v>
      </c>
      <c r="C188" s="242">
        <v>0</v>
      </c>
      <c r="D188" s="221">
        <f>'B) D RI'!AR189</f>
        <v>499</v>
      </c>
      <c r="E188" s="222">
        <f>'B) D RI'!S189</f>
        <v>51</v>
      </c>
      <c r="F188" s="10">
        <f>'B) D RI'!R189</f>
        <v>6348334.6199999982</v>
      </c>
      <c r="G188" s="10">
        <f>'B) D RI'!U189</f>
        <v>124477.14941176467</v>
      </c>
      <c r="H188" s="42">
        <f>'B) D RI'!T189</f>
        <v>6211817.9699999988</v>
      </c>
      <c r="I188" s="10">
        <f t="shared" si="19"/>
        <v>243600.70470588229</v>
      </c>
      <c r="J188" s="32">
        <f t="shared" si="27"/>
        <v>42774.669377409984</v>
      </c>
      <c r="K188" s="10">
        <f t="shared" si="16"/>
        <v>42774.669377409984</v>
      </c>
      <c r="L188" s="10">
        <f t="shared" si="20"/>
        <v>0</v>
      </c>
      <c r="M188" s="10">
        <f>'D) Ecrêtage'!M187</f>
        <v>95888.763306448789</v>
      </c>
      <c r="N188" s="10">
        <f t="shared" si="17"/>
        <v>119233.78736261676</v>
      </c>
      <c r="O188" s="58">
        <f t="shared" si="18"/>
        <v>162008.45674002674</v>
      </c>
    </row>
    <row r="189" spans="1:15" s="220" customFormat="1" x14ac:dyDescent="0.25">
      <c r="A189" s="320">
        <f>'A) Base RI'!A190</f>
        <v>5711</v>
      </c>
      <c r="B189" s="226" t="str">
        <f>'A) Base RI'!B190</f>
        <v>Commugny</v>
      </c>
      <c r="C189" s="242">
        <v>0</v>
      </c>
      <c r="D189" s="221">
        <f>'B) D RI'!AR190</f>
        <v>2877</v>
      </c>
      <c r="E189" s="222">
        <f>'B) D RI'!S190</f>
        <v>57</v>
      </c>
      <c r="F189" s="10">
        <f>'B) D RI'!R190</f>
        <v>15853410.116923077</v>
      </c>
      <c r="G189" s="10">
        <f>'B) D RI'!U190</f>
        <v>278130.00205128203</v>
      </c>
      <c r="H189" s="42">
        <f>'B) D RI'!T190</f>
        <v>14967028.390000001</v>
      </c>
      <c r="I189" s="10">
        <f t="shared" si="19"/>
        <v>525158.89087719296</v>
      </c>
      <c r="J189" s="32">
        <f t="shared" si="27"/>
        <v>246618.68496755214</v>
      </c>
      <c r="K189" s="10">
        <f t="shared" si="16"/>
        <v>246618.68496755214</v>
      </c>
      <c r="L189" s="10">
        <f t="shared" si="20"/>
        <v>0</v>
      </c>
      <c r="M189" s="10">
        <f>'D) Ecrêtage'!M188</f>
        <v>252295.00727124591</v>
      </c>
      <c r="N189" s="10">
        <f t="shared" si="17"/>
        <v>313718.60698099626</v>
      </c>
      <c r="O189" s="58">
        <f t="shared" si="18"/>
        <v>560337.2919485484</v>
      </c>
    </row>
    <row r="190" spans="1:15" s="220" customFormat="1" x14ac:dyDescent="0.25">
      <c r="A190" s="320">
        <f>'A) Base RI'!A191</f>
        <v>5712</v>
      </c>
      <c r="B190" s="226" t="str">
        <f>'A) Base RI'!B191</f>
        <v>Coppet</v>
      </c>
      <c r="C190" s="242">
        <v>0</v>
      </c>
      <c r="D190" s="221">
        <f>'B) D RI'!AR191</f>
        <v>3126</v>
      </c>
      <c r="E190" s="222">
        <f>'B) D RI'!S191</f>
        <v>53</v>
      </c>
      <c r="F190" s="10">
        <f>'B) D RI'!R191</f>
        <v>18015253.16</v>
      </c>
      <c r="G190" s="10">
        <f>'B) D RI'!U191</f>
        <v>339910.43698113208</v>
      </c>
      <c r="H190" s="42">
        <f>'B) D RI'!T191</f>
        <v>16852110.66</v>
      </c>
      <c r="I190" s="10">
        <f t="shared" si="19"/>
        <v>635928.70415094343</v>
      </c>
      <c r="J190" s="32">
        <f t="shared" si="27"/>
        <v>267963.15926609939</v>
      </c>
      <c r="K190" s="10">
        <f t="shared" si="16"/>
        <v>267963.15926609939</v>
      </c>
      <c r="L190" s="10">
        <f t="shared" si="20"/>
        <v>0</v>
      </c>
      <c r="M190" s="10">
        <f>'D) Ecrêtage'!M189</f>
        <v>301281.02540606516</v>
      </c>
      <c r="N190" s="10">
        <f t="shared" si="17"/>
        <v>374630.73337230115</v>
      </c>
      <c r="O190" s="58">
        <f t="shared" si="18"/>
        <v>642593.89263840055</v>
      </c>
    </row>
    <row r="191" spans="1:15" s="220" customFormat="1" x14ac:dyDescent="0.25">
      <c r="A191" s="320">
        <f>'A) Base RI'!A192</f>
        <v>5713</v>
      </c>
      <c r="B191" s="226" t="str">
        <f>'A) Base RI'!B192</f>
        <v>Crans-près-Céligny</v>
      </c>
      <c r="C191" s="242">
        <v>1</v>
      </c>
      <c r="D191" s="221">
        <f>'B) D RI'!AR192</f>
        <v>2193</v>
      </c>
      <c r="E191" s="222">
        <f>'B) D RI'!S192</f>
        <v>53</v>
      </c>
      <c r="F191" s="10">
        <f>'B) D RI'!R192</f>
        <v>14477108.57</v>
      </c>
      <c r="G191" s="10">
        <f>'B) D RI'!U192</f>
        <v>273152.99188679247</v>
      </c>
      <c r="H191" s="42">
        <f>'B) D RI'!T192</f>
        <v>13666774.82</v>
      </c>
      <c r="I191" s="10">
        <f t="shared" si="19"/>
        <v>515727.3516981132</v>
      </c>
      <c r="J191" s="32">
        <f t="shared" si="27"/>
        <v>187985.67123178375</v>
      </c>
      <c r="K191" s="10">
        <f t="shared" si="16"/>
        <v>0</v>
      </c>
      <c r="L191" s="10">
        <f t="shared" si="20"/>
        <v>187985.67123178375</v>
      </c>
      <c r="M191" s="10">
        <f>'D) Ecrêtage'!M190</f>
        <v>236338.83782444469</v>
      </c>
      <c r="N191" s="10">
        <f t="shared" si="17"/>
        <v>293877.75754943589</v>
      </c>
      <c r="O191" s="58">
        <f t="shared" si="18"/>
        <v>293877.75754943589</v>
      </c>
    </row>
    <row r="192" spans="1:15" s="220" customFormat="1" x14ac:dyDescent="0.25">
      <c r="A192" s="320">
        <f>'A) Base RI'!A193</f>
        <v>5714</v>
      </c>
      <c r="B192" s="226" t="str">
        <f>'A) Base RI'!B193</f>
        <v>Crassier</v>
      </c>
      <c r="C192" s="242">
        <v>0</v>
      </c>
      <c r="D192" s="221">
        <f>'B) D RI'!AR193</f>
        <v>1175</v>
      </c>
      <c r="E192" s="222">
        <f>'B) D RI'!S193</f>
        <v>64</v>
      </c>
      <c r="F192" s="10">
        <f>'B) D RI'!R193</f>
        <v>4928060.8999999994</v>
      </c>
      <c r="G192" s="10">
        <f>'B) D RI'!U193</f>
        <v>77000.951562499991</v>
      </c>
      <c r="H192" s="42">
        <f>'B) D RI'!T193</f>
        <v>4650542.0999999996</v>
      </c>
      <c r="I192" s="10">
        <f t="shared" si="19"/>
        <v>145329.44062499999</v>
      </c>
      <c r="J192" s="32">
        <f t="shared" si="27"/>
        <v>100721.91687065476</v>
      </c>
      <c r="K192" s="10">
        <f t="shared" si="16"/>
        <v>100721.91687065476</v>
      </c>
      <c r="L192" s="10">
        <f t="shared" si="20"/>
        <v>0</v>
      </c>
      <c r="M192" s="10">
        <f>'D) Ecrêtage'!M191</f>
        <v>74882.292060089618</v>
      </c>
      <c r="N192" s="10">
        <f t="shared" si="17"/>
        <v>93113.092513078882</v>
      </c>
      <c r="O192" s="58">
        <f t="shared" si="18"/>
        <v>193835.00938373365</v>
      </c>
    </row>
    <row r="193" spans="1:15" s="220" customFormat="1" x14ac:dyDescent="0.25">
      <c r="A193" s="320">
        <f>'A) Base RI'!A194</f>
        <v>5715</v>
      </c>
      <c r="B193" s="226" t="str">
        <f>'A) Base RI'!B194</f>
        <v>Duillier</v>
      </c>
      <c r="C193" s="242">
        <v>0</v>
      </c>
      <c r="D193" s="221">
        <f>'B) D RI'!AR194</f>
        <v>1085</v>
      </c>
      <c r="E193" s="222">
        <f>'B) D RI'!S194</f>
        <v>66</v>
      </c>
      <c r="F193" s="10">
        <f>'B) D RI'!R194</f>
        <v>5111186.9100000011</v>
      </c>
      <c r="G193" s="10">
        <f>'B) D RI'!U194</f>
        <v>77442.225909090921</v>
      </c>
      <c r="H193" s="42">
        <f>'B) D RI'!T194</f>
        <v>4852011.2600000007</v>
      </c>
      <c r="I193" s="10">
        <f t="shared" si="19"/>
        <v>147030.64424242426</v>
      </c>
      <c r="J193" s="32">
        <f t="shared" si="27"/>
        <v>93007.046642264191</v>
      </c>
      <c r="K193" s="10">
        <f t="shared" ref="K193:K253" si="28">IF(C193=1,0,IF(J193&gt;I193,I193,J193))</f>
        <v>93007.046642264191</v>
      </c>
      <c r="L193" s="10">
        <f t="shared" si="20"/>
        <v>0</v>
      </c>
      <c r="M193" s="10">
        <f>'D) Ecrêtage'!M192</f>
        <v>74237.315453120289</v>
      </c>
      <c r="N193" s="10">
        <f t="shared" ref="N193:N253" si="29">+$N$5*M193</f>
        <v>92311.090266335232</v>
      </c>
      <c r="O193" s="58">
        <f t="shared" ref="O193:O253" si="30">+N193+K193</f>
        <v>185318.13690859941</v>
      </c>
    </row>
    <row r="194" spans="1:15" s="220" customFormat="1" x14ac:dyDescent="0.25">
      <c r="A194" s="320">
        <f>'A) Base RI'!A195</f>
        <v>5716</v>
      </c>
      <c r="B194" s="226" t="str">
        <f>'A) Base RI'!B195</f>
        <v>Eysins</v>
      </c>
      <c r="C194" s="242">
        <v>0</v>
      </c>
      <c r="D194" s="221">
        <f>'B) D RI'!AR195</f>
        <v>1618</v>
      </c>
      <c r="E194" s="222">
        <f>'B) D RI'!S195</f>
        <v>61</v>
      </c>
      <c r="F194" s="10">
        <f>'B) D RI'!R195</f>
        <v>10731182.77</v>
      </c>
      <c r="G194" s="10">
        <f>'B) D RI'!U195</f>
        <v>175921.02901639344</v>
      </c>
      <c r="H194" s="42">
        <f>'B) D RI'!T195</f>
        <v>9927777.8200000003</v>
      </c>
      <c r="I194" s="10">
        <f t="shared" ref="I194:I254" si="31">+H194/E194*$I$5</f>
        <v>325500.91213114758</v>
      </c>
      <c r="J194" s="32">
        <f t="shared" si="27"/>
        <v>138696.22255039951</v>
      </c>
      <c r="K194" s="10">
        <f t="shared" si="28"/>
        <v>138696.22255039951</v>
      </c>
      <c r="L194" s="10">
        <f t="shared" ref="L194:L254" si="32">+J194-K194</f>
        <v>0</v>
      </c>
      <c r="M194" s="10">
        <f>'D) Ecrêtage'!M193</f>
        <v>155930.77890890944</v>
      </c>
      <c r="N194" s="10">
        <f t="shared" si="29"/>
        <v>193893.59810902615</v>
      </c>
      <c r="O194" s="58">
        <f t="shared" si="30"/>
        <v>332589.82065942569</v>
      </c>
    </row>
    <row r="195" spans="1:15" s="220" customFormat="1" x14ac:dyDescent="0.25">
      <c r="A195" s="320">
        <f>'A) Base RI'!A196</f>
        <v>5717</v>
      </c>
      <c r="B195" s="226" t="str">
        <f>'A) Base RI'!B196</f>
        <v>Founex</v>
      </c>
      <c r="C195" s="242">
        <v>0</v>
      </c>
      <c r="D195" s="221">
        <f>'B) D RI'!AR196</f>
        <v>3790</v>
      </c>
      <c r="E195" s="222">
        <f>'B) D RI'!S196</f>
        <v>57</v>
      </c>
      <c r="F195" s="10">
        <f>'B) D RI'!R196</f>
        <v>21431663.349999994</v>
      </c>
      <c r="G195" s="10">
        <f>'B) D RI'!U196</f>
        <v>375994.09385964903</v>
      </c>
      <c r="H195" s="42">
        <f>'B) D RI'!T196</f>
        <v>20126628.399999995</v>
      </c>
      <c r="I195" s="10">
        <f t="shared" si="31"/>
        <v>706197.48771929811</v>
      </c>
      <c r="J195" s="32">
        <f t="shared" si="27"/>
        <v>324881.75739555876</v>
      </c>
      <c r="K195" s="10">
        <f t="shared" si="28"/>
        <v>324881.75739555876</v>
      </c>
      <c r="L195" s="10">
        <f t="shared" si="32"/>
        <v>0</v>
      </c>
      <c r="M195" s="10">
        <f>'D) Ecrêtage'!M194</f>
        <v>339272.20498613658</v>
      </c>
      <c r="N195" s="10">
        <f t="shared" si="29"/>
        <v>421871.22403572156</v>
      </c>
      <c r="O195" s="58">
        <f t="shared" si="30"/>
        <v>746752.98143128026</v>
      </c>
    </row>
    <row r="196" spans="1:15" s="220" customFormat="1" x14ac:dyDescent="0.25">
      <c r="A196" s="320">
        <f>'A) Base RI'!A197</f>
        <v>5718</v>
      </c>
      <c r="B196" s="226" t="str">
        <f>'A) Base RI'!B197</f>
        <v>Genolier</v>
      </c>
      <c r="C196" s="242">
        <v>0</v>
      </c>
      <c r="D196" s="221">
        <f>'B) D RI'!AR197</f>
        <v>1961</v>
      </c>
      <c r="E196" s="222">
        <f>'B) D RI'!S197</f>
        <v>55</v>
      </c>
      <c r="F196" s="10">
        <f>'B) D RI'!R197</f>
        <v>9379943.0700000003</v>
      </c>
      <c r="G196" s="10">
        <f>'B) D RI'!U197</f>
        <v>170544.41945454545</v>
      </c>
      <c r="H196" s="42">
        <f>'B) D RI'!T197</f>
        <v>8688379.6699999999</v>
      </c>
      <c r="I196" s="10">
        <f t="shared" si="31"/>
        <v>315941.07890909089</v>
      </c>
      <c r="J196" s="32">
        <f t="shared" si="27"/>
        <v>168098.45019859914</v>
      </c>
      <c r="K196" s="10">
        <f t="shared" si="28"/>
        <v>168098.45019859914</v>
      </c>
      <c r="L196" s="10">
        <f t="shared" si="32"/>
        <v>0</v>
      </c>
      <c r="M196" s="10">
        <f>'D) Ecrêtage'!M195</f>
        <v>157719.14560453352</v>
      </c>
      <c r="N196" s="10">
        <f t="shared" si="29"/>
        <v>196117.35954842396</v>
      </c>
      <c r="O196" s="58">
        <f t="shared" si="30"/>
        <v>364215.8097470231</v>
      </c>
    </row>
    <row r="197" spans="1:15" s="220" customFormat="1" x14ac:dyDescent="0.25">
      <c r="A197" s="320">
        <f>'A) Base RI'!A198</f>
        <v>5719</v>
      </c>
      <c r="B197" s="226" t="str">
        <f>'A) Base RI'!B198</f>
        <v>Gingins</v>
      </c>
      <c r="C197" s="242">
        <v>0</v>
      </c>
      <c r="D197" s="221">
        <f>'B) D RI'!AR198</f>
        <v>1226</v>
      </c>
      <c r="E197" s="222">
        <f>'B) D RI'!S198</f>
        <v>57</v>
      </c>
      <c r="F197" s="10">
        <f>'B) D RI'!R198</f>
        <v>6345224.1000000006</v>
      </c>
      <c r="G197" s="10">
        <f>'B) D RI'!U198</f>
        <v>111319.72105263159</v>
      </c>
      <c r="H197" s="42">
        <f>'B) D RI'!T198</f>
        <v>5948016.7500000009</v>
      </c>
      <c r="I197" s="10">
        <f t="shared" si="31"/>
        <v>208702.3421052632</v>
      </c>
      <c r="J197" s="32">
        <f t="shared" si="27"/>
        <v>105093.67666674276</v>
      </c>
      <c r="K197" s="10">
        <f t="shared" si="28"/>
        <v>105093.67666674276</v>
      </c>
      <c r="L197" s="10">
        <f t="shared" si="32"/>
        <v>0</v>
      </c>
      <c r="M197" s="10">
        <f>'D) Ecrêtage'!M196</f>
        <v>102221.19778455902</v>
      </c>
      <c r="N197" s="10">
        <f t="shared" si="29"/>
        <v>127107.91275557528</v>
      </c>
      <c r="O197" s="58">
        <f t="shared" si="30"/>
        <v>232201.58942231804</v>
      </c>
    </row>
    <row r="198" spans="1:15" s="220" customFormat="1" x14ac:dyDescent="0.25">
      <c r="A198" s="320">
        <f>'A) Base RI'!A199</f>
        <v>5720</v>
      </c>
      <c r="B198" s="226" t="str">
        <f>'A) Base RI'!B199</f>
        <v>Givrins</v>
      </c>
      <c r="C198" s="242">
        <v>0</v>
      </c>
      <c r="D198" s="221">
        <f>'B) D RI'!AR199</f>
        <v>1033</v>
      </c>
      <c r="E198" s="222">
        <f>'B) D RI'!S199</f>
        <v>67</v>
      </c>
      <c r="F198" s="10">
        <f>'B) D RI'!R199</f>
        <v>4490201.2544444436</v>
      </c>
      <c r="G198" s="10">
        <f>'B) D RI'!U199</f>
        <v>67017.929170812597</v>
      </c>
      <c r="H198" s="42">
        <f>'B) D RI'!T199</f>
        <v>4199454.8099999996</v>
      </c>
      <c r="I198" s="10">
        <f t="shared" si="31"/>
        <v>125356.85999999999</v>
      </c>
      <c r="J198" s="32">
        <f t="shared" si="27"/>
        <v>88549.566065860752</v>
      </c>
      <c r="K198" s="10">
        <f t="shared" si="28"/>
        <v>88549.566065860752</v>
      </c>
      <c r="L198" s="10">
        <f t="shared" si="32"/>
        <v>0</v>
      </c>
      <c r="M198" s="10">
        <f>'D) Ecrêtage'!M197</f>
        <v>65277.239509463201</v>
      </c>
      <c r="N198" s="10">
        <f t="shared" si="29"/>
        <v>81169.599303472249</v>
      </c>
      <c r="O198" s="58">
        <f t="shared" si="30"/>
        <v>169719.165369333</v>
      </c>
    </row>
    <row r="199" spans="1:15" s="220" customFormat="1" x14ac:dyDescent="0.25">
      <c r="A199" s="320">
        <f>'A) Base RI'!A200</f>
        <v>5721</v>
      </c>
      <c r="B199" s="226" t="str">
        <f>'A) Base RI'!B200</f>
        <v>Gland</v>
      </c>
      <c r="C199" s="242">
        <v>0</v>
      </c>
      <c r="D199" s="221">
        <f>'B) D RI'!AR200</f>
        <v>13101</v>
      </c>
      <c r="E199" s="222">
        <f>'B) D RI'!S200</f>
        <v>62.5</v>
      </c>
      <c r="F199" s="10">
        <f>'B) D RI'!R200</f>
        <v>40907762.309999995</v>
      </c>
      <c r="G199" s="10">
        <f>'B) D RI'!U200</f>
        <v>654524.19695999997</v>
      </c>
      <c r="H199" s="42">
        <f>'B) D RI'!T200</f>
        <v>37683990.009999998</v>
      </c>
      <c r="I199" s="10">
        <f t="shared" si="31"/>
        <v>1205887.68032</v>
      </c>
      <c r="J199" s="32">
        <f t="shared" si="27"/>
        <v>1123027.9429127218</v>
      </c>
      <c r="K199" s="10">
        <f t="shared" si="28"/>
        <v>1123027.9429127218</v>
      </c>
      <c r="L199" s="10">
        <f t="shared" si="32"/>
        <v>0</v>
      </c>
      <c r="M199" s="10">
        <f>'D) Ecrêtage'!M198</f>
        <v>654524.19695999997</v>
      </c>
      <c r="N199" s="10">
        <f t="shared" si="29"/>
        <v>813874.28759098018</v>
      </c>
      <c r="O199" s="58">
        <f t="shared" si="30"/>
        <v>1936902.2305037021</v>
      </c>
    </row>
    <row r="200" spans="1:15" s="220" customFormat="1" x14ac:dyDescent="0.25">
      <c r="A200" s="320">
        <f>'A) Base RI'!A201</f>
        <v>5722</v>
      </c>
      <c r="B200" s="226" t="str">
        <f>'A) Base RI'!B201</f>
        <v>Grens</v>
      </c>
      <c r="C200" s="242">
        <v>0</v>
      </c>
      <c r="D200" s="221">
        <f>'B) D RI'!AR201</f>
        <v>391</v>
      </c>
      <c r="E200" s="222">
        <f>'B) D RI'!S201</f>
        <v>62</v>
      </c>
      <c r="F200" s="10">
        <f>'B) D RI'!R201</f>
        <v>1375923.31</v>
      </c>
      <c r="G200" s="10">
        <f>'B) D RI'!U201</f>
        <v>22192.311451612903</v>
      </c>
      <c r="H200" s="42">
        <f>'B) D RI'!T201</f>
        <v>1286369.6099999999</v>
      </c>
      <c r="I200" s="10">
        <f t="shared" si="31"/>
        <v>41495.79387096774</v>
      </c>
      <c r="J200" s="32">
        <f t="shared" si="27"/>
        <v>33516.825103341289</v>
      </c>
      <c r="K200" s="10">
        <f t="shared" si="28"/>
        <v>33516.825103341289</v>
      </c>
      <c r="L200" s="10">
        <f t="shared" si="32"/>
        <v>0</v>
      </c>
      <c r="M200" s="10">
        <f>'D) Ecrêtage'!M199</f>
        <v>22104.870799281129</v>
      </c>
      <c r="N200" s="10">
        <f t="shared" si="29"/>
        <v>27486.510136087527</v>
      </c>
      <c r="O200" s="58">
        <f t="shared" si="30"/>
        <v>61003.335239428816</v>
      </c>
    </row>
    <row r="201" spans="1:15" s="220" customFormat="1" x14ac:dyDescent="0.25">
      <c r="A201" s="320">
        <f>'A) Base RI'!A202</f>
        <v>5723</v>
      </c>
      <c r="B201" s="226" t="str">
        <f>'A) Base RI'!B202</f>
        <v>Mies</v>
      </c>
      <c r="C201" s="242">
        <v>0</v>
      </c>
      <c r="D201" s="221">
        <f>'B) D RI'!AR202</f>
        <v>2075</v>
      </c>
      <c r="E201" s="222">
        <f>'B) D RI'!S202</f>
        <v>49</v>
      </c>
      <c r="F201" s="10">
        <f>'B) D RI'!R202</f>
        <v>25013433.960000001</v>
      </c>
      <c r="G201" s="10">
        <f>'B) D RI'!U202</f>
        <v>510478.2440816327</v>
      </c>
      <c r="H201" s="42">
        <f>'B) D RI'!T202</f>
        <v>24194300.41</v>
      </c>
      <c r="I201" s="10">
        <f t="shared" si="31"/>
        <v>987522.46571428573</v>
      </c>
      <c r="J201" s="32">
        <f t="shared" si="27"/>
        <v>177870.61915456055</v>
      </c>
      <c r="K201" s="10">
        <f t="shared" si="28"/>
        <v>177870.61915456055</v>
      </c>
      <c r="L201" s="10">
        <f t="shared" si="32"/>
        <v>0</v>
      </c>
      <c r="M201" s="10">
        <f>'D) Ecrêtage'!M200</f>
        <v>393953.94435869262</v>
      </c>
      <c r="N201" s="10">
        <f t="shared" si="29"/>
        <v>489865.74873439281</v>
      </c>
      <c r="O201" s="58">
        <f t="shared" si="30"/>
        <v>667736.3678889533</v>
      </c>
    </row>
    <row r="202" spans="1:15" s="220" customFormat="1" x14ac:dyDescent="0.25">
      <c r="A202" s="320">
        <f>'A) Base RI'!A203</f>
        <v>5724</v>
      </c>
      <c r="B202" s="226" t="str">
        <f>'A) Base RI'!B203</f>
        <v>Nyon</v>
      </c>
      <c r="C202" s="242">
        <v>1</v>
      </c>
      <c r="D202" s="221">
        <f>'B) D RI'!AR203</f>
        <v>21239</v>
      </c>
      <c r="E202" s="222">
        <f>'B) D RI'!S203</f>
        <v>61</v>
      </c>
      <c r="F202" s="10">
        <f>'B) D RI'!R203</f>
        <v>81621786.228461549</v>
      </c>
      <c r="G202" s="10">
        <f>'B) D RI'!U203</f>
        <v>1338062.0693190417</v>
      </c>
      <c r="H202" s="42">
        <f>'B) D RI'!T203</f>
        <v>75685500.940000013</v>
      </c>
      <c r="I202" s="10">
        <f t="shared" si="31"/>
        <v>2481491.834098361</v>
      </c>
      <c r="J202" s="32">
        <f t="shared" si="27"/>
        <v>1820623.6531198609</v>
      </c>
      <c r="K202" s="10">
        <f t="shared" si="28"/>
        <v>0</v>
      </c>
      <c r="L202" s="10">
        <f t="shared" si="32"/>
        <v>1820623.6531198609</v>
      </c>
      <c r="M202" s="10">
        <f>'D) Ecrêtage'!M201</f>
        <v>1309447.4659231247</v>
      </c>
      <c r="N202" s="10">
        <f t="shared" si="29"/>
        <v>1628244.8050291517</v>
      </c>
      <c r="O202" s="58">
        <f t="shared" si="30"/>
        <v>1628244.8050291517</v>
      </c>
    </row>
    <row r="203" spans="1:15" s="220" customFormat="1" x14ac:dyDescent="0.25">
      <c r="A203" s="320">
        <f>'A) Base RI'!A204</f>
        <v>5725</v>
      </c>
      <c r="B203" s="226" t="str">
        <f>'A) Base RI'!B204</f>
        <v>Prangins</v>
      </c>
      <c r="C203" s="242">
        <v>1</v>
      </c>
      <c r="D203" s="221">
        <f>'B) D RI'!AR204</f>
        <v>4040</v>
      </c>
      <c r="E203" s="222">
        <f>'B) D RI'!S204</f>
        <v>56</v>
      </c>
      <c r="F203" s="10">
        <f>'B) D RI'!R204</f>
        <v>18190747.847142857</v>
      </c>
      <c r="G203" s="10">
        <f>'B) D RI'!U204</f>
        <v>324834.78298469388</v>
      </c>
      <c r="H203" s="42">
        <f>'B) D RI'!T204</f>
        <v>16999985.239999998</v>
      </c>
      <c r="I203" s="10">
        <f t="shared" si="31"/>
        <v>607142.32999999996</v>
      </c>
      <c r="J203" s="32">
        <f t="shared" si="27"/>
        <v>346311.95247442153</v>
      </c>
      <c r="K203" s="10">
        <f t="shared" si="28"/>
        <v>0</v>
      </c>
      <c r="L203" s="10">
        <f t="shared" si="32"/>
        <v>346311.95247442153</v>
      </c>
      <c r="M203" s="10">
        <f>'D) Ecrêtage'!M202</f>
        <v>304511.24195130728</v>
      </c>
      <c r="N203" s="10">
        <f t="shared" si="29"/>
        <v>378647.37660983787</v>
      </c>
      <c r="O203" s="58">
        <f t="shared" si="30"/>
        <v>378647.37660983787</v>
      </c>
    </row>
    <row r="204" spans="1:15" s="220" customFormat="1" x14ac:dyDescent="0.25">
      <c r="A204" s="320">
        <f>'A) Base RI'!A205</f>
        <v>5726</v>
      </c>
      <c r="B204" s="226" t="str">
        <f>'A) Base RI'!B205</f>
        <v>La Rippe</v>
      </c>
      <c r="C204" s="242">
        <v>0</v>
      </c>
      <c r="D204" s="221">
        <f>'B) D RI'!AR205</f>
        <v>1161</v>
      </c>
      <c r="E204" s="222">
        <f>'B) D RI'!S205</f>
        <v>65</v>
      </c>
      <c r="F204" s="10">
        <f>'B) D RI'!R205</f>
        <v>3888561.3200000003</v>
      </c>
      <c r="G204" s="10">
        <f>'B) D RI'!U205</f>
        <v>59824.020307692314</v>
      </c>
      <c r="H204" s="42">
        <f>'B) D RI'!T205</f>
        <v>3627777.1200000006</v>
      </c>
      <c r="I204" s="10">
        <f t="shared" si="31"/>
        <v>111623.91138461541</v>
      </c>
      <c r="J204" s="32">
        <f t="shared" si="27"/>
        <v>99521.825946238459</v>
      </c>
      <c r="K204" s="10">
        <f t="shared" si="28"/>
        <v>99521.825946238459</v>
      </c>
      <c r="L204" s="10">
        <f t="shared" si="32"/>
        <v>0</v>
      </c>
      <c r="M204" s="10">
        <f>'D) Ecrêtage'!M203</f>
        <v>59824.020307692314</v>
      </c>
      <c r="N204" s="10">
        <f t="shared" si="29"/>
        <v>74388.742440528848</v>
      </c>
      <c r="O204" s="58">
        <f t="shared" si="30"/>
        <v>173910.56838676729</v>
      </c>
    </row>
    <row r="205" spans="1:15" s="220" customFormat="1" x14ac:dyDescent="0.25">
      <c r="A205" s="320">
        <f>'A) Base RI'!A206</f>
        <v>5727</v>
      </c>
      <c r="B205" s="226" t="str">
        <f>'A) Base RI'!B206</f>
        <v>Saint-Cergue</v>
      </c>
      <c r="C205" s="242">
        <v>0</v>
      </c>
      <c r="D205" s="221">
        <f>'B) D RI'!AR206</f>
        <v>2583</v>
      </c>
      <c r="E205" s="222">
        <f>'B) D RI'!S206</f>
        <v>66</v>
      </c>
      <c r="F205" s="10">
        <f>'B) D RI'!R206</f>
        <v>5593368.956666667</v>
      </c>
      <c r="G205" s="10">
        <f>'B) D RI'!U206</f>
        <v>84748.014494949501</v>
      </c>
      <c r="H205" s="42">
        <f>'B) D RI'!T206</f>
        <v>5085158.3899999997</v>
      </c>
      <c r="I205" s="10">
        <f t="shared" si="31"/>
        <v>154095.70878787877</v>
      </c>
      <c r="J205" s="32">
        <f t="shared" si="27"/>
        <v>221416.7755548096</v>
      </c>
      <c r="K205" s="10">
        <f t="shared" si="28"/>
        <v>154095.70878787877</v>
      </c>
      <c r="L205" s="10">
        <f t="shared" si="32"/>
        <v>67321.066766930831</v>
      </c>
      <c r="M205" s="10">
        <f>'D) Ecrêtage'!M204</f>
        <v>84748.014494949501</v>
      </c>
      <c r="N205" s="10">
        <f t="shared" si="29"/>
        <v>105380.71814943507</v>
      </c>
      <c r="O205" s="58">
        <f t="shared" si="30"/>
        <v>259476.42693731384</v>
      </c>
    </row>
    <row r="206" spans="1:15" s="220" customFormat="1" x14ac:dyDescent="0.25">
      <c r="A206" s="320">
        <f>'A) Base RI'!A207</f>
        <v>5728</v>
      </c>
      <c r="B206" s="226" t="str">
        <f>'A) Base RI'!B207</f>
        <v>Signy-Avenex</v>
      </c>
      <c r="C206" s="242">
        <v>0</v>
      </c>
      <c r="D206" s="221">
        <f>'B) D RI'!AR207</f>
        <v>592</v>
      </c>
      <c r="E206" s="222">
        <f>'B) D RI'!S207</f>
        <v>58</v>
      </c>
      <c r="F206" s="10">
        <f>'B) D RI'!R207</f>
        <v>2592716.41</v>
      </c>
      <c r="G206" s="10">
        <f>'B) D RI'!U207</f>
        <v>44702.007068965519</v>
      </c>
      <c r="H206" s="42">
        <f>'B) D RI'!T207</f>
        <v>2328325.96</v>
      </c>
      <c r="I206" s="10">
        <f t="shared" si="31"/>
        <v>80287.102068965512</v>
      </c>
      <c r="J206" s="32">
        <f t="shared" si="27"/>
        <v>50746.701946746914</v>
      </c>
      <c r="K206" s="10">
        <f t="shared" si="28"/>
        <v>50746.701946746914</v>
      </c>
      <c r="L206" s="10">
        <f t="shared" si="32"/>
        <v>0</v>
      </c>
      <c r="M206" s="10">
        <f>'D) Ecrêtage'!M205</f>
        <v>42390.339442962628</v>
      </c>
      <c r="N206" s="10">
        <f t="shared" si="29"/>
        <v>52710.667497277354</v>
      </c>
      <c r="O206" s="58">
        <f t="shared" si="30"/>
        <v>103457.36944402427</v>
      </c>
    </row>
    <row r="207" spans="1:15" s="220" customFormat="1" x14ac:dyDescent="0.25">
      <c r="A207" s="320">
        <f>'A) Base RI'!A208</f>
        <v>5729</v>
      </c>
      <c r="B207" s="226" t="str">
        <f>'A) Base RI'!B208</f>
        <v>Tannay</v>
      </c>
      <c r="C207" s="242">
        <v>0</v>
      </c>
      <c r="D207" s="221">
        <f>'B) D RI'!AR208</f>
        <v>1593</v>
      </c>
      <c r="E207" s="222">
        <f>'B) D RI'!S208</f>
        <v>61</v>
      </c>
      <c r="F207" s="10">
        <f>'B) D RI'!R208</f>
        <v>8958074.6533333305</v>
      </c>
      <c r="G207" s="10">
        <f>'B) D RI'!U208</f>
        <v>146853.68284153001</v>
      </c>
      <c r="H207" s="42">
        <f>'B) D RI'!T208</f>
        <v>8421073.6699999981</v>
      </c>
      <c r="I207" s="10">
        <f t="shared" si="31"/>
        <v>276100.77606557368</v>
      </c>
      <c r="J207" s="32">
        <f t="shared" si="27"/>
        <v>136553.20304251323</v>
      </c>
      <c r="K207" s="10">
        <f t="shared" si="28"/>
        <v>136553.20304251323</v>
      </c>
      <c r="L207" s="10">
        <f t="shared" si="32"/>
        <v>0</v>
      </c>
      <c r="M207" s="10">
        <f>'D) Ecrêtage'!M206</f>
        <v>134523.0821423289</v>
      </c>
      <c r="N207" s="10">
        <f t="shared" si="29"/>
        <v>167273.99560114628</v>
      </c>
      <c r="O207" s="58">
        <f t="shared" si="30"/>
        <v>303827.19864365947</v>
      </c>
    </row>
    <row r="208" spans="1:15" s="220" customFormat="1" x14ac:dyDescent="0.25">
      <c r="A208" s="320">
        <f>'A) Base RI'!A209</f>
        <v>5730</v>
      </c>
      <c r="B208" s="226" t="str">
        <f>'A) Base RI'!B209</f>
        <v>Trélex</v>
      </c>
      <c r="C208" s="242">
        <v>0</v>
      </c>
      <c r="D208" s="221">
        <f>'B) D RI'!AR209</f>
        <v>1408</v>
      </c>
      <c r="E208" s="222">
        <f>'B) D RI'!S209</f>
        <v>57</v>
      </c>
      <c r="F208" s="10">
        <f>'B) D RI'!R209</f>
        <v>9121549.839999998</v>
      </c>
      <c r="G208" s="10">
        <f>'B) D RI'!U209</f>
        <v>160027.19017543856</v>
      </c>
      <c r="H208" s="42">
        <f>'B) D RI'!T209</f>
        <v>8701087.1399999987</v>
      </c>
      <c r="I208" s="10">
        <f t="shared" si="31"/>
        <v>305301.3031578947</v>
      </c>
      <c r="J208" s="32">
        <f t="shared" si="27"/>
        <v>120694.85868415482</v>
      </c>
      <c r="K208" s="10">
        <f t="shared" si="28"/>
        <v>120694.85868415482</v>
      </c>
      <c r="L208" s="10">
        <f t="shared" si="32"/>
        <v>0</v>
      </c>
      <c r="M208" s="10">
        <f>'D) Ecrêtage'!M207</f>
        <v>140688.57218471222</v>
      </c>
      <c r="N208" s="10">
        <f t="shared" si="29"/>
        <v>174940.53236052091</v>
      </c>
      <c r="O208" s="58">
        <f t="shared" si="30"/>
        <v>295635.39104467572</v>
      </c>
    </row>
    <row r="209" spans="1:15" s="220" customFormat="1" x14ac:dyDescent="0.25">
      <c r="A209" s="320">
        <f>'A) Base RI'!A210</f>
        <v>5731</v>
      </c>
      <c r="B209" s="226" t="str">
        <f>'A) Base RI'!B210</f>
        <v>Le Vaud</v>
      </c>
      <c r="C209" s="242">
        <v>0</v>
      </c>
      <c r="D209" s="221">
        <f>'B) D RI'!AR210</f>
        <v>1319</v>
      </c>
      <c r="E209" s="222">
        <f>'B) D RI'!S210</f>
        <v>75</v>
      </c>
      <c r="F209" s="10">
        <f>'B) D RI'!R210</f>
        <v>3962600.0966666667</v>
      </c>
      <c r="G209" s="10">
        <f>'B) D RI'!U210</f>
        <v>52834.667955555553</v>
      </c>
      <c r="H209" s="42">
        <f>'B) D RI'!T210</f>
        <v>3705911.83</v>
      </c>
      <c r="I209" s="10">
        <f t="shared" si="31"/>
        <v>98824.315466666667</v>
      </c>
      <c r="J209" s="32">
        <f t="shared" si="27"/>
        <v>113065.7092360797</v>
      </c>
      <c r="K209" s="10">
        <f t="shared" si="28"/>
        <v>98824.315466666667</v>
      </c>
      <c r="L209" s="10">
        <f t="shared" si="32"/>
        <v>14241.393769413029</v>
      </c>
      <c r="M209" s="10">
        <f>'D) Ecrêtage'!M208</f>
        <v>52834.667955555553</v>
      </c>
      <c r="N209" s="10">
        <f t="shared" si="29"/>
        <v>65697.766319648639</v>
      </c>
      <c r="O209" s="58">
        <f t="shared" si="30"/>
        <v>164522.08178631531</v>
      </c>
    </row>
    <row r="210" spans="1:15" s="220" customFormat="1" x14ac:dyDescent="0.25">
      <c r="A210" s="320">
        <f>'A) Base RI'!A211</f>
        <v>5732</v>
      </c>
      <c r="B210" s="226" t="str">
        <f>'A) Base RI'!B211</f>
        <v>Vich</v>
      </c>
      <c r="C210" s="242">
        <v>0</v>
      </c>
      <c r="D210" s="221">
        <f>'B) D RI'!AR211</f>
        <v>1039</v>
      </c>
      <c r="E210" s="222">
        <f>'B) D RI'!S211</f>
        <v>67</v>
      </c>
      <c r="F210" s="10">
        <f>'B) D RI'!R211</f>
        <v>4324967.0599999996</v>
      </c>
      <c r="G210" s="10">
        <f>'B) D RI'!U211</f>
        <v>64551.747164179098</v>
      </c>
      <c r="H210" s="42">
        <f>'B) D RI'!T211</f>
        <v>3998590.3599999994</v>
      </c>
      <c r="I210" s="10">
        <f t="shared" si="31"/>
        <v>119360.9062686567</v>
      </c>
      <c r="J210" s="32">
        <f t="shared" si="27"/>
        <v>89063.890747753452</v>
      </c>
      <c r="K210" s="10">
        <f t="shared" si="28"/>
        <v>89063.890747753452</v>
      </c>
      <c r="L210" s="10">
        <f t="shared" si="32"/>
        <v>0</v>
      </c>
      <c r="M210" s="10">
        <f>'D) Ecrêtage'!M209</f>
        <v>63314.926919915684</v>
      </c>
      <c r="N210" s="10">
        <f t="shared" si="29"/>
        <v>78729.543201243228</v>
      </c>
      <c r="O210" s="58">
        <f t="shared" si="30"/>
        <v>167793.43394899668</v>
      </c>
    </row>
    <row r="211" spans="1:15" s="220" customFormat="1" x14ac:dyDescent="0.25">
      <c r="A211" s="320">
        <f>'A) Base RI'!A212</f>
        <v>5741</v>
      </c>
      <c r="B211" s="226" t="str">
        <f>'A) Base RI'!B212</f>
        <v>L'Abergement</v>
      </c>
      <c r="C211" s="242">
        <v>0</v>
      </c>
      <c r="D211" s="221">
        <f>'B) D RI'!AR212</f>
        <v>248</v>
      </c>
      <c r="E211" s="222">
        <f>'B) D RI'!S212</f>
        <v>81</v>
      </c>
      <c r="F211" s="10">
        <f>'B) D RI'!R212</f>
        <v>604610.75</v>
      </c>
      <c r="G211" s="10">
        <f>'B) D RI'!U212</f>
        <v>7464.3302469135806</v>
      </c>
      <c r="H211" s="42">
        <f>'B) D RI'!T212</f>
        <v>567490.5</v>
      </c>
      <c r="I211" s="10">
        <f t="shared" si="31"/>
        <v>14012.111111111111</v>
      </c>
      <c r="J211" s="32">
        <f t="shared" si="27"/>
        <v>21258.753518231813</v>
      </c>
      <c r="K211" s="10">
        <f t="shared" si="28"/>
        <v>14012.111111111111</v>
      </c>
      <c r="L211" s="10">
        <f t="shared" si="32"/>
        <v>7246.642407120702</v>
      </c>
      <c r="M211" s="10">
        <f>'D) Ecrêtage'!M210</f>
        <v>7464.3302469135806</v>
      </c>
      <c r="N211" s="10">
        <f t="shared" si="29"/>
        <v>9281.5918651543125</v>
      </c>
      <c r="O211" s="58">
        <f t="shared" si="30"/>
        <v>23293.702976265424</v>
      </c>
    </row>
    <row r="212" spans="1:15" s="220" customFormat="1" x14ac:dyDescent="0.25">
      <c r="A212" s="320">
        <f>'A) Base RI'!A213</f>
        <v>5742</v>
      </c>
      <c r="B212" s="226" t="str">
        <f>'A) Base RI'!B213</f>
        <v>Agiez</v>
      </c>
      <c r="C212" s="242">
        <v>0</v>
      </c>
      <c r="D212" s="221">
        <f>'B) D RI'!AR213</f>
        <v>327</v>
      </c>
      <c r="E212" s="222">
        <f>'B) D RI'!S213</f>
        <v>76</v>
      </c>
      <c r="F212" s="10">
        <f>'B) D RI'!R213</f>
        <v>694070.2300000001</v>
      </c>
      <c r="G212" s="10">
        <f>'B) D RI'!U213</f>
        <v>9132.5030263157914</v>
      </c>
      <c r="H212" s="42">
        <f>'B) D RI'!T213</f>
        <v>643294.43000000005</v>
      </c>
      <c r="I212" s="10">
        <f t="shared" si="31"/>
        <v>16928.800789473684</v>
      </c>
      <c r="J212" s="32">
        <f t="shared" si="27"/>
        <v>28030.695163152432</v>
      </c>
      <c r="K212" s="10">
        <f t="shared" si="28"/>
        <v>16928.800789473684</v>
      </c>
      <c r="L212" s="10">
        <f t="shared" si="32"/>
        <v>11101.894373678748</v>
      </c>
      <c r="M212" s="10">
        <f>'D) Ecrêtage'!M211</f>
        <v>9132.5030263157914</v>
      </c>
      <c r="N212" s="10">
        <f t="shared" si="29"/>
        <v>11355.897045498336</v>
      </c>
      <c r="O212" s="58">
        <f t="shared" si="30"/>
        <v>28284.697834972019</v>
      </c>
    </row>
    <row r="213" spans="1:15" s="220" customFormat="1" x14ac:dyDescent="0.25">
      <c r="A213" s="320">
        <f>'A) Base RI'!A214</f>
        <v>5743</v>
      </c>
      <c r="B213" s="226" t="str">
        <f>'A) Base RI'!B214</f>
        <v>Arnex-sur-Orbe</v>
      </c>
      <c r="C213" s="242">
        <v>0</v>
      </c>
      <c r="D213" s="221">
        <f>'B) D RI'!AR214</f>
        <v>631</v>
      </c>
      <c r="E213" s="222">
        <f>'B) D RI'!S214</f>
        <v>73</v>
      </c>
      <c r="F213" s="10">
        <f>'B) D RI'!R214</f>
        <v>1340492.0775000001</v>
      </c>
      <c r="G213" s="10">
        <f>'B) D RI'!U214</f>
        <v>18362.90517123288</v>
      </c>
      <c r="H213" s="42">
        <f>'B) D RI'!T214</f>
        <v>1256757.1400000001</v>
      </c>
      <c r="I213" s="10">
        <f t="shared" si="31"/>
        <v>34431.702465753428</v>
      </c>
      <c r="J213" s="32">
        <f t="shared" si="27"/>
        <v>54089.812379049494</v>
      </c>
      <c r="K213" s="10">
        <f t="shared" si="28"/>
        <v>34431.702465753428</v>
      </c>
      <c r="L213" s="10">
        <f t="shared" si="32"/>
        <v>19658.109913296066</v>
      </c>
      <c r="M213" s="10">
        <f>'D) Ecrêtage'!M212</f>
        <v>18362.90517123288</v>
      </c>
      <c r="N213" s="10">
        <f t="shared" si="29"/>
        <v>22833.527673616667</v>
      </c>
      <c r="O213" s="58">
        <f t="shared" si="30"/>
        <v>57265.230139370091</v>
      </c>
    </row>
    <row r="214" spans="1:15" s="220" customFormat="1" x14ac:dyDescent="0.25">
      <c r="A214" s="320">
        <f>'A) Base RI'!A215</f>
        <v>5744</v>
      </c>
      <c r="B214" s="226" t="str">
        <f>'A) Base RI'!B215</f>
        <v>Ballaigues</v>
      </c>
      <c r="C214" s="242">
        <v>0</v>
      </c>
      <c r="D214" s="221">
        <f>'B) D RI'!AR215</f>
        <v>1075</v>
      </c>
      <c r="E214" s="222">
        <f>'B) D RI'!S215</f>
        <v>66</v>
      </c>
      <c r="F214" s="10">
        <f>'B) D RI'!R215</f>
        <v>3037015.1399999997</v>
      </c>
      <c r="G214" s="10">
        <f>'B) D RI'!U215</f>
        <v>46015.380909090905</v>
      </c>
      <c r="H214" s="42">
        <f>'B) D RI'!T215</f>
        <v>2861905.2399999998</v>
      </c>
      <c r="I214" s="10">
        <f t="shared" si="31"/>
        <v>86724.4012121212</v>
      </c>
      <c r="J214" s="32">
        <f t="shared" si="27"/>
        <v>92149.838839109681</v>
      </c>
      <c r="K214" s="10">
        <f t="shared" si="28"/>
        <v>86724.4012121212</v>
      </c>
      <c r="L214" s="10">
        <f t="shared" si="32"/>
        <v>5425.4376269884815</v>
      </c>
      <c r="M214" s="10">
        <f>'D) Ecrêtage'!M213</f>
        <v>46015.380909090905</v>
      </c>
      <c r="N214" s="10">
        <f t="shared" si="29"/>
        <v>57218.259507528455</v>
      </c>
      <c r="O214" s="58">
        <f t="shared" si="30"/>
        <v>143942.66071964966</v>
      </c>
    </row>
    <row r="215" spans="1:15" s="220" customFormat="1" x14ac:dyDescent="0.25">
      <c r="A215" s="320">
        <f>'A) Base RI'!A216</f>
        <v>5745</v>
      </c>
      <c r="B215" s="226" t="str">
        <f>'A) Base RI'!B216</f>
        <v>Baulmes</v>
      </c>
      <c r="C215" s="242">
        <v>0</v>
      </c>
      <c r="D215" s="221">
        <f>'B) D RI'!AR216</f>
        <v>1027</v>
      </c>
      <c r="E215" s="222">
        <f>'B) D RI'!S216</f>
        <v>78</v>
      </c>
      <c r="F215" s="10">
        <f>'B) D RI'!R216</f>
        <v>2109016.71</v>
      </c>
      <c r="G215" s="10">
        <f>'B) D RI'!U216</f>
        <v>27038.675769230769</v>
      </c>
      <c r="H215" s="42">
        <f>'B) D RI'!T216</f>
        <v>1984592.11</v>
      </c>
      <c r="I215" s="10">
        <f t="shared" si="31"/>
        <v>50886.977179487185</v>
      </c>
      <c r="J215" s="32">
        <f t="shared" si="27"/>
        <v>88035.241383968038</v>
      </c>
      <c r="K215" s="10">
        <f t="shared" si="28"/>
        <v>50886.977179487185</v>
      </c>
      <c r="L215" s="10">
        <f t="shared" si="32"/>
        <v>37148.264204480853</v>
      </c>
      <c r="M215" s="10">
        <f>'D) Ecrêtage'!M214</f>
        <v>27038.675769230769</v>
      </c>
      <c r="N215" s="10">
        <f t="shared" si="29"/>
        <v>33621.496472239742</v>
      </c>
      <c r="O215" s="58">
        <f t="shared" si="30"/>
        <v>84508.473651726934</v>
      </c>
    </row>
    <row r="216" spans="1:15" s="220" customFormat="1" x14ac:dyDescent="0.25">
      <c r="A216" s="320">
        <f>'A) Base RI'!A217</f>
        <v>5746</v>
      </c>
      <c r="B216" s="226" t="str">
        <f>'A) Base RI'!B217</f>
        <v>Bavois</v>
      </c>
      <c r="C216" s="242">
        <v>0</v>
      </c>
      <c r="D216" s="221">
        <f>'B) D RI'!AR217</f>
        <v>942</v>
      </c>
      <c r="E216" s="222">
        <f>'B) D RI'!S217</f>
        <v>73</v>
      </c>
      <c r="F216" s="10">
        <f>'B) D RI'!R217</f>
        <v>1953007.9766666668</v>
      </c>
      <c r="G216" s="10">
        <f>'B) D RI'!U217</f>
        <v>26753.53392694064</v>
      </c>
      <c r="H216" s="42">
        <f>'B) D RI'!T217</f>
        <v>1782743.56</v>
      </c>
      <c r="I216" s="10">
        <f t="shared" si="31"/>
        <v>48842.289315068498</v>
      </c>
      <c r="J216" s="32">
        <f t="shared" si="27"/>
        <v>80748.975057154719</v>
      </c>
      <c r="K216" s="10">
        <f t="shared" si="28"/>
        <v>48842.289315068498</v>
      </c>
      <c r="L216" s="10">
        <f t="shared" si="32"/>
        <v>31906.685742086222</v>
      </c>
      <c r="M216" s="10">
        <f>'D) Ecrêtage'!M215</f>
        <v>26753.53392694064</v>
      </c>
      <c r="N216" s="10">
        <f t="shared" si="29"/>
        <v>33266.934158372467</v>
      </c>
      <c r="O216" s="58">
        <f t="shared" si="30"/>
        <v>82109.223473440972</v>
      </c>
    </row>
    <row r="217" spans="1:15" s="220" customFormat="1" x14ac:dyDescent="0.25">
      <c r="A217" s="320">
        <f>'A) Base RI'!A218</f>
        <v>5747</v>
      </c>
      <c r="B217" s="226" t="str">
        <f>'A) Base RI'!B218</f>
        <v>Bofflens</v>
      </c>
      <c r="C217" s="242">
        <v>0</v>
      </c>
      <c r="D217" s="221">
        <f>'B) D RI'!AR218</f>
        <v>196</v>
      </c>
      <c r="E217" s="222">
        <f>'B) D RI'!S218</f>
        <v>69</v>
      </c>
      <c r="F217" s="10">
        <f>'B) D RI'!R218</f>
        <v>343994.73</v>
      </c>
      <c r="G217" s="10">
        <f>'B) D RI'!U218</f>
        <v>4985.4308695652171</v>
      </c>
      <c r="H217" s="42">
        <f>'B) D RI'!T218</f>
        <v>314997.98</v>
      </c>
      <c r="I217" s="10">
        <f t="shared" si="31"/>
        <v>9130.3762318840581</v>
      </c>
      <c r="J217" s="32">
        <f t="shared" si="27"/>
        <v>16801.272941828371</v>
      </c>
      <c r="K217" s="10">
        <f t="shared" si="28"/>
        <v>9130.3762318840581</v>
      </c>
      <c r="L217" s="10">
        <f t="shared" si="32"/>
        <v>7670.8967099443125</v>
      </c>
      <c r="M217" s="10">
        <f>'D) Ecrêtage'!M216</f>
        <v>4985.4308695652171</v>
      </c>
      <c r="N217" s="10">
        <f t="shared" si="29"/>
        <v>6199.1810480758113</v>
      </c>
      <c r="O217" s="58">
        <f t="shared" si="30"/>
        <v>15329.55727995987</v>
      </c>
    </row>
    <row r="218" spans="1:15" s="220" customFormat="1" x14ac:dyDescent="0.25">
      <c r="A218" s="320">
        <f>'A) Base RI'!A219</f>
        <v>5748</v>
      </c>
      <c r="B218" s="226" t="str">
        <f>'A) Base RI'!B219</f>
        <v>Bretonnières</v>
      </c>
      <c r="C218" s="242">
        <v>0</v>
      </c>
      <c r="D218" s="221">
        <f>'B) D RI'!AR219</f>
        <v>265</v>
      </c>
      <c r="E218" s="222">
        <f>'B) D RI'!S219</f>
        <v>72</v>
      </c>
      <c r="F218" s="10">
        <f>'B) D RI'!R219</f>
        <v>399840.67666666675</v>
      </c>
      <c r="G218" s="10">
        <f>'B) D RI'!U219</f>
        <v>5553.3427314814826</v>
      </c>
      <c r="H218" s="42">
        <f>'B) D RI'!T219</f>
        <v>362007.76000000007</v>
      </c>
      <c r="I218" s="10">
        <f t="shared" si="31"/>
        <v>10055.771111111113</v>
      </c>
      <c r="J218" s="32">
        <f t="shared" si="27"/>
        <v>22716.006783594479</v>
      </c>
      <c r="K218" s="10">
        <f t="shared" si="28"/>
        <v>10055.771111111113</v>
      </c>
      <c r="L218" s="10">
        <f t="shared" si="32"/>
        <v>12660.235672483366</v>
      </c>
      <c r="M218" s="10">
        <f>'D) Ecrêtage'!M217</f>
        <v>5553.3427314814826</v>
      </c>
      <c r="N218" s="10">
        <f t="shared" si="29"/>
        <v>6905.3564105426858</v>
      </c>
      <c r="O218" s="58">
        <f t="shared" si="30"/>
        <v>16961.127521653798</v>
      </c>
    </row>
    <row r="219" spans="1:15" s="220" customFormat="1" x14ac:dyDescent="0.25">
      <c r="A219" s="320">
        <f>'A) Base RI'!A220</f>
        <v>5749</v>
      </c>
      <c r="B219" s="226" t="str">
        <f>'A) Base RI'!B220</f>
        <v>Chavornay</v>
      </c>
      <c r="C219" s="242">
        <v>0</v>
      </c>
      <c r="D219" s="221">
        <f>'B) D RI'!AR220</f>
        <v>4996</v>
      </c>
      <c r="E219" s="222">
        <f>'B) D RI'!S220</f>
        <v>72</v>
      </c>
      <c r="F219" s="10">
        <f>'B) D RI'!R220</f>
        <v>10135814.119999999</v>
      </c>
      <c r="G219" s="10">
        <f>'B) D RI'!U220</f>
        <v>140775.19611111109</v>
      </c>
      <c r="H219" s="42">
        <f>'B) D RI'!T220</f>
        <v>9295792.7199999988</v>
      </c>
      <c r="I219" s="10">
        <f t="shared" ref="I219" si="33">+H219/E219*$I$5</f>
        <v>258216.4644444444</v>
      </c>
      <c r="J219" s="32">
        <f t="shared" ref="J219" si="34">+$I$315/$D$315*D219</f>
        <v>428261.01845599251</v>
      </c>
      <c r="K219" s="10">
        <f t="shared" ref="K219" si="35">IF(C219=1,0,IF(J219&gt;I219,I219,J219))</f>
        <v>258216.4644444444</v>
      </c>
      <c r="L219" s="10">
        <f t="shared" ref="L219" si="36">+J219-K219</f>
        <v>170044.55401154811</v>
      </c>
      <c r="M219" s="10">
        <f>'D) Ecrêtage'!M218</f>
        <v>140775.19611111109</v>
      </c>
      <c r="N219" s="10">
        <f t="shared" ref="N219" si="37">+$N$5*M219</f>
        <v>175048.2456990249</v>
      </c>
      <c r="O219" s="58">
        <f t="shared" ref="O219" si="38">+N219+K219</f>
        <v>433264.71014346927</v>
      </c>
    </row>
    <row r="220" spans="1:15" s="220" customFormat="1" x14ac:dyDescent="0.25">
      <c r="A220" s="320">
        <f>'A) Base RI'!A221</f>
        <v>5750</v>
      </c>
      <c r="B220" s="226" t="str">
        <f>'A) Base RI'!B221</f>
        <v>Les Clées</v>
      </c>
      <c r="C220" s="242">
        <v>0</v>
      </c>
      <c r="D220" s="221">
        <f>'B) D RI'!AR221</f>
        <v>185</v>
      </c>
      <c r="E220" s="222">
        <f>'B) D RI'!S221</f>
        <v>80</v>
      </c>
      <c r="F220" s="10">
        <f>'B) D RI'!R221</f>
        <v>412425.35000000003</v>
      </c>
      <c r="G220" s="10">
        <f>'B) D RI'!U221</f>
        <v>5155.3168750000004</v>
      </c>
      <c r="H220" s="42">
        <f>'B) D RI'!T221</f>
        <v>388696.45</v>
      </c>
      <c r="I220" s="10">
        <f t="shared" si="31"/>
        <v>9717.411250000001</v>
      </c>
      <c r="J220" s="32">
        <f t="shared" ref="J220:J243" si="39">+$I$315/$D$315*D220</f>
        <v>15858.34435835841</v>
      </c>
      <c r="K220" s="10">
        <f t="shared" si="28"/>
        <v>9717.411250000001</v>
      </c>
      <c r="L220" s="10">
        <f t="shared" si="32"/>
        <v>6140.9331083584093</v>
      </c>
      <c r="M220" s="10">
        <f>'D) Ecrêtage'!M219</f>
        <v>5155.3168750000004</v>
      </c>
      <c r="N220" s="10">
        <f t="shared" si="29"/>
        <v>6410.4274042641709</v>
      </c>
      <c r="O220" s="58">
        <f t="shared" si="30"/>
        <v>16127.838654264171</v>
      </c>
    </row>
    <row r="221" spans="1:15" s="220" customFormat="1" x14ac:dyDescent="0.25">
      <c r="A221" s="320">
        <f>'A) Base RI'!A222</f>
        <v>5752</v>
      </c>
      <c r="B221" s="226" t="str">
        <f>'A) Base RI'!B222</f>
        <v>Croy</v>
      </c>
      <c r="C221" s="242">
        <v>0</v>
      </c>
      <c r="D221" s="221">
        <f>'B) D RI'!AR222</f>
        <v>404</v>
      </c>
      <c r="E221" s="222">
        <f>'B) D RI'!S222</f>
        <v>74</v>
      </c>
      <c r="F221" s="10">
        <f>'B) D RI'!R222</f>
        <v>795722.40142857144</v>
      </c>
      <c r="G221" s="10">
        <f>'B) D RI'!U222</f>
        <v>10753.005424710425</v>
      </c>
      <c r="H221" s="42">
        <f>'B) D RI'!T222</f>
        <v>741726.52999999991</v>
      </c>
      <c r="I221" s="10">
        <f t="shared" si="31"/>
        <v>20046.662972972972</v>
      </c>
      <c r="J221" s="32">
        <f t="shared" si="39"/>
        <v>34631.195247442149</v>
      </c>
      <c r="K221" s="10">
        <f t="shared" si="28"/>
        <v>20046.662972972972</v>
      </c>
      <c r="L221" s="10">
        <f t="shared" si="32"/>
        <v>14584.532274469177</v>
      </c>
      <c r="M221" s="10">
        <f>'D) Ecrêtage'!M220</f>
        <v>10753.005424710425</v>
      </c>
      <c r="N221" s="10">
        <f t="shared" si="29"/>
        <v>13370.926040848844</v>
      </c>
      <c r="O221" s="58">
        <f t="shared" si="30"/>
        <v>33417.589013821816</v>
      </c>
    </row>
    <row r="222" spans="1:15" s="220" customFormat="1" x14ac:dyDescent="0.25">
      <c r="A222" s="320">
        <f>'A) Base RI'!A223</f>
        <v>5754</v>
      </c>
      <c r="B222" s="226" t="str">
        <f>'A) Base RI'!B223</f>
        <v>Juriens</v>
      </c>
      <c r="C222" s="242">
        <v>0</v>
      </c>
      <c r="D222" s="221">
        <f>'B) D RI'!AR223</f>
        <v>308</v>
      </c>
      <c r="E222" s="222">
        <f>'B) D RI'!S223</f>
        <v>79</v>
      </c>
      <c r="F222" s="10">
        <f>'B) D RI'!R223</f>
        <v>634840.58000000007</v>
      </c>
      <c r="G222" s="10">
        <f>'B) D RI'!U223</f>
        <v>8035.95670886076</v>
      </c>
      <c r="H222" s="42">
        <f>'B) D RI'!T223</f>
        <v>595555.4800000001</v>
      </c>
      <c r="I222" s="10">
        <f t="shared" si="31"/>
        <v>15077.353924050636</v>
      </c>
      <c r="J222" s="32">
        <f t="shared" si="39"/>
        <v>26402.000337158868</v>
      </c>
      <c r="K222" s="10">
        <f t="shared" si="28"/>
        <v>15077.353924050636</v>
      </c>
      <c r="L222" s="10">
        <f t="shared" si="32"/>
        <v>11324.646413108232</v>
      </c>
      <c r="M222" s="10">
        <f>'D) Ecrêtage'!M221</f>
        <v>8035.95670886076</v>
      </c>
      <c r="N222" s="10">
        <f t="shared" si="29"/>
        <v>9992.3861820737311</v>
      </c>
      <c r="O222" s="58">
        <f t="shared" si="30"/>
        <v>25069.740106124365</v>
      </c>
    </row>
    <row r="223" spans="1:15" s="220" customFormat="1" x14ac:dyDescent="0.25">
      <c r="A223" s="320">
        <f>'A) Base RI'!A224</f>
        <v>5755</v>
      </c>
      <c r="B223" s="226" t="str">
        <f>'A) Base RI'!B224</f>
        <v>Lignerolle</v>
      </c>
      <c r="C223" s="242">
        <v>0</v>
      </c>
      <c r="D223" s="221">
        <f>'B) D RI'!AR224</f>
        <v>422</v>
      </c>
      <c r="E223" s="222">
        <f>'B) D RI'!S224</f>
        <v>80</v>
      </c>
      <c r="F223" s="10">
        <f>'B) D RI'!R224</f>
        <v>766783.01285714284</v>
      </c>
      <c r="G223" s="10">
        <f>'B) D RI'!U224</f>
        <v>9584.7876607142862</v>
      </c>
      <c r="H223" s="42">
        <f>'B) D RI'!T224</f>
        <v>706937.27</v>
      </c>
      <c r="I223" s="10">
        <f t="shared" si="31"/>
        <v>17673.43175</v>
      </c>
      <c r="J223" s="32">
        <f t="shared" si="39"/>
        <v>36174.169293120263</v>
      </c>
      <c r="K223" s="10">
        <f t="shared" si="28"/>
        <v>17673.43175</v>
      </c>
      <c r="L223" s="10">
        <f t="shared" si="32"/>
        <v>18500.737543120264</v>
      </c>
      <c r="M223" s="10">
        <f>'D) Ecrêtage'!M222</f>
        <v>9584.7876607142862</v>
      </c>
      <c r="N223" s="10">
        <f t="shared" si="29"/>
        <v>11918.294641063345</v>
      </c>
      <c r="O223" s="58">
        <f t="shared" si="30"/>
        <v>29591.726391063345</v>
      </c>
    </row>
    <row r="224" spans="1:15" s="220" customFormat="1" x14ac:dyDescent="0.25">
      <c r="A224" s="320">
        <f>'A) Base RI'!A225</f>
        <v>5756</v>
      </c>
      <c r="B224" s="226" t="str">
        <f>'A) Base RI'!B225</f>
        <v>Montcherand</v>
      </c>
      <c r="C224" s="242">
        <v>1</v>
      </c>
      <c r="D224" s="221">
        <f>'B) D RI'!AR225</f>
        <v>489</v>
      </c>
      <c r="E224" s="222">
        <f>'B) D RI'!S225</f>
        <v>72</v>
      </c>
      <c r="F224" s="10">
        <f>'B) D RI'!R225</f>
        <v>1140816.2799999998</v>
      </c>
      <c r="G224" s="10">
        <f>'B) D RI'!U225</f>
        <v>15844.670555555553</v>
      </c>
      <c r="H224" s="42">
        <f>'B) D RI'!T225</f>
        <v>1058593.7799999998</v>
      </c>
      <c r="I224" s="10">
        <f t="shared" si="31"/>
        <v>29405.382777777773</v>
      </c>
      <c r="J224" s="32">
        <f t="shared" si="39"/>
        <v>41917.461574255474</v>
      </c>
      <c r="K224" s="10">
        <f t="shared" si="28"/>
        <v>0</v>
      </c>
      <c r="L224" s="10">
        <f t="shared" si="32"/>
        <v>41917.461574255474</v>
      </c>
      <c r="M224" s="10">
        <f>'D) Ecrêtage'!M223</f>
        <v>15844.670555555553</v>
      </c>
      <c r="N224" s="10">
        <f t="shared" si="29"/>
        <v>19702.205083343379</v>
      </c>
      <c r="O224" s="58">
        <f t="shared" si="30"/>
        <v>19702.205083343379</v>
      </c>
    </row>
    <row r="225" spans="1:15" s="220" customFormat="1" x14ac:dyDescent="0.25">
      <c r="A225" s="320">
        <f>'A) Base RI'!A226</f>
        <v>5757</v>
      </c>
      <c r="B225" s="226" t="str">
        <f>'A) Base RI'!B226</f>
        <v>Orbe</v>
      </c>
      <c r="C225" s="242">
        <v>1</v>
      </c>
      <c r="D225" s="221">
        <f>'B) D RI'!AR226</f>
        <v>6942</v>
      </c>
      <c r="E225" s="222">
        <f>'B) D RI'!S226</f>
        <v>77</v>
      </c>
      <c r="F225" s="10">
        <f>'B) D RI'!R226</f>
        <v>17521019.109999999</v>
      </c>
      <c r="G225" s="10">
        <f>'B) D RI'!U226</f>
        <v>227545.70272727273</v>
      </c>
      <c r="H225" s="42">
        <f>'B) D RI'!T226</f>
        <v>16151171.059999999</v>
      </c>
      <c r="I225" s="10">
        <f t="shared" si="31"/>
        <v>419510.93662337656</v>
      </c>
      <c r="J225" s="32">
        <f t="shared" si="39"/>
        <v>595073.65694985993</v>
      </c>
      <c r="K225" s="10">
        <f t="shared" si="28"/>
        <v>0</v>
      </c>
      <c r="L225" s="10">
        <f t="shared" si="32"/>
        <v>595073.65694985993</v>
      </c>
      <c r="M225" s="10">
        <f>'D) Ecrêtage'!M224</f>
        <v>227545.70272727273</v>
      </c>
      <c r="N225" s="10">
        <f t="shared" si="29"/>
        <v>282943.85075708025</v>
      </c>
      <c r="O225" s="58">
        <f t="shared" si="30"/>
        <v>282943.85075708025</v>
      </c>
    </row>
    <row r="226" spans="1:15" s="220" customFormat="1" x14ac:dyDescent="0.25">
      <c r="A226" s="320">
        <f>'A) Base RI'!A227</f>
        <v>5758</v>
      </c>
      <c r="B226" s="226" t="str">
        <f>'A) Base RI'!B227</f>
        <v>La Praz</v>
      </c>
      <c r="C226" s="242">
        <v>0</v>
      </c>
      <c r="D226" s="221">
        <f>'B) D RI'!AR227</f>
        <v>165</v>
      </c>
      <c r="E226" s="222">
        <f>'B) D RI'!S227</f>
        <v>83</v>
      </c>
      <c r="F226" s="10">
        <f>'B) D RI'!R227</f>
        <v>369548.98333333334</v>
      </c>
      <c r="G226" s="10">
        <f>'B) D RI'!U227</f>
        <v>4452.397389558233</v>
      </c>
      <c r="H226" s="42">
        <f>'B) D RI'!T227</f>
        <v>344829.65</v>
      </c>
      <c r="I226" s="10">
        <f t="shared" si="31"/>
        <v>8309.1481927710847</v>
      </c>
      <c r="J226" s="32">
        <f t="shared" si="39"/>
        <v>14143.928752049393</v>
      </c>
      <c r="K226" s="10">
        <f t="shared" si="28"/>
        <v>8309.1481927710847</v>
      </c>
      <c r="L226" s="10">
        <f t="shared" si="32"/>
        <v>5834.7805592783079</v>
      </c>
      <c r="M226" s="10">
        <f>'D) Ecrêtage'!M225</f>
        <v>4452.397389558233</v>
      </c>
      <c r="N226" s="10">
        <f t="shared" si="29"/>
        <v>5536.3755386420062</v>
      </c>
      <c r="O226" s="58">
        <f t="shared" si="30"/>
        <v>13845.52373141309</v>
      </c>
    </row>
    <row r="227" spans="1:15" s="220" customFormat="1" x14ac:dyDescent="0.25">
      <c r="A227" s="320">
        <f>'A) Base RI'!A228</f>
        <v>5759</v>
      </c>
      <c r="B227" s="226" t="str">
        <f>'A) Base RI'!B228</f>
        <v>Premier</v>
      </c>
      <c r="C227" s="242">
        <v>0</v>
      </c>
      <c r="D227" s="221">
        <f>'B) D RI'!AR228</f>
        <v>213</v>
      </c>
      <c r="E227" s="222">
        <f>'B) D RI'!S228</f>
        <v>81</v>
      </c>
      <c r="F227" s="10">
        <f>'B) D RI'!R228</f>
        <v>384318.04000000004</v>
      </c>
      <c r="G227" s="10">
        <f>'B) D RI'!U228</f>
        <v>4744.6671604938274</v>
      </c>
      <c r="H227" s="42">
        <f>'B) D RI'!T228</f>
        <v>357404.59</v>
      </c>
      <c r="I227" s="10">
        <f t="shared" si="31"/>
        <v>8824.8046913580256</v>
      </c>
      <c r="J227" s="32">
        <f t="shared" si="39"/>
        <v>18258.526207191033</v>
      </c>
      <c r="K227" s="10">
        <f t="shared" si="28"/>
        <v>8824.8046913580256</v>
      </c>
      <c r="L227" s="10">
        <f t="shared" si="32"/>
        <v>9433.7215158330073</v>
      </c>
      <c r="M227" s="10">
        <f>'D) Ecrêtage'!M226</f>
        <v>4744.6671604938274</v>
      </c>
      <c r="N227" s="10">
        <f t="shared" si="29"/>
        <v>5899.8011426294524</v>
      </c>
      <c r="O227" s="58">
        <f t="shared" si="30"/>
        <v>14724.605833987478</v>
      </c>
    </row>
    <row r="228" spans="1:15" s="220" customFormat="1" x14ac:dyDescent="0.25">
      <c r="A228" s="320">
        <f>'A) Base RI'!A229</f>
        <v>5760</v>
      </c>
      <c r="B228" s="226" t="str">
        <f>'A) Base RI'!B229</f>
        <v>Rances</v>
      </c>
      <c r="C228" s="242">
        <v>0</v>
      </c>
      <c r="D228" s="221">
        <f>'B) D RI'!AR229</f>
        <v>482</v>
      </c>
      <c r="E228" s="222">
        <f>'B) D RI'!S229</f>
        <v>78</v>
      </c>
      <c r="F228" s="10">
        <f>'B) D RI'!R229</f>
        <v>891369.54666666663</v>
      </c>
      <c r="G228" s="10">
        <f>'B) D RI'!U229</f>
        <v>11427.8147008547</v>
      </c>
      <c r="H228" s="42">
        <f>'B) D RI'!T229</f>
        <v>821717.78</v>
      </c>
      <c r="I228" s="10">
        <f t="shared" si="31"/>
        <v>21069.686666666668</v>
      </c>
      <c r="J228" s="32">
        <f t="shared" si="39"/>
        <v>41317.416112047315</v>
      </c>
      <c r="K228" s="10">
        <f t="shared" si="28"/>
        <v>21069.686666666668</v>
      </c>
      <c r="L228" s="10">
        <f t="shared" si="32"/>
        <v>20247.729445380646</v>
      </c>
      <c r="M228" s="10">
        <f>'D) Ecrêtage'!M227</f>
        <v>11427.8147008547</v>
      </c>
      <c r="N228" s="10">
        <f t="shared" si="29"/>
        <v>14210.024001524042</v>
      </c>
      <c r="O228" s="58">
        <f t="shared" si="30"/>
        <v>35279.71066819071</v>
      </c>
    </row>
    <row r="229" spans="1:15" s="220" customFormat="1" x14ac:dyDescent="0.25">
      <c r="A229" s="320">
        <f>'A) Base RI'!A230</f>
        <v>5761</v>
      </c>
      <c r="B229" s="226" t="str">
        <f>'A) Base RI'!B230</f>
        <v>Romainmôtier-Envy</v>
      </c>
      <c r="C229" s="242">
        <v>0</v>
      </c>
      <c r="D229" s="221">
        <f>'B) D RI'!AR230</f>
        <v>540</v>
      </c>
      <c r="E229" s="222">
        <f>'B) D RI'!S230</f>
        <v>81</v>
      </c>
      <c r="F229" s="10">
        <f>'B) D RI'!R230</f>
        <v>1202313.3963636365</v>
      </c>
      <c r="G229" s="10">
        <f>'B) D RI'!U230</f>
        <v>14843.375263748598</v>
      </c>
      <c r="H229" s="42">
        <f>'B) D RI'!T230</f>
        <v>1128141.21</v>
      </c>
      <c r="I229" s="10">
        <f t="shared" si="31"/>
        <v>27855.338518518518</v>
      </c>
      <c r="J229" s="32">
        <f t="shared" si="39"/>
        <v>46289.221370343468</v>
      </c>
      <c r="K229" s="10">
        <f t="shared" si="28"/>
        <v>27855.338518518518</v>
      </c>
      <c r="L229" s="10">
        <f t="shared" si="32"/>
        <v>18433.88285182495</v>
      </c>
      <c r="M229" s="10">
        <f>'D) Ecrêtage'!M228</f>
        <v>14843.375263748598</v>
      </c>
      <c r="N229" s="10">
        <f t="shared" si="29"/>
        <v>18457.135006373574</v>
      </c>
      <c r="O229" s="58">
        <f t="shared" si="30"/>
        <v>46312.473524892092</v>
      </c>
    </row>
    <row r="230" spans="1:15" s="220" customFormat="1" x14ac:dyDescent="0.25">
      <c r="A230" s="320">
        <f>'A) Base RI'!A231</f>
        <v>5762</v>
      </c>
      <c r="B230" s="226" t="str">
        <f>'A) Base RI'!B231</f>
        <v>Sergey</v>
      </c>
      <c r="C230" s="242">
        <v>0</v>
      </c>
      <c r="D230" s="221">
        <f>'B) D RI'!AR231</f>
        <v>146</v>
      </c>
      <c r="E230" s="222">
        <f>'B) D RI'!S231</f>
        <v>78</v>
      </c>
      <c r="F230" s="10">
        <f>'B) D RI'!R231</f>
        <v>297734.17999999993</v>
      </c>
      <c r="G230" s="10">
        <f>'B) D RI'!U231</f>
        <v>3817.1048717948711</v>
      </c>
      <c r="H230" s="42">
        <f>'B) D RI'!T231</f>
        <v>277830.57999999996</v>
      </c>
      <c r="I230" s="10">
        <f t="shared" si="31"/>
        <v>7123.8610256410248</v>
      </c>
      <c r="J230" s="32">
        <f t="shared" si="39"/>
        <v>12515.233926055827</v>
      </c>
      <c r="K230" s="10">
        <f t="shared" si="28"/>
        <v>7123.8610256410248</v>
      </c>
      <c r="L230" s="10">
        <f t="shared" si="32"/>
        <v>5391.3729004148026</v>
      </c>
      <c r="M230" s="10">
        <f>'D) Ecrêtage'!M229</f>
        <v>3817.1048717948711</v>
      </c>
      <c r="N230" s="10">
        <f t="shared" si="29"/>
        <v>4746.4150639826794</v>
      </c>
      <c r="O230" s="58">
        <f t="shared" si="30"/>
        <v>11870.276089623705</v>
      </c>
    </row>
    <row r="231" spans="1:15" s="220" customFormat="1" x14ac:dyDescent="0.25">
      <c r="A231" s="320">
        <f>'A) Base RI'!A232</f>
        <v>5763</v>
      </c>
      <c r="B231" s="226" t="str">
        <f>'A) Base RI'!B232</f>
        <v>Valeyres-sous-Rances</v>
      </c>
      <c r="C231" s="242">
        <v>0</v>
      </c>
      <c r="D231" s="221">
        <f>'B) D RI'!AR232</f>
        <v>622</v>
      </c>
      <c r="E231" s="222">
        <f>'B) D RI'!S232</f>
        <v>65</v>
      </c>
      <c r="F231" s="10">
        <f>'B) D RI'!R232</f>
        <v>1367826.1500000001</v>
      </c>
      <c r="G231" s="10">
        <f>'B) D RI'!U232</f>
        <v>21043.479230769233</v>
      </c>
      <c r="H231" s="42">
        <f>'B) D RI'!T232</f>
        <v>1274680.8500000001</v>
      </c>
      <c r="I231" s="10">
        <f t="shared" si="31"/>
        <v>39220.949230769234</v>
      </c>
      <c r="J231" s="32">
        <f t="shared" si="39"/>
        <v>53318.325356210436</v>
      </c>
      <c r="K231" s="10">
        <f t="shared" si="28"/>
        <v>39220.949230769234</v>
      </c>
      <c r="L231" s="10">
        <f t="shared" si="32"/>
        <v>14097.376125441202</v>
      </c>
      <c r="M231" s="10">
        <f>'D) Ecrêtage'!M230</f>
        <v>21043.479230769233</v>
      </c>
      <c r="N231" s="10">
        <f t="shared" si="29"/>
        <v>26166.712776891523</v>
      </c>
      <c r="O231" s="58">
        <f t="shared" si="30"/>
        <v>65387.662007660758</v>
      </c>
    </row>
    <row r="232" spans="1:15" s="220" customFormat="1" x14ac:dyDescent="0.25">
      <c r="A232" s="320">
        <f>'A) Base RI'!A233</f>
        <v>5764</v>
      </c>
      <c r="B232" s="226" t="str">
        <f>'A) Base RI'!B233</f>
        <v>Vallorbe</v>
      </c>
      <c r="C232" s="242">
        <v>0</v>
      </c>
      <c r="D232" s="221">
        <f>'B) D RI'!AR233</f>
        <v>3852</v>
      </c>
      <c r="E232" s="222">
        <f>'B) D RI'!S233</f>
        <v>73</v>
      </c>
      <c r="F232" s="10">
        <f>'B) D RI'!R233</f>
        <v>6299104.5800000001</v>
      </c>
      <c r="G232" s="10">
        <f>'B) D RI'!U233</f>
        <v>86289.103835616435</v>
      </c>
      <c r="H232" s="42">
        <f>'B) D RI'!T233</f>
        <v>5836885.7300000004</v>
      </c>
      <c r="I232" s="10">
        <f t="shared" si="31"/>
        <v>159914.67753424658</v>
      </c>
      <c r="J232" s="32">
        <f t="shared" si="39"/>
        <v>330196.44577511674</v>
      </c>
      <c r="K232" s="10">
        <f t="shared" si="28"/>
        <v>159914.67753424658</v>
      </c>
      <c r="L232" s="10">
        <f t="shared" si="32"/>
        <v>170281.76824087015</v>
      </c>
      <c r="M232" s="10">
        <f>'D) Ecrêtage'!M231</f>
        <v>86289.103835616435</v>
      </c>
      <c r="N232" s="10">
        <f t="shared" si="29"/>
        <v>107297.00022895918</v>
      </c>
      <c r="O232" s="58">
        <f t="shared" si="30"/>
        <v>267211.67776320578</v>
      </c>
    </row>
    <row r="233" spans="1:15" s="220" customFormat="1" x14ac:dyDescent="0.25">
      <c r="A233" s="320">
        <f>'A) Base RI'!A234</f>
        <v>5765</v>
      </c>
      <c r="B233" s="226" t="str">
        <f>'A) Base RI'!B234</f>
        <v>Vaulion</v>
      </c>
      <c r="C233" s="242">
        <v>0</v>
      </c>
      <c r="D233" s="221">
        <f>'B) D RI'!AR234</f>
        <v>469</v>
      </c>
      <c r="E233" s="222">
        <f>'B) D RI'!S234</f>
        <v>81</v>
      </c>
      <c r="F233" s="10">
        <f>'B) D RI'!R234</f>
        <v>797012.52999999991</v>
      </c>
      <c r="G233" s="10">
        <f>'B) D RI'!U234</f>
        <v>9839.660864197529</v>
      </c>
      <c r="H233" s="42">
        <f>'B) D RI'!T234</f>
        <v>735256.02999999991</v>
      </c>
      <c r="I233" s="10">
        <f t="shared" si="31"/>
        <v>18154.469876543208</v>
      </c>
      <c r="J233" s="32">
        <f t="shared" si="39"/>
        <v>40203.045967946455</v>
      </c>
      <c r="K233" s="10">
        <f t="shared" si="28"/>
        <v>18154.469876543208</v>
      </c>
      <c r="L233" s="10">
        <f t="shared" si="32"/>
        <v>22048.576091403247</v>
      </c>
      <c r="M233" s="10">
        <f>'D) Ecrêtage'!M232</f>
        <v>9839.660864197529</v>
      </c>
      <c r="N233" s="10">
        <f t="shared" si="29"/>
        <v>12235.219130447244</v>
      </c>
      <c r="O233" s="58">
        <f t="shared" si="30"/>
        <v>30389.689006990451</v>
      </c>
    </row>
    <row r="234" spans="1:15" s="220" customFormat="1" x14ac:dyDescent="0.25">
      <c r="A234" s="320">
        <f>'A) Base RI'!A235</f>
        <v>5766</v>
      </c>
      <c r="B234" s="226" t="str">
        <f>'A) Base RI'!B235</f>
        <v>Vuiteboeuf</v>
      </c>
      <c r="C234" s="242">
        <v>0</v>
      </c>
      <c r="D234" s="221">
        <f>'B) D RI'!AR235</f>
        <v>584</v>
      </c>
      <c r="E234" s="222">
        <f>'B) D RI'!S235</f>
        <v>77</v>
      </c>
      <c r="F234" s="10">
        <f>'B) D RI'!R235</f>
        <v>1026873.327142857</v>
      </c>
      <c r="G234" s="10">
        <f>'B) D RI'!U235</f>
        <v>13336.017235621519</v>
      </c>
      <c r="H234" s="42">
        <f>'B) D RI'!T235</f>
        <v>943079.31999999983</v>
      </c>
      <c r="I234" s="10">
        <f t="shared" si="31"/>
        <v>24495.566753246749</v>
      </c>
      <c r="J234" s="32">
        <f t="shared" si="39"/>
        <v>50060.93570422331</v>
      </c>
      <c r="K234" s="10">
        <f t="shared" si="28"/>
        <v>24495.566753246749</v>
      </c>
      <c r="L234" s="10">
        <f t="shared" si="32"/>
        <v>25565.368950976561</v>
      </c>
      <c r="M234" s="10">
        <f>'D) Ecrêtage'!M233</f>
        <v>13336.017235621519</v>
      </c>
      <c r="N234" s="10">
        <f t="shared" si="29"/>
        <v>16582.796445653494</v>
      </c>
      <c r="O234" s="58">
        <f t="shared" si="30"/>
        <v>41078.363198900246</v>
      </c>
    </row>
    <row r="235" spans="1:15" s="220" customFormat="1" x14ac:dyDescent="0.25">
      <c r="A235" s="320">
        <f>'A) Base RI'!A236</f>
        <v>5785</v>
      </c>
      <c r="B235" s="226" t="str">
        <f>'A) Base RI'!B236</f>
        <v>Corcelles-le-Jorat</v>
      </c>
      <c r="C235" s="242">
        <v>0</v>
      </c>
      <c r="D235" s="221">
        <f>'B) D RI'!AR236</f>
        <v>445</v>
      </c>
      <c r="E235" s="222">
        <f>'B) D RI'!S236</f>
        <v>77</v>
      </c>
      <c r="F235" s="10">
        <f>'B) D RI'!R236</f>
        <v>1205048.5500000003</v>
      </c>
      <c r="G235" s="10">
        <f>'B) D RI'!U236</f>
        <v>15649.981168831173</v>
      </c>
      <c r="H235" s="42">
        <f>'B) D RI'!T236</f>
        <v>1135651.6000000001</v>
      </c>
      <c r="I235" s="10">
        <f t="shared" si="31"/>
        <v>29497.444155844158</v>
      </c>
      <c r="J235" s="32">
        <f t="shared" si="39"/>
        <v>38145.747240375633</v>
      </c>
      <c r="K235" s="10">
        <f t="shared" si="28"/>
        <v>29497.444155844158</v>
      </c>
      <c r="L235" s="10">
        <f t="shared" si="32"/>
        <v>8648.3030845314752</v>
      </c>
      <c r="M235" s="10">
        <f>'D) Ecrêtage'!M234</f>
        <v>15649.981168831173</v>
      </c>
      <c r="N235" s="10">
        <f t="shared" si="29"/>
        <v>19460.116728691592</v>
      </c>
      <c r="O235" s="58">
        <f t="shared" si="30"/>
        <v>48957.560884535749</v>
      </c>
    </row>
    <row r="236" spans="1:15" s="220" customFormat="1" x14ac:dyDescent="0.25">
      <c r="A236" s="320">
        <f>'A) Base RI'!A237</f>
        <v>5788</v>
      </c>
      <c r="B236" s="226" t="str">
        <f>'A) Base RI'!B237</f>
        <v>Essertes</v>
      </c>
      <c r="C236" s="242">
        <v>0</v>
      </c>
      <c r="D236" s="221">
        <f>'B) D RI'!AR237</f>
        <v>374</v>
      </c>
      <c r="E236" s="222">
        <f>'B) D RI'!S237</f>
        <v>72</v>
      </c>
      <c r="F236" s="10">
        <f>'B) D RI'!R237</f>
        <v>860360.73</v>
      </c>
      <c r="G236" s="10">
        <f>'B) D RI'!U237</f>
        <v>11949.454583333332</v>
      </c>
      <c r="H236" s="42">
        <f>'B) D RI'!T237</f>
        <v>796112.71</v>
      </c>
      <c r="I236" s="10">
        <f t="shared" si="31"/>
        <v>22114.241944444442</v>
      </c>
      <c r="J236" s="32">
        <f t="shared" si="39"/>
        <v>32059.571837978623</v>
      </c>
      <c r="K236" s="10">
        <f t="shared" si="28"/>
        <v>22114.241944444442</v>
      </c>
      <c r="L236" s="10">
        <f t="shared" si="32"/>
        <v>9945.3298935341809</v>
      </c>
      <c r="M236" s="10">
        <f>'D) Ecrêtage'!M235</f>
        <v>11949.454583333332</v>
      </c>
      <c r="N236" s="10">
        <f t="shared" si="29"/>
        <v>14858.662034622281</v>
      </c>
      <c r="O236" s="58">
        <f t="shared" si="30"/>
        <v>36972.903979066723</v>
      </c>
    </row>
    <row r="237" spans="1:15" s="220" customFormat="1" x14ac:dyDescent="0.25">
      <c r="A237" s="320">
        <f>'A) Base RI'!A238</f>
        <v>5790</v>
      </c>
      <c r="B237" s="226" t="str">
        <f>'A) Base RI'!B238</f>
        <v>Maracon</v>
      </c>
      <c r="C237" s="242">
        <v>0</v>
      </c>
      <c r="D237" s="221">
        <f>'B) D RI'!AR238</f>
        <v>492</v>
      </c>
      <c r="E237" s="222">
        <f>'B) D RI'!S238</f>
        <v>76</v>
      </c>
      <c r="F237" s="10">
        <f>'B) D RI'!R238</f>
        <v>1009975.5299999999</v>
      </c>
      <c r="G237" s="10">
        <f>'B) D RI'!U238</f>
        <v>13289.151710526314</v>
      </c>
      <c r="H237" s="42">
        <f>'B) D RI'!T238</f>
        <v>923180.33</v>
      </c>
      <c r="I237" s="10">
        <f t="shared" si="31"/>
        <v>24294.219210526313</v>
      </c>
      <c r="J237" s="32">
        <f t="shared" si="39"/>
        <v>42174.623915201824</v>
      </c>
      <c r="K237" s="10">
        <f t="shared" si="28"/>
        <v>24294.219210526313</v>
      </c>
      <c r="L237" s="10">
        <f t="shared" si="32"/>
        <v>17880.404704675511</v>
      </c>
      <c r="M237" s="10">
        <f>'D) Ecrêtage'!M236</f>
        <v>13289.151710526314</v>
      </c>
      <c r="N237" s="10">
        <f t="shared" si="29"/>
        <v>16524.521066337355</v>
      </c>
      <c r="O237" s="58">
        <f t="shared" si="30"/>
        <v>40818.740276863668</v>
      </c>
    </row>
    <row r="238" spans="1:15" s="220" customFormat="1" x14ac:dyDescent="0.25">
      <c r="A238" s="320">
        <f>'A) Base RI'!A239</f>
        <v>5792</v>
      </c>
      <c r="B238" s="226" t="str">
        <f>'A) Base RI'!B239</f>
        <v>Montpreveyres</v>
      </c>
      <c r="C238" s="242">
        <v>0</v>
      </c>
      <c r="D238" s="221">
        <f>'B) D RI'!AR239</f>
        <v>643</v>
      </c>
      <c r="E238" s="222">
        <f>'B) D RI'!S239</f>
        <v>77</v>
      </c>
      <c r="F238" s="10">
        <f>'B) D RI'!R239</f>
        <v>1444009.72</v>
      </c>
      <c r="G238" s="10">
        <f>'B) D RI'!U239</f>
        <v>18753.372987012986</v>
      </c>
      <c r="H238" s="42">
        <f>'B) D RI'!T239</f>
        <v>1332344.97</v>
      </c>
      <c r="I238" s="10">
        <f t="shared" si="31"/>
        <v>34606.362857142856</v>
      </c>
      <c r="J238" s="32">
        <f t="shared" si="39"/>
        <v>55118.461742834908</v>
      </c>
      <c r="K238" s="10">
        <f t="shared" si="28"/>
        <v>34606.362857142856</v>
      </c>
      <c r="L238" s="10">
        <f t="shared" si="32"/>
        <v>20512.098885692052</v>
      </c>
      <c r="M238" s="10">
        <f>'D) Ecrêtage'!M237</f>
        <v>18753.372987012986</v>
      </c>
      <c r="N238" s="10">
        <f t="shared" si="29"/>
        <v>23319.05856288135</v>
      </c>
      <c r="O238" s="58">
        <f t="shared" si="30"/>
        <v>57925.421420024206</v>
      </c>
    </row>
    <row r="239" spans="1:15" s="220" customFormat="1" x14ac:dyDescent="0.25">
      <c r="A239" s="320">
        <f>'A) Base RI'!A240</f>
        <v>5798</v>
      </c>
      <c r="B239" s="226" t="str">
        <f>'A) Base RI'!B240</f>
        <v>Ropraz</v>
      </c>
      <c r="C239" s="242">
        <v>0</v>
      </c>
      <c r="D239" s="221">
        <f>'B) D RI'!AR240</f>
        <v>494</v>
      </c>
      <c r="E239" s="222">
        <f>'B) D RI'!S240</f>
        <v>77.5</v>
      </c>
      <c r="F239" s="10">
        <f>'B) D RI'!R240</f>
        <v>1066767.2699999998</v>
      </c>
      <c r="G239" s="10">
        <f>'B) D RI'!U240</f>
        <v>13764.738967741932</v>
      </c>
      <c r="H239" s="42">
        <f>'B) D RI'!T240</f>
        <v>987096.46999999974</v>
      </c>
      <c r="I239" s="10">
        <f t="shared" si="31"/>
        <v>25473.457290322574</v>
      </c>
      <c r="J239" s="32">
        <f t="shared" si="39"/>
        <v>42346.065475832729</v>
      </c>
      <c r="K239" s="10">
        <f t="shared" si="28"/>
        <v>25473.457290322574</v>
      </c>
      <c r="L239" s="10">
        <f t="shared" si="32"/>
        <v>16872.608185510155</v>
      </c>
      <c r="M239" s="10">
        <f>'D) Ecrêtage'!M238</f>
        <v>13764.738967741932</v>
      </c>
      <c r="N239" s="10">
        <f t="shared" si="29"/>
        <v>17115.894528084809</v>
      </c>
      <c r="O239" s="58">
        <f t="shared" si="30"/>
        <v>42589.351818407384</v>
      </c>
    </row>
    <row r="240" spans="1:15" s="220" customFormat="1" x14ac:dyDescent="0.25">
      <c r="A240" s="320">
        <f>'A) Base RI'!A241</f>
        <v>5799</v>
      </c>
      <c r="B240" s="226" t="str">
        <f>'A) Base RI'!B241</f>
        <v>Servion</v>
      </c>
      <c r="C240" s="242">
        <v>0</v>
      </c>
      <c r="D240" s="221">
        <f>'B) D RI'!AR241</f>
        <v>1942</v>
      </c>
      <c r="E240" s="222">
        <f>'B) D RI'!S241</f>
        <v>69</v>
      </c>
      <c r="F240" s="10">
        <f>'B) D RI'!R241</f>
        <v>4784183.4099999992</v>
      </c>
      <c r="G240" s="10">
        <f>'B) D RI'!U241</f>
        <v>69335.991449275345</v>
      </c>
      <c r="H240" s="42">
        <f>'B) D RI'!T241</f>
        <v>4406809.8599999994</v>
      </c>
      <c r="I240" s="10">
        <f t="shared" si="31"/>
        <v>127733.61913043476</v>
      </c>
      <c r="J240" s="32">
        <f t="shared" si="39"/>
        <v>166469.75537260558</v>
      </c>
      <c r="K240" s="10">
        <f t="shared" si="28"/>
        <v>127733.61913043476</v>
      </c>
      <c r="L240" s="10">
        <f t="shared" si="32"/>
        <v>38736.136242170818</v>
      </c>
      <c r="M240" s="10">
        <f>'D) Ecrêtage'!M239</f>
        <v>69335.991449275345</v>
      </c>
      <c r="N240" s="10">
        <f t="shared" si="29"/>
        <v>86216.492693916283</v>
      </c>
      <c r="O240" s="58">
        <f t="shared" si="30"/>
        <v>213950.11182435104</v>
      </c>
    </row>
    <row r="241" spans="1:15" s="220" customFormat="1" x14ac:dyDescent="0.25">
      <c r="A241" s="320">
        <f>'A) Base RI'!A242</f>
        <v>5803</v>
      </c>
      <c r="B241" s="226" t="str">
        <f>'A) Base RI'!B242</f>
        <v>Vulliens</v>
      </c>
      <c r="C241" s="242">
        <v>0</v>
      </c>
      <c r="D241" s="221">
        <f>'B) D RI'!AR242</f>
        <v>595</v>
      </c>
      <c r="E241" s="222">
        <f>'B) D RI'!S242</f>
        <v>78</v>
      </c>
      <c r="F241" s="10">
        <f>'B) D RI'!R242</f>
        <v>1296335.19</v>
      </c>
      <c r="G241" s="10">
        <f>'B) D RI'!U242</f>
        <v>16619.681923076922</v>
      </c>
      <c r="H241" s="42">
        <f>'B) D RI'!T242</f>
        <v>1206951.54</v>
      </c>
      <c r="I241" s="10">
        <f t="shared" si="31"/>
        <v>30947.475384615387</v>
      </c>
      <c r="J241" s="32">
        <f t="shared" si="39"/>
        <v>51003.864287693264</v>
      </c>
      <c r="K241" s="10">
        <f t="shared" si="28"/>
        <v>30947.475384615387</v>
      </c>
      <c r="L241" s="10">
        <f t="shared" si="32"/>
        <v>20056.388903077877</v>
      </c>
      <c r="M241" s="10">
        <f>'D) Ecrêtage'!M240</f>
        <v>16619.681923076922</v>
      </c>
      <c r="N241" s="10">
        <f t="shared" si="29"/>
        <v>20665.900279863232</v>
      </c>
      <c r="O241" s="58">
        <f t="shared" si="30"/>
        <v>51613.375664478619</v>
      </c>
    </row>
    <row r="242" spans="1:15" s="220" customFormat="1" x14ac:dyDescent="0.25">
      <c r="A242" s="320">
        <f>'A) Base RI'!A243</f>
        <v>5804</v>
      </c>
      <c r="B242" s="226" t="str">
        <f>'A) Base RI'!B243</f>
        <v>Jorat-Menthue</v>
      </c>
      <c r="C242" s="242">
        <v>0</v>
      </c>
      <c r="D242" s="221">
        <f>'B) D RI'!AR243</f>
        <v>1586</v>
      </c>
      <c r="E242" s="222">
        <f>'B) D RI'!S243</f>
        <v>72</v>
      </c>
      <c r="F242" s="10">
        <f>'B) D RI'!R243</f>
        <v>3424286.3000000007</v>
      </c>
      <c r="G242" s="10">
        <f>'B) D RI'!U243</f>
        <v>47559.531944444454</v>
      </c>
      <c r="H242" s="42">
        <f>'B) D RI'!T243</f>
        <v>3165241.8500000006</v>
      </c>
      <c r="I242" s="10">
        <f t="shared" si="31"/>
        <v>87923.384722222239</v>
      </c>
      <c r="J242" s="32">
        <f t="shared" si="39"/>
        <v>135953.15758030507</v>
      </c>
      <c r="K242" s="10">
        <f t="shared" si="28"/>
        <v>87923.384722222239</v>
      </c>
      <c r="L242" s="10">
        <f t="shared" si="32"/>
        <v>48029.772858082826</v>
      </c>
      <c r="M242" s="10">
        <f>'D) Ecrêtage'!M241</f>
        <v>47559.531944444454</v>
      </c>
      <c r="N242" s="10">
        <f t="shared" si="29"/>
        <v>59138.348680195129</v>
      </c>
      <c r="O242" s="58">
        <f t="shared" si="30"/>
        <v>147061.73340241736</v>
      </c>
    </row>
    <row r="243" spans="1:15" s="220" customFormat="1" x14ac:dyDescent="0.25">
      <c r="A243" s="320">
        <f>'A) Base RI'!A244</f>
        <v>5805</v>
      </c>
      <c r="B243" s="226" t="str">
        <f>'A) Base RI'!B244</f>
        <v>Oron</v>
      </c>
      <c r="C243" s="242">
        <v>0</v>
      </c>
      <c r="D243" s="221">
        <f>'B) D RI'!AR244</f>
        <v>5501</v>
      </c>
      <c r="E243" s="222">
        <f>'B) D RI'!S244</f>
        <v>69</v>
      </c>
      <c r="F243" s="10">
        <f>'B) D RI'!R244</f>
        <v>10856739.525454545</v>
      </c>
      <c r="G243" s="10">
        <f>'B) D RI'!U244</f>
        <v>157344.05109354414</v>
      </c>
      <c r="H243" s="42">
        <f>'B) D RI'!T244</f>
        <v>9889368.6799999997</v>
      </c>
      <c r="I243" s="10">
        <f t="shared" si="31"/>
        <v>286648.36753623188</v>
      </c>
      <c r="J243" s="32">
        <f t="shared" si="39"/>
        <v>471550.01251529524</v>
      </c>
      <c r="K243" s="10">
        <f t="shared" si="28"/>
        <v>286648.36753623188</v>
      </c>
      <c r="L243" s="10">
        <f t="shared" si="32"/>
        <v>184901.64497906336</v>
      </c>
      <c r="M243" s="10">
        <f>'D) Ecrêtage'!M242</f>
        <v>157344.05109354414</v>
      </c>
      <c r="N243" s="10">
        <f t="shared" si="29"/>
        <v>195650.94474003543</v>
      </c>
      <c r="O243" s="58">
        <f t="shared" si="30"/>
        <v>482299.31227626733</v>
      </c>
    </row>
    <row r="244" spans="1:15" s="220" customFormat="1" x14ac:dyDescent="0.25">
      <c r="A244" s="320">
        <f>'A) Base RI'!A245</f>
        <v>5806</v>
      </c>
      <c r="B244" s="226" t="str">
        <f>'A) Base RI'!B245</f>
        <v>Jorat-Mézières</v>
      </c>
      <c r="C244" s="242">
        <v>0</v>
      </c>
      <c r="D244" s="221">
        <f>'B) D RI'!AR245</f>
        <v>2869</v>
      </c>
      <c r="E244" s="222">
        <f>'B) D RI'!S245</f>
        <v>76</v>
      </c>
      <c r="F244" s="10">
        <f>'B) D RI'!R245</f>
        <v>6883422.9900000002</v>
      </c>
      <c r="G244" s="10">
        <f>'B) D RI'!U245</f>
        <v>90571.355131578952</v>
      </c>
      <c r="H244" s="42">
        <f>'B) D RI'!T245</f>
        <v>6373998.8899999997</v>
      </c>
      <c r="I244" s="10">
        <f t="shared" ref="I244" si="40">+H244/E244*$I$5</f>
        <v>167736.81289473682</v>
      </c>
      <c r="J244" s="32">
        <f t="shared" ref="J244" si="41">+$I$315/$D$315*D244</f>
        <v>245932.91872502855</v>
      </c>
      <c r="K244" s="10">
        <f t="shared" ref="K244" si="42">IF(C244=1,0,IF(J244&gt;I244,I244,J244))</f>
        <v>167736.81289473682</v>
      </c>
      <c r="L244" s="10">
        <f t="shared" ref="L244" si="43">+J244-K244</f>
        <v>78196.105830291723</v>
      </c>
      <c r="M244" s="10">
        <f>'D) Ecrêtage'!M243</f>
        <v>90571.355131578952</v>
      </c>
      <c r="N244" s="10">
        <f t="shared" ref="N244" si="44">+$N$5*M244</f>
        <v>112621.8060023354</v>
      </c>
      <c r="O244" s="58">
        <f t="shared" ref="O244" si="45">+N244+K244</f>
        <v>280358.61889707221</v>
      </c>
    </row>
    <row r="245" spans="1:15" s="220" customFormat="1" x14ac:dyDescent="0.25">
      <c r="A245" s="320">
        <f>'A) Base RI'!A246</f>
        <v>5812</v>
      </c>
      <c r="B245" s="226" t="str">
        <f>'A) Base RI'!B246</f>
        <v>Champtauroz</v>
      </c>
      <c r="C245" s="242">
        <v>0</v>
      </c>
      <c r="D245" s="221">
        <f>'B) D RI'!AR246</f>
        <v>122</v>
      </c>
      <c r="E245" s="222">
        <f>'B) D RI'!S246</f>
        <v>77</v>
      </c>
      <c r="F245" s="10">
        <f>'B) D RI'!R246</f>
        <v>186734.78500000003</v>
      </c>
      <c r="G245" s="10">
        <f>'B) D RI'!U246</f>
        <v>2425.1270779220786</v>
      </c>
      <c r="H245" s="42">
        <f>'B) D RI'!T246</f>
        <v>171124.66000000003</v>
      </c>
      <c r="I245" s="10">
        <f t="shared" si="31"/>
        <v>4444.7963636363647</v>
      </c>
      <c r="J245" s="32">
        <f t="shared" ref="J245:J276" si="46">+$I$315/$D$315*D245</f>
        <v>10457.935198485005</v>
      </c>
      <c r="K245" s="10">
        <f t="shared" si="28"/>
        <v>4444.7963636363647</v>
      </c>
      <c r="L245" s="10">
        <f t="shared" si="32"/>
        <v>6013.1388348486407</v>
      </c>
      <c r="M245" s="10">
        <f>'D) Ecrêtage'!M244</f>
        <v>2425.1270779220786</v>
      </c>
      <c r="N245" s="10">
        <f t="shared" si="29"/>
        <v>3015.5471440608162</v>
      </c>
      <c r="O245" s="58">
        <f t="shared" si="30"/>
        <v>7460.3435076971809</v>
      </c>
    </row>
    <row r="246" spans="1:15" s="220" customFormat="1" x14ac:dyDescent="0.25">
      <c r="A246" s="320">
        <f>'A) Base RI'!A247</f>
        <v>5813</v>
      </c>
      <c r="B246" s="226" t="str">
        <f>'A) Base RI'!B247</f>
        <v>Chevroux</v>
      </c>
      <c r="C246" s="242">
        <v>0</v>
      </c>
      <c r="D246" s="221">
        <f>'B) D RI'!AR247</f>
        <v>480</v>
      </c>
      <c r="E246" s="222">
        <f>'B) D RI'!S247</f>
        <v>70</v>
      </c>
      <c r="F246" s="10">
        <f>'B) D RI'!R247</f>
        <v>917986.64333333343</v>
      </c>
      <c r="G246" s="10">
        <f>'B) D RI'!U247</f>
        <v>13114.094904761907</v>
      </c>
      <c r="H246" s="42">
        <f>'B) D RI'!T247</f>
        <v>832504.06</v>
      </c>
      <c r="I246" s="10">
        <f t="shared" si="31"/>
        <v>23785.830285714288</v>
      </c>
      <c r="J246" s="32">
        <f t="shared" si="46"/>
        <v>41145.974551416417</v>
      </c>
      <c r="K246" s="10">
        <f t="shared" si="28"/>
        <v>23785.830285714288</v>
      </c>
      <c r="L246" s="10">
        <f t="shared" si="32"/>
        <v>17360.144265702129</v>
      </c>
      <c r="M246" s="10">
        <f>'D) Ecrêtage'!M245</f>
        <v>13114.094904761907</v>
      </c>
      <c r="N246" s="10">
        <f t="shared" si="29"/>
        <v>16306.845029697006</v>
      </c>
      <c r="O246" s="58">
        <f t="shared" si="30"/>
        <v>40092.675315411296</v>
      </c>
    </row>
    <row r="247" spans="1:15" s="220" customFormat="1" x14ac:dyDescent="0.25">
      <c r="A247" s="320">
        <f>'A) Base RI'!A248</f>
        <v>5816</v>
      </c>
      <c r="B247" s="226" t="str">
        <f>'A) Base RI'!B248</f>
        <v>Corcelles-près-Payerne</v>
      </c>
      <c r="C247" s="242">
        <v>0</v>
      </c>
      <c r="D247" s="221">
        <f>'B) D RI'!AR248</f>
        <v>2479</v>
      </c>
      <c r="E247" s="222">
        <f>'B) D RI'!S248</f>
        <v>72</v>
      </c>
      <c r="F247" s="10">
        <f>'B) D RI'!R248</f>
        <v>4049847.5328571424</v>
      </c>
      <c r="G247" s="10">
        <f>'B) D RI'!U248</f>
        <v>56247.882400793642</v>
      </c>
      <c r="H247" s="42">
        <f>'B) D RI'!T248</f>
        <v>3676590.34</v>
      </c>
      <c r="I247" s="10">
        <f t="shared" si="31"/>
        <v>102127.50944444444</v>
      </c>
      <c r="J247" s="32">
        <f t="shared" si="46"/>
        <v>212501.8144020027</v>
      </c>
      <c r="K247" s="10">
        <f t="shared" si="28"/>
        <v>102127.50944444444</v>
      </c>
      <c r="L247" s="10">
        <f t="shared" si="32"/>
        <v>110374.30495755826</v>
      </c>
      <c r="M247" s="10">
        <f>'D) Ecrêtage'!M246</f>
        <v>56247.882400793642</v>
      </c>
      <c r="N247" s="10">
        <f t="shared" si="29"/>
        <v>69941.960022365427</v>
      </c>
      <c r="O247" s="58">
        <f t="shared" si="30"/>
        <v>172069.46946680988</v>
      </c>
    </row>
    <row r="248" spans="1:15" s="220" customFormat="1" x14ac:dyDescent="0.25">
      <c r="A248" s="320">
        <f>'A) Base RI'!A249</f>
        <v>5817</v>
      </c>
      <c r="B248" s="226" t="str">
        <f>'A) Base RI'!B249</f>
        <v>Grandcour</v>
      </c>
      <c r="C248" s="242">
        <v>0</v>
      </c>
      <c r="D248" s="221">
        <f>'B) D RI'!AR249</f>
        <v>929</v>
      </c>
      <c r="E248" s="222">
        <f>'B) D RI'!S249</f>
        <v>77</v>
      </c>
      <c r="F248" s="10">
        <f>'B) D RI'!R249</f>
        <v>1815151.21</v>
      </c>
      <c r="G248" s="10">
        <f>'B) D RI'!U249</f>
        <v>23573.392337662339</v>
      </c>
      <c r="H248" s="42">
        <f>'B) D RI'!T249</f>
        <v>1692838.06</v>
      </c>
      <c r="I248" s="10">
        <f t="shared" si="31"/>
        <v>43969.819740259743</v>
      </c>
      <c r="J248" s="32">
        <f t="shared" si="46"/>
        <v>79634.604913053859</v>
      </c>
      <c r="K248" s="10">
        <f t="shared" si="28"/>
        <v>43969.819740259743</v>
      </c>
      <c r="L248" s="10">
        <f t="shared" si="32"/>
        <v>35664.785172794116</v>
      </c>
      <c r="M248" s="10">
        <f>'D) Ecrêtage'!M247</f>
        <v>23573.392337662339</v>
      </c>
      <c r="N248" s="10">
        <f t="shared" si="29"/>
        <v>29312.557097243738</v>
      </c>
      <c r="O248" s="58">
        <f t="shared" si="30"/>
        <v>73282.376837503485</v>
      </c>
    </row>
    <row r="249" spans="1:15" s="220" customFormat="1" x14ac:dyDescent="0.25">
      <c r="A249" s="320">
        <f>'A) Base RI'!A250</f>
        <v>5819</v>
      </c>
      <c r="B249" s="226" t="str">
        <f>'A) Base RI'!B250</f>
        <v>Henniez</v>
      </c>
      <c r="C249" s="242">
        <v>0</v>
      </c>
      <c r="D249" s="221">
        <f>'B) D RI'!AR250</f>
        <v>341</v>
      </c>
      <c r="E249" s="222">
        <f>'B) D RI'!S250</f>
        <v>69</v>
      </c>
      <c r="F249" s="10">
        <f>'B) D RI'!R250</f>
        <v>935536.3600000001</v>
      </c>
      <c r="G249" s="10">
        <f>'B) D RI'!U250</f>
        <v>13558.497971014494</v>
      </c>
      <c r="H249" s="42">
        <f>'B) D RI'!T250</f>
        <v>850829.76000000013</v>
      </c>
      <c r="I249" s="10">
        <f t="shared" si="31"/>
        <v>24661.732173913046</v>
      </c>
      <c r="J249" s="32">
        <f t="shared" si="46"/>
        <v>29230.786087568744</v>
      </c>
      <c r="K249" s="10">
        <f t="shared" si="28"/>
        <v>24661.732173913046</v>
      </c>
      <c r="L249" s="10">
        <f t="shared" si="32"/>
        <v>4569.0539136556981</v>
      </c>
      <c r="M249" s="10">
        <f>'D) Ecrêtage'!M248</f>
        <v>13558.497971014494</v>
      </c>
      <c r="N249" s="10">
        <f t="shared" si="29"/>
        <v>16859.44221499507</v>
      </c>
      <c r="O249" s="58">
        <f t="shared" si="30"/>
        <v>41521.174388908112</v>
      </c>
    </row>
    <row r="250" spans="1:15" s="220" customFormat="1" x14ac:dyDescent="0.25">
      <c r="A250" s="320">
        <f>'A) Base RI'!A251</f>
        <v>5821</v>
      </c>
      <c r="B250" s="226" t="str">
        <f>'A) Base RI'!B251</f>
        <v>Missy</v>
      </c>
      <c r="C250" s="242">
        <v>0</v>
      </c>
      <c r="D250" s="221">
        <f>'B) D RI'!AR251</f>
        <v>368</v>
      </c>
      <c r="E250" s="222">
        <f>'B) D RI'!S251</f>
        <v>72</v>
      </c>
      <c r="F250" s="10">
        <f>'B) D RI'!R251</f>
        <v>619456.66999999993</v>
      </c>
      <c r="G250" s="10">
        <f>'B) D RI'!U251</f>
        <v>8603.5648611111101</v>
      </c>
      <c r="H250" s="42">
        <f>'B) D RI'!T251</f>
        <v>566583.31999999995</v>
      </c>
      <c r="I250" s="10">
        <f t="shared" si="31"/>
        <v>15738.425555555554</v>
      </c>
      <c r="J250" s="32">
        <f t="shared" si="46"/>
        <v>31545.247156085919</v>
      </c>
      <c r="K250" s="10">
        <f t="shared" si="28"/>
        <v>15738.425555555554</v>
      </c>
      <c r="L250" s="10">
        <f t="shared" si="32"/>
        <v>15806.821600530366</v>
      </c>
      <c r="M250" s="10">
        <f>'D) Ecrêtage'!M249</f>
        <v>8603.5648611111101</v>
      </c>
      <c r="N250" s="10">
        <f t="shared" si="29"/>
        <v>10698.183893891279</v>
      </c>
      <c r="O250" s="58">
        <f t="shared" si="30"/>
        <v>26436.609449446834</v>
      </c>
    </row>
    <row r="251" spans="1:15" s="220" customFormat="1" x14ac:dyDescent="0.25">
      <c r="A251" s="320">
        <f>'A) Base RI'!A252</f>
        <v>5822</v>
      </c>
      <c r="B251" s="226" t="str">
        <f>'A) Base RI'!B252</f>
        <v>Payerne</v>
      </c>
      <c r="C251" s="242">
        <v>0</v>
      </c>
      <c r="D251" s="221">
        <f>'B) D RI'!AR252</f>
        <v>9971</v>
      </c>
      <c r="E251" s="222">
        <f>'B) D RI'!S252</f>
        <v>75</v>
      </c>
      <c r="F251" s="10">
        <f>'B) D RI'!R252</f>
        <v>18698927.390000001</v>
      </c>
      <c r="G251" s="10">
        <f>'B) D RI'!U252</f>
        <v>249319.03186666669</v>
      </c>
      <c r="H251" s="42">
        <f>'B) D RI'!T252</f>
        <v>17179484.789999999</v>
      </c>
      <c r="I251" s="10">
        <f t="shared" si="31"/>
        <v>458119.5944</v>
      </c>
      <c r="J251" s="32">
        <f t="shared" si="46"/>
        <v>854721.9005253606</v>
      </c>
      <c r="K251" s="10">
        <f t="shared" si="28"/>
        <v>458119.5944</v>
      </c>
      <c r="L251" s="10">
        <f t="shared" si="32"/>
        <v>396602.3061253606</v>
      </c>
      <c r="M251" s="10">
        <f>'D) Ecrêtage'!M250</f>
        <v>249319.03186666669</v>
      </c>
      <c r="N251" s="10">
        <f t="shared" si="29"/>
        <v>310018.10228836653</v>
      </c>
      <c r="O251" s="58">
        <f t="shared" si="30"/>
        <v>768137.69668836659</v>
      </c>
    </row>
    <row r="252" spans="1:15" s="220" customFormat="1" x14ac:dyDescent="0.25">
      <c r="A252" s="320">
        <f>'A) Base RI'!A253</f>
        <v>5827</v>
      </c>
      <c r="B252" s="226" t="str">
        <f>'A) Base RI'!B253</f>
        <v>Trey</v>
      </c>
      <c r="C252" s="242">
        <v>0</v>
      </c>
      <c r="D252" s="221">
        <f>'B) D RI'!AR253</f>
        <v>267</v>
      </c>
      <c r="E252" s="222">
        <f>'B) D RI'!S253</f>
        <v>80</v>
      </c>
      <c r="F252" s="10">
        <f>'B) D RI'!R253</f>
        <v>578308.80000000005</v>
      </c>
      <c r="G252" s="10">
        <f>'B) D RI'!U253</f>
        <v>7228.8600000000006</v>
      </c>
      <c r="H252" s="42">
        <f>'B) D RI'!T253</f>
        <v>542664.4</v>
      </c>
      <c r="I252" s="10">
        <f t="shared" si="31"/>
        <v>13566.61</v>
      </c>
      <c r="J252" s="32">
        <f t="shared" si="46"/>
        <v>22887.44834422538</v>
      </c>
      <c r="K252" s="10">
        <f t="shared" si="28"/>
        <v>13566.61</v>
      </c>
      <c r="L252" s="10">
        <f t="shared" si="32"/>
        <v>9320.8383442253798</v>
      </c>
      <c r="M252" s="10">
        <f>'D) Ecrêtage'!M251</f>
        <v>7228.8600000000006</v>
      </c>
      <c r="N252" s="10">
        <f t="shared" si="29"/>
        <v>8988.7941651674118</v>
      </c>
      <c r="O252" s="58">
        <f t="shared" si="30"/>
        <v>22555.404165167412</v>
      </c>
    </row>
    <row r="253" spans="1:15" s="220" customFormat="1" x14ac:dyDescent="0.25">
      <c r="A253" s="320">
        <f>'A) Base RI'!A254</f>
        <v>5828</v>
      </c>
      <c r="B253" s="226" t="str">
        <f>'A) Base RI'!B254</f>
        <v>Treytorrens (Payerne)</v>
      </c>
      <c r="C253" s="242">
        <v>0</v>
      </c>
      <c r="D253" s="221">
        <f>'B) D RI'!AR254</f>
        <v>119</v>
      </c>
      <c r="E253" s="222">
        <f>'B) D RI'!S254</f>
        <v>84</v>
      </c>
      <c r="F253" s="10">
        <f>'B) D RI'!R254</f>
        <v>224472.08333333334</v>
      </c>
      <c r="G253" s="10">
        <f>'B) D RI'!U254</f>
        <v>2672.2867063492063</v>
      </c>
      <c r="H253" s="42">
        <f>'B) D RI'!T254</f>
        <v>209589.45</v>
      </c>
      <c r="I253" s="10">
        <f t="shared" si="31"/>
        <v>4990.2250000000004</v>
      </c>
      <c r="J253" s="32">
        <f t="shared" si="46"/>
        <v>10200.772857538654</v>
      </c>
      <c r="K253" s="10">
        <f t="shared" si="28"/>
        <v>4990.2250000000004</v>
      </c>
      <c r="L253" s="10">
        <f t="shared" si="32"/>
        <v>5210.5478575386533</v>
      </c>
      <c r="M253" s="10">
        <f>'D) Ecrêtage'!M252</f>
        <v>2672.2867063492063</v>
      </c>
      <c r="N253" s="10">
        <f t="shared" si="29"/>
        <v>3322.8801157701464</v>
      </c>
      <c r="O253" s="58">
        <f t="shared" si="30"/>
        <v>8313.1051157701477</v>
      </c>
    </row>
    <row r="254" spans="1:15" s="220" customFormat="1" x14ac:dyDescent="0.25">
      <c r="A254" s="320">
        <f>'A) Base RI'!A255</f>
        <v>5830</v>
      </c>
      <c r="B254" s="226" t="str">
        <f>'A) Base RI'!B255</f>
        <v>Villarzel</v>
      </c>
      <c r="C254" s="242">
        <v>0</v>
      </c>
      <c r="D254" s="221">
        <f>'B) D RI'!AR255</f>
        <v>446</v>
      </c>
      <c r="E254" s="222">
        <f>'B) D RI'!S255</f>
        <v>79</v>
      </c>
      <c r="F254" s="10">
        <f>'B) D RI'!R255</f>
        <v>958878.63</v>
      </c>
      <c r="G254" s="10">
        <f>'B) D RI'!U255</f>
        <v>12137.70417721519</v>
      </c>
      <c r="H254" s="42">
        <f>'B) D RI'!T255</f>
        <v>903060.2300000001</v>
      </c>
      <c r="I254" s="10">
        <f t="shared" si="31"/>
        <v>22862.284303797471</v>
      </c>
      <c r="J254" s="32">
        <f t="shared" si="46"/>
        <v>38231.468020691085</v>
      </c>
      <c r="K254" s="10">
        <f t="shared" ref="K254:K303" si="47">IF(C254=1,0,IF(J254&gt;I254,I254,J254))</f>
        <v>22862.284303797471</v>
      </c>
      <c r="L254" s="10">
        <f t="shared" si="32"/>
        <v>15369.183716893614</v>
      </c>
      <c r="M254" s="10">
        <f>'D) Ecrêtage'!M253</f>
        <v>12137.70417721519</v>
      </c>
      <c r="N254" s="10">
        <f t="shared" ref="N254:N313" si="48">+$N$5*M254</f>
        <v>15092.742768110047</v>
      </c>
      <c r="O254" s="58">
        <f t="shared" ref="O254:O314" si="49">+N254+K254</f>
        <v>37955.02707190752</v>
      </c>
    </row>
    <row r="255" spans="1:15" s="220" customFormat="1" x14ac:dyDescent="0.25">
      <c r="A255" s="320">
        <f>'A) Base RI'!A256</f>
        <v>5831</v>
      </c>
      <c r="B255" s="226" t="str">
        <f>'A) Base RI'!B256</f>
        <v>Valbroye</v>
      </c>
      <c r="C255" s="242">
        <v>0</v>
      </c>
      <c r="D255" s="221">
        <f>'B) D RI'!AR256</f>
        <v>3174</v>
      </c>
      <c r="E255" s="222">
        <f>'B) D RI'!S256</f>
        <v>73</v>
      </c>
      <c r="F255" s="10">
        <f>'B) D RI'!R256</f>
        <v>6275102.7333333325</v>
      </c>
      <c r="G255" s="10">
        <f>'B) D RI'!U256</f>
        <v>85960.311415525095</v>
      </c>
      <c r="H255" s="42">
        <f>'B) D RI'!T256</f>
        <v>5821651.8499999996</v>
      </c>
      <c r="I255" s="10">
        <f t="shared" ref="I255:I286" si="50">+H255/E255*$I$5</f>
        <v>159497.3109589041</v>
      </c>
      <c r="J255" s="32">
        <f t="shared" si="46"/>
        <v>272077.75672124105</v>
      </c>
      <c r="K255" s="10">
        <f t="shared" si="47"/>
        <v>159497.3109589041</v>
      </c>
      <c r="L255" s="10">
        <f t="shared" ref="L255:L314" si="51">+J255-K255</f>
        <v>112580.44576233695</v>
      </c>
      <c r="M255" s="10">
        <f>'D) Ecrêtage'!M254</f>
        <v>85960.311415525095</v>
      </c>
      <c r="N255" s="10">
        <f t="shared" si="48"/>
        <v>106888.16019231877</v>
      </c>
      <c r="O255" s="58">
        <f t="shared" si="49"/>
        <v>266385.47115122288</v>
      </c>
    </row>
    <row r="256" spans="1:15" s="220" customFormat="1" x14ac:dyDescent="0.25">
      <c r="A256" s="320">
        <f>'A) Base RI'!A257</f>
        <v>5841</v>
      </c>
      <c r="B256" s="226" t="str">
        <f>'A) Base RI'!B257</f>
        <v>Château-d'Oex</v>
      </c>
      <c r="C256" s="242">
        <v>0</v>
      </c>
      <c r="D256" s="221">
        <f>'B) D RI'!AR257</f>
        <v>3460</v>
      </c>
      <c r="E256" s="222">
        <f>'B) D RI'!S257</f>
        <v>83</v>
      </c>
      <c r="F256" s="10">
        <f>'B) D RI'!R257</f>
        <v>9810344.0999999996</v>
      </c>
      <c r="G256" s="10">
        <f>'B) D RI'!U257</f>
        <v>118196.91686746987</v>
      </c>
      <c r="H256" s="42">
        <f>'B) D RI'!T257</f>
        <v>8788265.7999999989</v>
      </c>
      <c r="I256" s="10">
        <f t="shared" si="50"/>
        <v>211765.44096385539</v>
      </c>
      <c r="J256" s="32">
        <f t="shared" si="46"/>
        <v>296593.89989146002</v>
      </c>
      <c r="K256" s="10">
        <f t="shared" si="47"/>
        <v>211765.44096385539</v>
      </c>
      <c r="L256" s="10">
        <f t="shared" si="51"/>
        <v>84828.458927604632</v>
      </c>
      <c r="M256" s="10">
        <f>'D) Ecrêtage'!M255</f>
        <v>118196.91686746987</v>
      </c>
      <c r="N256" s="10">
        <f t="shared" si="48"/>
        <v>146973.07136659039</v>
      </c>
      <c r="O256" s="58">
        <f t="shared" si="49"/>
        <v>358738.51233044581</v>
      </c>
    </row>
    <row r="257" spans="1:15" s="220" customFormat="1" x14ac:dyDescent="0.25">
      <c r="A257" s="320">
        <f>'A) Base RI'!A258</f>
        <v>5842</v>
      </c>
      <c r="B257" s="226" t="str">
        <f>'A) Base RI'!B258</f>
        <v>Rossinière</v>
      </c>
      <c r="C257" s="242">
        <v>0</v>
      </c>
      <c r="D257" s="221">
        <f>'B) D RI'!AR258</f>
        <v>548</v>
      </c>
      <c r="E257" s="222">
        <f>'B) D RI'!S258</f>
        <v>81</v>
      </c>
      <c r="F257" s="10">
        <f>'B) D RI'!R258</f>
        <v>1310489.5833333333</v>
      </c>
      <c r="G257" s="10">
        <f>'B) D RI'!U258</f>
        <v>16178.883744855966</v>
      </c>
      <c r="H257" s="42">
        <f>'B) D RI'!T258</f>
        <v>1218476.2</v>
      </c>
      <c r="I257" s="10">
        <f t="shared" si="50"/>
        <v>30085.83209876543</v>
      </c>
      <c r="J257" s="32">
        <f t="shared" si="46"/>
        <v>46974.987612867073</v>
      </c>
      <c r="K257" s="10">
        <f t="shared" si="47"/>
        <v>30085.83209876543</v>
      </c>
      <c r="L257" s="10">
        <f t="shared" si="51"/>
        <v>16889.155514101643</v>
      </c>
      <c r="M257" s="10">
        <f>'D) Ecrêtage'!M256</f>
        <v>16178.883744855966</v>
      </c>
      <c r="N257" s="10">
        <f t="shared" si="48"/>
        <v>20117.785626597164</v>
      </c>
      <c r="O257" s="58">
        <f t="shared" si="49"/>
        <v>50203.617725362594</v>
      </c>
    </row>
    <row r="258" spans="1:15" s="220" customFormat="1" x14ac:dyDescent="0.25">
      <c r="A258" s="320">
        <f>'A) Base RI'!A259</f>
        <v>5843</v>
      </c>
      <c r="B258" s="226" t="str">
        <f>'A) Base RI'!B259</f>
        <v>Rougemont</v>
      </c>
      <c r="C258" s="242">
        <v>0</v>
      </c>
      <c r="D258" s="221">
        <f>'B) D RI'!AR259</f>
        <v>882</v>
      </c>
      <c r="E258" s="222">
        <f>'B) D RI'!S259</f>
        <v>74</v>
      </c>
      <c r="F258" s="10">
        <f>'B) D RI'!R259</f>
        <v>7142334.2833333332</v>
      </c>
      <c r="G258" s="10">
        <f>'B) D RI'!U259</f>
        <v>96518.030855855861</v>
      </c>
      <c r="H258" s="42">
        <f>'B) D RI'!T259</f>
        <v>6359139.75</v>
      </c>
      <c r="I258" s="10">
        <f t="shared" si="50"/>
        <v>171868.64189189189</v>
      </c>
      <c r="J258" s="32">
        <f t="shared" si="46"/>
        <v>75605.728238227661</v>
      </c>
      <c r="K258" s="10">
        <f t="shared" si="47"/>
        <v>75605.728238227661</v>
      </c>
      <c r="L258" s="10">
        <f t="shared" si="51"/>
        <v>0</v>
      </c>
      <c r="M258" s="10">
        <f>'D) Ecrêtage'!M257</f>
        <v>85447.281802796962</v>
      </c>
      <c r="N258" s="10">
        <f t="shared" si="48"/>
        <v>106250.2286803724</v>
      </c>
      <c r="O258" s="58">
        <f t="shared" si="49"/>
        <v>181855.95691860007</v>
      </c>
    </row>
    <row r="259" spans="1:15" s="220" customFormat="1" x14ac:dyDescent="0.25">
      <c r="A259" s="320">
        <f>'A) Base RI'!A260</f>
        <v>5851</v>
      </c>
      <c r="B259" s="226" t="str">
        <f>'A) Base RI'!B260</f>
        <v>Allaman</v>
      </c>
      <c r="C259" s="242">
        <v>0</v>
      </c>
      <c r="D259" s="221">
        <f>'B) D RI'!AR260</f>
        <v>434</v>
      </c>
      <c r="E259" s="222">
        <f>'B) D RI'!S260</f>
        <v>62</v>
      </c>
      <c r="F259" s="10">
        <f>'B) D RI'!R260</f>
        <v>1829693.7790909095</v>
      </c>
      <c r="G259" s="10">
        <f>'B) D RI'!U260</f>
        <v>29511.189985337249</v>
      </c>
      <c r="H259" s="42">
        <f>'B) D RI'!T260</f>
        <v>1580880.0700000003</v>
      </c>
      <c r="I259" s="10">
        <f t="shared" si="50"/>
        <v>50996.131290322592</v>
      </c>
      <c r="J259" s="32">
        <f t="shared" si="46"/>
        <v>37202.818656905678</v>
      </c>
      <c r="K259" s="10">
        <f t="shared" si="47"/>
        <v>37202.818656905678</v>
      </c>
      <c r="L259" s="10">
        <f t="shared" si="51"/>
        <v>0</v>
      </c>
      <c r="M259" s="10">
        <f>'D) Ecrêtage'!M258</f>
        <v>28536.04056416071</v>
      </c>
      <c r="N259" s="10">
        <f t="shared" si="48"/>
        <v>35483.408852863155</v>
      </c>
      <c r="O259" s="58">
        <f t="shared" si="49"/>
        <v>72686.227509768825</v>
      </c>
    </row>
    <row r="260" spans="1:15" s="220" customFormat="1" x14ac:dyDescent="0.25">
      <c r="A260" s="320">
        <f>'A) Base RI'!A261</f>
        <v>5852</v>
      </c>
      <c r="B260" s="226" t="str">
        <f>'A) Base RI'!B261</f>
        <v>Bursinel</v>
      </c>
      <c r="C260" s="242">
        <v>0</v>
      </c>
      <c r="D260" s="221">
        <f>'B) D RI'!AR261</f>
        <v>471</v>
      </c>
      <c r="E260" s="222">
        <f>'B) D RI'!S261</f>
        <v>65.5</v>
      </c>
      <c r="F260" s="10">
        <f>'B) D RI'!R261</f>
        <v>2604749.37</v>
      </c>
      <c r="G260" s="10">
        <f>'B) D RI'!U261</f>
        <v>39767.165954198477</v>
      </c>
      <c r="H260" s="42">
        <f>'B) D RI'!T261</f>
        <v>2420212.02</v>
      </c>
      <c r="I260" s="10">
        <f t="shared" si="50"/>
        <v>73899.603664122144</v>
      </c>
      <c r="J260" s="32">
        <f t="shared" si="46"/>
        <v>40374.48752857736</v>
      </c>
      <c r="K260" s="10">
        <f t="shared" si="47"/>
        <v>40374.48752857736</v>
      </c>
      <c r="L260" s="10">
        <f t="shared" si="51"/>
        <v>0</v>
      </c>
      <c r="M260" s="10">
        <f>'D) Ecrêtage'!M259</f>
        <v>36961.550510972142</v>
      </c>
      <c r="N260" s="10">
        <f t="shared" si="48"/>
        <v>45960.188683771288</v>
      </c>
      <c r="O260" s="58">
        <f t="shared" si="49"/>
        <v>86334.676212348655</v>
      </c>
    </row>
    <row r="261" spans="1:15" s="220" customFormat="1" x14ac:dyDescent="0.25">
      <c r="A261" s="320">
        <f>'A) Base RI'!A262</f>
        <v>5853</v>
      </c>
      <c r="B261" s="226" t="str">
        <f>'A) Base RI'!B262</f>
        <v>Bursins</v>
      </c>
      <c r="C261" s="242">
        <v>0</v>
      </c>
      <c r="D261" s="221">
        <f>'B) D RI'!AR262</f>
        <v>752</v>
      </c>
      <c r="E261" s="222">
        <f>'B) D RI'!S262</f>
        <v>71</v>
      </c>
      <c r="F261" s="10">
        <f>'B) D RI'!R262</f>
        <v>2616009.0199999996</v>
      </c>
      <c r="G261" s="10">
        <f>'B) D RI'!U262</f>
        <v>36845.197464788725</v>
      </c>
      <c r="H261" s="42">
        <f>'B) D RI'!T262</f>
        <v>2407380.1699999995</v>
      </c>
      <c r="I261" s="10">
        <f t="shared" si="50"/>
        <v>67813.525915492937</v>
      </c>
      <c r="J261" s="32">
        <f t="shared" si="46"/>
        <v>64462.026797219049</v>
      </c>
      <c r="K261" s="10">
        <f t="shared" si="47"/>
        <v>64462.026797219049</v>
      </c>
      <c r="L261" s="10">
        <f t="shared" si="51"/>
        <v>0</v>
      </c>
      <c r="M261" s="10">
        <f>'D) Ecrêtage'!M260</f>
        <v>36845.197464788725</v>
      </c>
      <c r="N261" s="10">
        <f t="shared" si="48"/>
        <v>45815.508390802141</v>
      </c>
      <c r="O261" s="58">
        <f t="shared" si="49"/>
        <v>110277.5351880212</v>
      </c>
    </row>
    <row r="262" spans="1:15" s="220" customFormat="1" x14ac:dyDescent="0.25">
      <c r="A262" s="320">
        <f>'A) Base RI'!A263</f>
        <v>5854</v>
      </c>
      <c r="B262" s="226" t="str">
        <f>'A) Base RI'!B263</f>
        <v>Burtigny</v>
      </c>
      <c r="C262" s="242">
        <v>0</v>
      </c>
      <c r="D262" s="221">
        <f>'B) D RI'!AR263</f>
        <v>391</v>
      </c>
      <c r="E262" s="222">
        <f>'B) D RI'!S263</f>
        <v>80</v>
      </c>
      <c r="F262" s="10">
        <f>'B) D RI'!R263</f>
        <v>1225674.6266666662</v>
      </c>
      <c r="G262" s="10">
        <f>'B) D RI'!U263</f>
        <v>15320.932833333329</v>
      </c>
      <c r="H262" s="42">
        <f>'B) D RI'!T263</f>
        <v>1153952.9599999997</v>
      </c>
      <c r="I262" s="10">
        <f t="shared" si="50"/>
        <v>28848.823999999993</v>
      </c>
      <c r="J262" s="32">
        <f t="shared" si="46"/>
        <v>33516.825103341289</v>
      </c>
      <c r="K262" s="10">
        <f t="shared" si="47"/>
        <v>28848.823999999993</v>
      </c>
      <c r="L262" s="10">
        <f t="shared" si="51"/>
        <v>4668.0011033412957</v>
      </c>
      <c r="M262" s="10">
        <f>'D) Ecrêtage'!M261</f>
        <v>15320.932833333329</v>
      </c>
      <c r="N262" s="10">
        <f t="shared" si="48"/>
        <v>19050.958471624632</v>
      </c>
      <c r="O262" s="58">
        <f t="shared" si="49"/>
        <v>47899.782471624625</v>
      </c>
    </row>
    <row r="263" spans="1:15" s="220" customFormat="1" x14ac:dyDescent="0.25">
      <c r="A263" s="320">
        <f>'A) Base RI'!A264</f>
        <v>5855</v>
      </c>
      <c r="B263" s="226" t="str">
        <f>'A) Base RI'!B264</f>
        <v>Dully</v>
      </c>
      <c r="C263" s="242">
        <v>0</v>
      </c>
      <c r="D263" s="221">
        <f>'B) D RI'!AR264</f>
        <v>635</v>
      </c>
      <c r="E263" s="222">
        <f>'B) D RI'!S264</f>
        <v>49</v>
      </c>
      <c r="F263" s="10">
        <f>'B) D RI'!R264</f>
        <v>4468724.6399999997</v>
      </c>
      <c r="G263" s="10">
        <f>'B) D RI'!U264</f>
        <v>91198.462040816317</v>
      </c>
      <c r="H263" s="42">
        <f>'B) D RI'!T264</f>
        <v>4118531.6399999997</v>
      </c>
      <c r="I263" s="10">
        <f t="shared" si="50"/>
        <v>168103.33224489796</v>
      </c>
      <c r="J263" s="32">
        <f t="shared" si="46"/>
        <v>54432.695500311303</v>
      </c>
      <c r="K263" s="10">
        <f t="shared" si="47"/>
        <v>54432.695500311303</v>
      </c>
      <c r="L263" s="10">
        <f t="shared" si="51"/>
        <v>0</v>
      </c>
      <c r="M263" s="10">
        <f>'D) Ecrêtage'!M262</f>
        <v>76995.87834963089</v>
      </c>
      <c r="N263" s="10">
        <f t="shared" si="48"/>
        <v>95741.251324704295</v>
      </c>
      <c r="O263" s="58">
        <f t="shared" si="49"/>
        <v>150173.94682501559</v>
      </c>
    </row>
    <row r="264" spans="1:15" s="220" customFormat="1" x14ac:dyDescent="0.25">
      <c r="A264" s="320">
        <f>'A) Base RI'!A265</f>
        <v>5856</v>
      </c>
      <c r="B264" s="226" t="str">
        <f>'A) Base RI'!B265</f>
        <v>Essertines-sur-Rolle</v>
      </c>
      <c r="C264" s="242">
        <v>0</v>
      </c>
      <c r="D264" s="221">
        <f>'B) D RI'!AR265</f>
        <v>726</v>
      </c>
      <c r="E264" s="222">
        <f>'B) D RI'!S265</f>
        <v>68</v>
      </c>
      <c r="F264" s="10">
        <f>'B) D RI'!R265</f>
        <v>2544965.6892307685</v>
      </c>
      <c r="G264" s="10">
        <f>'B) D RI'!U265</f>
        <v>37425.966018099534</v>
      </c>
      <c r="H264" s="42">
        <f>'B) D RI'!T265</f>
        <v>2365993.1699999995</v>
      </c>
      <c r="I264" s="10">
        <f t="shared" si="50"/>
        <v>69588.034411764689</v>
      </c>
      <c r="J264" s="32">
        <f t="shared" si="46"/>
        <v>62233.286509017329</v>
      </c>
      <c r="K264" s="10">
        <f t="shared" si="47"/>
        <v>62233.286509017329</v>
      </c>
      <c r="L264" s="10">
        <f t="shared" si="51"/>
        <v>0</v>
      </c>
      <c r="M264" s="10">
        <f>'D) Ecrêtage'!M263</f>
        <v>37425.966018099534</v>
      </c>
      <c r="N264" s="10">
        <f t="shared" si="48"/>
        <v>46537.670527475544</v>
      </c>
      <c r="O264" s="58">
        <f t="shared" si="49"/>
        <v>108770.95703649288</v>
      </c>
    </row>
    <row r="265" spans="1:15" s="220" customFormat="1" x14ac:dyDescent="0.25">
      <c r="A265" s="320">
        <f>'A) Base RI'!A266</f>
        <v>5857</v>
      </c>
      <c r="B265" s="226" t="str">
        <f>'A) Base RI'!B266</f>
        <v>Gilly</v>
      </c>
      <c r="C265" s="242">
        <v>0</v>
      </c>
      <c r="D265" s="221">
        <f>'B) D RI'!AR266</f>
        <v>1324</v>
      </c>
      <c r="E265" s="222">
        <f>'B) D RI'!S266</f>
        <v>66</v>
      </c>
      <c r="F265" s="10">
        <f>'B) D RI'!R266</f>
        <v>5933772.3800000008</v>
      </c>
      <c r="G265" s="10">
        <f>'B) D RI'!U266</f>
        <v>89905.642121212135</v>
      </c>
      <c r="H265" s="42">
        <f>'B) D RI'!T266</f>
        <v>5547224.5300000003</v>
      </c>
      <c r="I265" s="10">
        <f t="shared" si="50"/>
        <v>168097.71303030304</v>
      </c>
      <c r="J265" s="32">
        <f t="shared" si="46"/>
        <v>113494.31313765695</v>
      </c>
      <c r="K265" s="10">
        <f t="shared" si="47"/>
        <v>113494.31313765695</v>
      </c>
      <c r="L265" s="10">
        <f t="shared" si="51"/>
        <v>0</v>
      </c>
      <c r="M265" s="10">
        <f>'D) Ecrêtage'!M264</f>
        <v>86953.061939550258</v>
      </c>
      <c r="N265" s="10">
        <f t="shared" si="48"/>
        <v>108122.60519717768</v>
      </c>
      <c r="O265" s="58">
        <f t="shared" si="49"/>
        <v>221616.91833483463</v>
      </c>
    </row>
    <row r="266" spans="1:15" s="220" customFormat="1" x14ac:dyDescent="0.25">
      <c r="A266" s="320">
        <f>'A) Base RI'!A267</f>
        <v>5858</v>
      </c>
      <c r="B266" s="226" t="str">
        <f>'A) Base RI'!B267</f>
        <v>Luins</v>
      </c>
      <c r="C266" s="242">
        <v>0</v>
      </c>
      <c r="D266" s="221">
        <f>'B) D RI'!AR267</f>
        <v>613</v>
      </c>
      <c r="E266" s="222">
        <f>'B) D RI'!S267</f>
        <v>60</v>
      </c>
      <c r="F266" s="10">
        <f>'B) D RI'!R267</f>
        <v>2629449.1366666667</v>
      </c>
      <c r="G266" s="10">
        <f>'B) D RI'!U267</f>
        <v>43824.152277777779</v>
      </c>
      <c r="H266" s="42">
        <f>'B) D RI'!T267</f>
        <v>2481507.0700000003</v>
      </c>
      <c r="I266" s="10">
        <f t="shared" si="50"/>
        <v>82716.902333333346</v>
      </c>
      <c r="J266" s="32">
        <f t="shared" si="46"/>
        <v>52546.838333371379</v>
      </c>
      <c r="K266" s="10">
        <f t="shared" si="47"/>
        <v>52546.838333371379</v>
      </c>
      <c r="L266" s="10">
        <f t="shared" si="51"/>
        <v>0</v>
      </c>
      <c r="M266" s="10">
        <f>'D) Ecrêtage'!M265</f>
        <v>41997.103540905235</v>
      </c>
      <c r="N266" s="10">
        <f t="shared" si="48"/>
        <v>52221.694605016637</v>
      </c>
      <c r="O266" s="58">
        <f t="shared" si="49"/>
        <v>104768.53293838802</v>
      </c>
    </row>
    <row r="267" spans="1:15" s="220" customFormat="1" x14ac:dyDescent="0.25">
      <c r="A267" s="320">
        <f>'A) Base RI'!A268</f>
        <v>5859</v>
      </c>
      <c r="B267" s="226" t="str">
        <f>'A) Base RI'!B268</f>
        <v>Mont-sur-Rolle</v>
      </c>
      <c r="C267" s="242">
        <v>0</v>
      </c>
      <c r="D267" s="221">
        <f>'B) D RI'!AR268</f>
        <v>2651</v>
      </c>
      <c r="E267" s="222">
        <f>'B) D RI'!S268</f>
        <v>65</v>
      </c>
      <c r="F267" s="10">
        <f>'B) D RI'!R268</f>
        <v>9289842.6100000013</v>
      </c>
      <c r="G267" s="10">
        <f>'B) D RI'!U268</f>
        <v>142920.65553846155</v>
      </c>
      <c r="H267" s="42">
        <f>'B) D RI'!T268</f>
        <v>8632296.8100000005</v>
      </c>
      <c r="I267" s="10">
        <f t="shared" si="50"/>
        <v>265609.13261538465</v>
      </c>
      <c r="J267" s="32">
        <f t="shared" si="46"/>
        <v>227245.78861626025</v>
      </c>
      <c r="K267" s="10">
        <f t="shared" si="47"/>
        <v>227245.78861626025</v>
      </c>
      <c r="L267" s="10">
        <f t="shared" si="51"/>
        <v>0</v>
      </c>
      <c r="M267" s="10">
        <f>'D) Ecrêtage'!M266</f>
        <v>142920.65553846155</v>
      </c>
      <c r="N267" s="10">
        <f t="shared" si="48"/>
        <v>177716.03746455521</v>
      </c>
      <c r="O267" s="58">
        <f t="shared" si="49"/>
        <v>404961.82608081546</v>
      </c>
    </row>
    <row r="268" spans="1:15" s="220" customFormat="1" x14ac:dyDescent="0.25">
      <c r="A268" s="320">
        <f>'A) Base RI'!A269</f>
        <v>5860</v>
      </c>
      <c r="B268" s="226" t="str">
        <f>'A) Base RI'!B269</f>
        <v>Perroy</v>
      </c>
      <c r="C268" s="242">
        <v>0</v>
      </c>
      <c r="D268" s="221">
        <f>'B) D RI'!AR269</f>
        <v>1542</v>
      </c>
      <c r="E268" s="222">
        <f>'B) D RI'!S269</f>
        <v>60</v>
      </c>
      <c r="F268" s="10">
        <f>'B) D RI'!R269</f>
        <v>5744376.8515384607</v>
      </c>
      <c r="G268" s="10">
        <f>'B) D RI'!U269</f>
        <v>95739.614192307679</v>
      </c>
      <c r="H268" s="42">
        <f>'B) D RI'!T269</f>
        <v>5233993.3399999989</v>
      </c>
      <c r="I268" s="10">
        <f t="shared" si="50"/>
        <v>174466.44466666662</v>
      </c>
      <c r="J268" s="32">
        <f t="shared" si="46"/>
        <v>132181.44324642525</v>
      </c>
      <c r="K268" s="10">
        <f t="shared" si="47"/>
        <v>132181.44324642525</v>
      </c>
      <c r="L268" s="10">
        <f t="shared" si="51"/>
        <v>0</v>
      </c>
      <c r="M268" s="10">
        <f>'D) Ecrêtage'!M267</f>
        <v>93915.344201922679</v>
      </c>
      <c r="N268" s="10">
        <f t="shared" si="48"/>
        <v>116779.92075955705</v>
      </c>
      <c r="O268" s="58">
        <f t="shared" si="49"/>
        <v>248961.36400598229</v>
      </c>
    </row>
    <row r="269" spans="1:15" s="220" customFormat="1" x14ac:dyDescent="0.25">
      <c r="A269" s="320">
        <f>'A) Base RI'!A270</f>
        <v>5861</v>
      </c>
      <c r="B269" s="226" t="str">
        <f>'A) Base RI'!B270</f>
        <v>Rolle</v>
      </c>
      <c r="C269" s="242">
        <v>0</v>
      </c>
      <c r="D269" s="221">
        <f>'B) D RI'!AR270</f>
        <v>6246</v>
      </c>
      <c r="E269" s="222">
        <f>'B) D RI'!S270</f>
        <v>59.5</v>
      </c>
      <c r="F269" s="10">
        <f>'B) D RI'!R270</f>
        <v>38914619.43999999</v>
      </c>
      <c r="G269" s="10">
        <f>'B) D RI'!U270</f>
        <v>654027.21747899149</v>
      </c>
      <c r="H269" s="42">
        <f>'B) D RI'!T270</f>
        <v>36855359.539999992</v>
      </c>
      <c r="I269" s="10">
        <f t="shared" si="50"/>
        <v>1238835.6147899157</v>
      </c>
      <c r="J269" s="32">
        <f t="shared" si="46"/>
        <v>535411.99385030614</v>
      </c>
      <c r="K269" s="10">
        <f t="shared" si="47"/>
        <v>535411.99385030614</v>
      </c>
      <c r="L269" s="10">
        <f t="shared" si="51"/>
        <v>0</v>
      </c>
      <c r="M269" s="10">
        <f>'D) Ecrêtage'!M268</f>
        <v>583882.08549392514</v>
      </c>
      <c r="N269" s="10">
        <f t="shared" si="48"/>
        <v>726033.68764003913</v>
      </c>
      <c r="O269" s="58">
        <f t="shared" si="49"/>
        <v>1261445.6814903454</v>
      </c>
    </row>
    <row r="270" spans="1:15" s="220" customFormat="1" x14ac:dyDescent="0.25">
      <c r="A270" s="320">
        <f>'A) Base RI'!A271</f>
        <v>5862</v>
      </c>
      <c r="B270" s="226" t="str">
        <f>'A) Base RI'!B271</f>
        <v>Tartegnin</v>
      </c>
      <c r="C270" s="242">
        <v>0</v>
      </c>
      <c r="D270" s="221">
        <f>'B) D RI'!AR271</f>
        <v>246</v>
      </c>
      <c r="E270" s="222">
        <f>'B) D RI'!S271</f>
        <v>81</v>
      </c>
      <c r="F270" s="10">
        <f>'B) D RI'!R271</f>
        <v>997129.3</v>
      </c>
      <c r="G270" s="10">
        <f>'B) D RI'!U271</f>
        <v>12310.23827160494</v>
      </c>
      <c r="H270" s="42">
        <f>'B) D RI'!T271</f>
        <v>947727.9</v>
      </c>
      <c r="I270" s="10">
        <f t="shared" si="50"/>
        <v>23400.68888888889</v>
      </c>
      <c r="J270" s="32">
        <f t="shared" si="46"/>
        <v>21087.311957600912</v>
      </c>
      <c r="K270" s="10">
        <f t="shared" si="47"/>
        <v>21087.311957600912</v>
      </c>
      <c r="L270" s="10">
        <f t="shared" si="51"/>
        <v>0</v>
      </c>
      <c r="M270" s="10">
        <f>'D) Ecrêtage'!M269</f>
        <v>12310.23827160494</v>
      </c>
      <c r="N270" s="10">
        <f t="shared" si="48"/>
        <v>15307.281915491934</v>
      </c>
      <c r="O270" s="58">
        <f t="shared" si="49"/>
        <v>36394.593873092846</v>
      </c>
    </row>
    <row r="271" spans="1:15" s="220" customFormat="1" x14ac:dyDescent="0.25">
      <c r="A271" s="320">
        <f>'A) Base RI'!A272</f>
        <v>5863</v>
      </c>
      <c r="B271" s="226" t="str">
        <f>'A) Base RI'!B272</f>
        <v>Vinzel</v>
      </c>
      <c r="C271" s="242">
        <v>0</v>
      </c>
      <c r="D271" s="221">
        <f>'B) D RI'!AR272</f>
        <v>358</v>
      </c>
      <c r="E271" s="222">
        <f>'B) D RI'!S272</f>
        <v>67</v>
      </c>
      <c r="F271" s="10">
        <f>'B) D RI'!R272</f>
        <v>1507432.2900000003</v>
      </c>
      <c r="G271" s="10">
        <f>'B) D RI'!U272</f>
        <v>22498.98940298508</v>
      </c>
      <c r="H271" s="42">
        <f>'B) D RI'!T272</f>
        <v>1425918.3900000004</v>
      </c>
      <c r="I271" s="10">
        <f t="shared" si="50"/>
        <v>42564.728059701505</v>
      </c>
      <c r="J271" s="32">
        <f t="shared" si="46"/>
        <v>30688.03935293141</v>
      </c>
      <c r="K271" s="10">
        <f t="shared" si="47"/>
        <v>30688.03935293141</v>
      </c>
      <c r="L271" s="10">
        <f t="shared" si="51"/>
        <v>0</v>
      </c>
      <c r="M271" s="10">
        <f>'D) Ecrêtage'!M270</f>
        <v>22026.585112000605</v>
      </c>
      <c r="N271" s="10">
        <f t="shared" si="48"/>
        <v>27389.16505967945</v>
      </c>
      <c r="O271" s="58">
        <f t="shared" si="49"/>
        <v>58077.204412610859</v>
      </c>
    </row>
    <row r="272" spans="1:15" s="220" customFormat="1" x14ac:dyDescent="0.25">
      <c r="A272" s="320">
        <f>'A) Base RI'!A273</f>
        <v>5871</v>
      </c>
      <c r="B272" s="226" t="str">
        <f>'A) Base RI'!B273</f>
        <v>L'Abbaye</v>
      </c>
      <c r="C272" s="242">
        <v>0</v>
      </c>
      <c r="D272" s="221">
        <f>'B) D RI'!AR273</f>
        <v>1481</v>
      </c>
      <c r="E272" s="222">
        <f>'B) D RI'!S273</f>
        <v>77.31</v>
      </c>
      <c r="F272" s="10">
        <f>'B) D RI'!R273</f>
        <v>3450182.3400000003</v>
      </c>
      <c r="G272" s="10">
        <f>'B) D RI'!U273</f>
        <v>44627.892122623205</v>
      </c>
      <c r="H272" s="42">
        <f>'B) D RI'!T273</f>
        <v>3196439.24</v>
      </c>
      <c r="I272" s="10">
        <f t="shared" si="50"/>
        <v>82691.482085111886</v>
      </c>
      <c r="J272" s="32">
        <f t="shared" si="46"/>
        <v>126952.47564718273</v>
      </c>
      <c r="K272" s="10">
        <f t="shared" si="47"/>
        <v>82691.482085111886</v>
      </c>
      <c r="L272" s="10">
        <f t="shared" si="51"/>
        <v>44260.993562070842</v>
      </c>
      <c r="M272" s="10">
        <f>'D) Ecrêtage'!M271</f>
        <v>44627.892122623205</v>
      </c>
      <c r="N272" s="10">
        <f t="shared" si="48"/>
        <v>55492.97348621444</v>
      </c>
      <c r="O272" s="58">
        <f t="shared" si="49"/>
        <v>138184.45557132631</v>
      </c>
    </row>
    <row r="273" spans="1:15" s="220" customFormat="1" x14ac:dyDescent="0.25">
      <c r="A273" s="320">
        <f>'A) Base RI'!A274</f>
        <v>5872</v>
      </c>
      <c r="B273" s="226" t="str">
        <f>'A) Base RI'!B274</f>
        <v>Le Chenit</v>
      </c>
      <c r="C273" s="242">
        <v>0</v>
      </c>
      <c r="D273" s="221">
        <f>'B) D RI'!AR274</f>
        <v>4605</v>
      </c>
      <c r="E273" s="222">
        <f>'B) D RI'!S274</f>
        <v>68.12</v>
      </c>
      <c r="F273" s="10">
        <f>'B) D RI'!R274</f>
        <v>13341648.647142857</v>
      </c>
      <c r="G273" s="10">
        <f>'B) D RI'!U274</f>
        <v>195855.08877191509</v>
      </c>
      <c r="H273" s="42">
        <f>'B) D RI'!T274</f>
        <v>12593018.49</v>
      </c>
      <c r="I273" s="10">
        <f t="shared" si="50"/>
        <v>369730.43129770993</v>
      </c>
      <c r="J273" s="32">
        <f t="shared" si="46"/>
        <v>394744.19335265126</v>
      </c>
      <c r="K273" s="10">
        <f t="shared" si="47"/>
        <v>369730.43129770993</v>
      </c>
      <c r="L273" s="10">
        <f t="shared" si="51"/>
        <v>25013.762054941326</v>
      </c>
      <c r="M273" s="10">
        <f>'D) Ecrêtage'!M272</f>
        <v>195855.08877191509</v>
      </c>
      <c r="N273" s="10">
        <f t="shared" si="48"/>
        <v>243537.85786020695</v>
      </c>
      <c r="O273" s="58">
        <f t="shared" si="49"/>
        <v>613268.28915791691</v>
      </c>
    </row>
    <row r="274" spans="1:15" s="220" customFormat="1" x14ac:dyDescent="0.25">
      <c r="A274" s="320">
        <f>'A) Base RI'!A275</f>
        <v>5873</v>
      </c>
      <c r="B274" s="226" t="str">
        <f>'A) Base RI'!B275</f>
        <v>Le Lieu</v>
      </c>
      <c r="C274" s="242">
        <v>0</v>
      </c>
      <c r="D274" s="221">
        <f>'B) D RI'!AR275</f>
        <v>875</v>
      </c>
      <c r="E274" s="222">
        <f>'B) D RI'!S275</f>
        <v>70</v>
      </c>
      <c r="F274" s="10">
        <f>'B) D RI'!R275</f>
        <v>2216426.5166666666</v>
      </c>
      <c r="G274" s="10">
        <f>'B) D RI'!U275</f>
        <v>31663.23595238095</v>
      </c>
      <c r="H274" s="42">
        <f>'B) D RI'!T275</f>
        <v>2076198.85</v>
      </c>
      <c r="I274" s="10">
        <f t="shared" si="50"/>
        <v>59319.967142857146</v>
      </c>
      <c r="J274" s="32">
        <f t="shared" si="46"/>
        <v>75005.682776019516</v>
      </c>
      <c r="K274" s="10">
        <f t="shared" si="47"/>
        <v>59319.967142857146</v>
      </c>
      <c r="L274" s="10">
        <f t="shared" si="51"/>
        <v>15685.71563316237</v>
      </c>
      <c r="M274" s="10">
        <f>'D) Ecrêtage'!M273</f>
        <v>31663.23595238095</v>
      </c>
      <c r="N274" s="10">
        <f t="shared" si="48"/>
        <v>39371.949460783697</v>
      </c>
      <c r="O274" s="58">
        <f t="shared" si="49"/>
        <v>98691.916603640842</v>
      </c>
    </row>
    <row r="275" spans="1:15" s="220" customFormat="1" x14ac:dyDescent="0.25">
      <c r="A275" s="320">
        <f>'A) Base RI'!A276</f>
        <v>5881</v>
      </c>
      <c r="B275" s="226" t="str">
        <f>'A) Base RI'!B276</f>
        <v>Blonay</v>
      </c>
      <c r="C275" s="242">
        <v>1</v>
      </c>
      <c r="D275" s="221">
        <f>'B) D RI'!AR276</f>
        <v>6175</v>
      </c>
      <c r="E275" s="222">
        <f>'B) D RI'!S276</f>
        <v>70</v>
      </c>
      <c r="F275" s="10">
        <f>'B) D RI'!R276</f>
        <v>23343007.019999996</v>
      </c>
      <c r="G275" s="10">
        <f>'B) D RI'!U276</f>
        <v>333471.52885714278</v>
      </c>
      <c r="H275" s="42">
        <f>'B) D RI'!T276</f>
        <v>21635772.669999998</v>
      </c>
      <c r="I275" s="10">
        <f t="shared" si="50"/>
        <v>618164.93342857133</v>
      </c>
      <c r="J275" s="32">
        <f t="shared" si="46"/>
        <v>529325.81844790909</v>
      </c>
      <c r="K275" s="10">
        <f t="shared" si="47"/>
        <v>0</v>
      </c>
      <c r="L275" s="10">
        <f t="shared" si="51"/>
        <v>529325.81844790909</v>
      </c>
      <c r="M275" s="10">
        <f>'D) Ecrêtage'!M274</f>
        <v>333471.52885714278</v>
      </c>
      <c r="N275" s="10">
        <f t="shared" si="48"/>
        <v>414658.31857866119</v>
      </c>
      <c r="O275" s="58">
        <f t="shared" si="49"/>
        <v>414658.31857866119</v>
      </c>
    </row>
    <row r="276" spans="1:15" s="220" customFormat="1" x14ac:dyDescent="0.25">
      <c r="A276" s="320">
        <f>'A) Base RI'!A277</f>
        <v>5882</v>
      </c>
      <c r="B276" s="226" t="str">
        <f>'A) Base RI'!B277</f>
        <v>Chardonne</v>
      </c>
      <c r="C276" s="242">
        <v>1</v>
      </c>
      <c r="D276" s="221">
        <f>'B) D RI'!AR277</f>
        <v>2941</v>
      </c>
      <c r="E276" s="222">
        <f>'B) D RI'!S277</f>
        <v>68</v>
      </c>
      <c r="F276" s="10">
        <f>'B) D RI'!R277</f>
        <v>10976538.32</v>
      </c>
      <c r="G276" s="10">
        <f>'B) D RI'!U277</f>
        <v>161419.68117647059</v>
      </c>
      <c r="H276" s="42">
        <f>'B) D RI'!T277</f>
        <v>10063616.84</v>
      </c>
      <c r="I276" s="10">
        <f t="shared" si="50"/>
        <v>295988.73058823531</v>
      </c>
      <c r="J276" s="32">
        <f t="shared" si="46"/>
        <v>252104.81490774101</v>
      </c>
      <c r="K276" s="10">
        <f t="shared" si="47"/>
        <v>0</v>
      </c>
      <c r="L276" s="10">
        <f t="shared" si="51"/>
        <v>252104.81490774101</v>
      </c>
      <c r="M276" s="10">
        <f>'D) Ecrêtage'!M275</f>
        <v>161419.68117647059</v>
      </c>
      <c r="N276" s="10">
        <f t="shared" si="48"/>
        <v>200718.82541676593</v>
      </c>
      <c r="O276" s="58">
        <f t="shared" si="49"/>
        <v>200718.82541676593</v>
      </c>
    </row>
    <row r="277" spans="1:15" s="220" customFormat="1" x14ac:dyDescent="0.25">
      <c r="A277" s="320">
        <f>'A) Base RI'!A278</f>
        <v>5883</v>
      </c>
      <c r="B277" s="226" t="str">
        <f>'A) Base RI'!B278</f>
        <v>Corseaux</v>
      </c>
      <c r="C277" s="242">
        <v>1</v>
      </c>
      <c r="D277" s="221">
        <f>'B) D RI'!AR278</f>
        <v>2282</v>
      </c>
      <c r="E277" s="222">
        <f>'B) D RI'!S278</f>
        <v>69</v>
      </c>
      <c r="F277" s="10">
        <f>'B) D RI'!R278</f>
        <v>10788825.73</v>
      </c>
      <c r="G277" s="10">
        <f>'B) D RI'!U278</f>
        <v>156359.79318840581</v>
      </c>
      <c r="H277" s="42">
        <f>'B) D RI'!T278</f>
        <v>10124298.08</v>
      </c>
      <c r="I277" s="10">
        <f t="shared" si="50"/>
        <v>293457.91536231886</v>
      </c>
      <c r="J277" s="32">
        <f t="shared" ref="J277:J308" si="52">+$I$315/$D$315*D277</f>
        <v>195614.82067985888</v>
      </c>
      <c r="K277" s="10">
        <f t="shared" si="47"/>
        <v>0</v>
      </c>
      <c r="L277" s="10">
        <f t="shared" si="51"/>
        <v>195614.82067985888</v>
      </c>
      <c r="M277" s="10">
        <f>'D) Ecrêtage'!M276</f>
        <v>151018.5452053966</v>
      </c>
      <c r="N277" s="10">
        <f t="shared" si="48"/>
        <v>187785.43476763138</v>
      </c>
      <c r="O277" s="58">
        <f t="shared" si="49"/>
        <v>187785.43476763138</v>
      </c>
    </row>
    <row r="278" spans="1:15" s="220" customFormat="1" x14ac:dyDescent="0.25">
      <c r="A278" s="320">
        <f>'A) Base RI'!A279</f>
        <v>5884</v>
      </c>
      <c r="B278" s="226" t="str">
        <f>'A) Base RI'!B279</f>
        <v>Corsier-sur-Vevey</v>
      </c>
      <c r="C278" s="242">
        <v>1</v>
      </c>
      <c r="D278" s="221">
        <f>'B) D RI'!AR279</f>
        <v>3386</v>
      </c>
      <c r="E278" s="222">
        <f>'B) D RI'!S279</f>
        <v>66</v>
      </c>
      <c r="F278" s="10">
        <f>'B) D RI'!R279</f>
        <v>7861328.3933333335</v>
      </c>
      <c r="G278" s="10">
        <f>'B) D RI'!U279</f>
        <v>119111.03626262626</v>
      </c>
      <c r="H278" s="42">
        <f>'B) D RI'!T279</f>
        <v>6779525.6600000001</v>
      </c>
      <c r="I278" s="10">
        <f t="shared" si="50"/>
        <v>205440.17151515151</v>
      </c>
      <c r="J278" s="32">
        <f t="shared" si="52"/>
        <v>290250.56214811665</v>
      </c>
      <c r="K278" s="10">
        <f t="shared" si="47"/>
        <v>0</v>
      </c>
      <c r="L278" s="10">
        <f t="shared" si="51"/>
        <v>290250.56214811665</v>
      </c>
      <c r="M278" s="10">
        <f>'D) Ecrêtage'!M277</f>
        <v>119111.03626262626</v>
      </c>
      <c r="N278" s="10">
        <f t="shared" si="48"/>
        <v>148109.74175243935</v>
      </c>
      <c r="O278" s="58">
        <f t="shared" si="49"/>
        <v>148109.74175243935</v>
      </c>
    </row>
    <row r="279" spans="1:15" s="220" customFormat="1" x14ac:dyDescent="0.25">
      <c r="A279" s="320">
        <f>'A) Base RI'!A280</f>
        <v>5885</v>
      </c>
      <c r="B279" s="226" t="str">
        <f>'A) Base RI'!B280</f>
        <v>Jongny</v>
      </c>
      <c r="C279" s="242">
        <v>1</v>
      </c>
      <c r="D279" s="221">
        <f>'B) D RI'!AR280</f>
        <v>1536</v>
      </c>
      <c r="E279" s="222">
        <f>'B) D RI'!S280</f>
        <v>71</v>
      </c>
      <c r="F279" s="10">
        <f>'B) D RI'!R280</f>
        <v>5950187.7783333333</v>
      </c>
      <c r="G279" s="10">
        <f>'B) D RI'!U280</f>
        <v>83805.46166666667</v>
      </c>
      <c r="H279" s="42">
        <f>'B) D RI'!T280</f>
        <v>5541361.5200000005</v>
      </c>
      <c r="I279" s="10">
        <f t="shared" si="50"/>
        <v>156094.69070422536</v>
      </c>
      <c r="J279" s="32">
        <f t="shared" si="52"/>
        <v>131667.11856453255</v>
      </c>
      <c r="K279" s="10">
        <f t="shared" si="47"/>
        <v>0</v>
      </c>
      <c r="L279" s="10">
        <f t="shared" si="51"/>
        <v>131667.11856453255</v>
      </c>
      <c r="M279" s="10">
        <f>'D) Ecrêtage'!M278</f>
        <v>83805.46166666667</v>
      </c>
      <c r="N279" s="10">
        <f t="shared" si="48"/>
        <v>104208.69194291969</v>
      </c>
      <c r="O279" s="58">
        <f t="shared" si="49"/>
        <v>104208.69194291969</v>
      </c>
    </row>
    <row r="280" spans="1:15" s="220" customFormat="1" x14ac:dyDescent="0.25">
      <c r="A280" s="320">
        <f>'A) Base RI'!A281</f>
        <v>5886</v>
      </c>
      <c r="B280" s="226" t="str">
        <f>'A) Base RI'!B281</f>
        <v>Montreux</v>
      </c>
      <c r="C280" s="242">
        <v>1</v>
      </c>
      <c r="D280" s="221">
        <f>'B) D RI'!AR281</f>
        <v>26006</v>
      </c>
      <c r="E280" s="222">
        <f>'B) D RI'!S281</f>
        <v>65</v>
      </c>
      <c r="F280" s="10">
        <f>'B) D RI'!R281</f>
        <v>72861698.420000002</v>
      </c>
      <c r="G280" s="10">
        <f>'B) D RI'!U281</f>
        <v>1120949.2064615386</v>
      </c>
      <c r="H280" s="42">
        <f>'B) D RI'!T281</f>
        <v>65324734.890000008</v>
      </c>
      <c r="I280" s="10">
        <f t="shared" si="50"/>
        <v>2009991.8427692309</v>
      </c>
      <c r="J280" s="32">
        <f t="shared" si="52"/>
        <v>2229254.6128836153</v>
      </c>
      <c r="K280" s="10">
        <f t="shared" si="47"/>
        <v>0</v>
      </c>
      <c r="L280" s="10">
        <f t="shared" si="51"/>
        <v>2229254.6128836153</v>
      </c>
      <c r="M280" s="10">
        <f>'D) Ecrêtage'!M279</f>
        <v>1120949.2064615386</v>
      </c>
      <c r="N280" s="10">
        <f t="shared" si="48"/>
        <v>1393854.8659803229</v>
      </c>
      <c r="O280" s="58">
        <f t="shared" si="49"/>
        <v>1393854.8659803229</v>
      </c>
    </row>
    <row r="281" spans="1:15" s="220" customFormat="1" x14ac:dyDescent="0.25">
      <c r="A281" s="320">
        <f>'A) Base RI'!A282</f>
        <v>5888</v>
      </c>
      <c r="B281" s="226" t="str">
        <f>'A) Base RI'!B282</f>
        <v>Saint-Légier-La Chiésaz</v>
      </c>
      <c r="C281" s="242">
        <v>1</v>
      </c>
      <c r="D281" s="221">
        <f>'B) D RI'!AR282</f>
        <v>5185</v>
      </c>
      <c r="E281" s="222">
        <f>'B) D RI'!S282</f>
        <v>70</v>
      </c>
      <c r="F281" s="10">
        <f>'B) D RI'!R282</f>
        <v>22310360.125</v>
      </c>
      <c r="G281" s="10">
        <f>'B) D RI'!U282</f>
        <v>318719.43035714288</v>
      </c>
      <c r="H281" s="42">
        <f>'B) D RI'!T282</f>
        <v>20751173.100000001</v>
      </c>
      <c r="I281" s="10">
        <f t="shared" si="50"/>
        <v>592890.66</v>
      </c>
      <c r="J281" s="32">
        <f t="shared" si="52"/>
        <v>444462.24593561277</v>
      </c>
      <c r="K281" s="10">
        <f t="shared" si="47"/>
        <v>0</v>
      </c>
      <c r="L281" s="10">
        <f t="shared" si="51"/>
        <v>444462.24593561277</v>
      </c>
      <c r="M281" s="10">
        <f>'D) Ecrêtage'!M280</f>
        <v>313162.47635948134</v>
      </c>
      <c r="N281" s="10">
        <f t="shared" si="48"/>
        <v>389404.83565174631</v>
      </c>
      <c r="O281" s="58">
        <f t="shared" si="49"/>
        <v>389404.83565174631</v>
      </c>
    </row>
    <row r="282" spans="1:15" s="220" customFormat="1" x14ac:dyDescent="0.25">
      <c r="A282" s="320">
        <f>'A) Base RI'!A283</f>
        <v>5889</v>
      </c>
      <c r="B282" s="226" t="str">
        <f>'A) Base RI'!B283</f>
        <v>La Tour-de-Peilz</v>
      </c>
      <c r="C282" s="242">
        <v>1</v>
      </c>
      <c r="D282" s="221">
        <f>'B) D RI'!AR283</f>
        <v>11871</v>
      </c>
      <c r="E282" s="222">
        <f>'B) D RI'!S283</f>
        <v>64</v>
      </c>
      <c r="F282" s="10">
        <f>'B) D RI'!R283</f>
        <v>41317763.120000005</v>
      </c>
      <c r="G282" s="10">
        <f>'B) D RI'!U283</f>
        <v>645590.04875000007</v>
      </c>
      <c r="H282" s="42">
        <f>'B) D RI'!T283</f>
        <v>38879140.920000002</v>
      </c>
      <c r="I282" s="10">
        <f t="shared" si="50"/>
        <v>1214973.1537500001</v>
      </c>
      <c r="J282" s="32">
        <f t="shared" si="52"/>
        <v>1017591.3831247173</v>
      </c>
      <c r="K282" s="10">
        <f t="shared" si="47"/>
        <v>0</v>
      </c>
      <c r="L282" s="10">
        <f t="shared" si="51"/>
        <v>1017591.3831247173</v>
      </c>
      <c r="M282" s="10">
        <f>'D) Ecrêtage'!M281</f>
        <v>645590.04875000007</v>
      </c>
      <c r="N282" s="10">
        <f t="shared" si="48"/>
        <v>802765.03671313939</v>
      </c>
      <c r="O282" s="58">
        <f t="shared" si="49"/>
        <v>802765.03671313939</v>
      </c>
    </row>
    <row r="283" spans="1:15" s="220" customFormat="1" x14ac:dyDescent="0.25">
      <c r="A283" s="320">
        <f>'A) Base RI'!A284</f>
        <v>5890</v>
      </c>
      <c r="B283" s="226" t="str">
        <f>'A) Base RI'!B284</f>
        <v>Vevey</v>
      </c>
      <c r="C283" s="242">
        <v>1</v>
      </c>
      <c r="D283" s="221">
        <f>'B) D RI'!AR284</f>
        <v>19904</v>
      </c>
      <c r="E283" s="222">
        <f>'B) D RI'!S284</f>
        <v>76</v>
      </c>
      <c r="F283" s="10">
        <f>'B) D RI'!R284</f>
        <v>70209977.299999997</v>
      </c>
      <c r="G283" s="10">
        <f>'B) D RI'!U284</f>
        <v>923815.49078947364</v>
      </c>
      <c r="H283" s="42">
        <f>'B) D RI'!T284</f>
        <v>66280835.399999999</v>
      </c>
      <c r="I283" s="10">
        <f t="shared" si="50"/>
        <v>1744232.5105263158</v>
      </c>
      <c r="J283" s="32">
        <f t="shared" si="52"/>
        <v>1706186.411398734</v>
      </c>
      <c r="K283" s="10">
        <f t="shared" si="47"/>
        <v>0</v>
      </c>
      <c r="L283" s="10">
        <f t="shared" si="51"/>
        <v>1706186.411398734</v>
      </c>
      <c r="M283" s="10">
        <f>'D) Ecrêtage'!M282</f>
        <v>923815.49078947364</v>
      </c>
      <c r="N283" s="10">
        <f t="shared" si="48"/>
        <v>1148727.0874383636</v>
      </c>
      <c r="O283" s="58">
        <f t="shared" si="49"/>
        <v>1148727.0874383636</v>
      </c>
    </row>
    <row r="284" spans="1:15" s="220" customFormat="1" x14ac:dyDescent="0.25">
      <c r="A284" s="320">
        <f>'A) Base RI'!A285</f>
        <v>5891</v>
      </c>
      <c r="B284" s="226" t="str">
        <f>'A) Base RI'!B285</f>
        <v>Veytaux</v>
      </c>
      <c r="C284" s="242">
        <v>1</v>
      </c>
      <c r="D284" s="221">
        <f>'B) D RI'!AR285</f>
        <v>884</v>
      </c>
      <c r="E284" s="222">
        <f>'B) D RI'!S285</f>
        <v>71</v>
      </c>
      <c r="F284" s="10">
        <f>'B) D RI'!R285</f>
        <v>2660244.27</v>
      </c>
      <c r="G284" s="10">
        <f>'B) D RI'!U285</f>
        <v>37468.229154929577</v>
      </c>
      <c r="H284" s="42">
        <f>'B) D RI'!T285</f>
        <v>2380883.0699999998</v>
      </c>
      <c r="I284" s="10">
        <f t="shared" si="50"/>
        <v>67067.128732394354</v>
      </c>
      <c r="J284" s="32">
        <f t="shared" si="52"/>
        <v>75777.169798858566</v>
      </c>
      <c r="K284" s="10">
        <f t="shared" si="47"/>
        <v>0</v>
      </c>
      <c r="L284" s="10">
        <f t="shared" si="51"/>
        <v>75777.169798858566</v>
      </c>
      <c r="M284" s="10">
        <f>'D) Ecrêtage'!M283</f>
        <v>37468.229154929577</v>
      </c>
      <c r="N284" s="10">
        <f t="shared" si="48"/>
        <v>46590.223023683735</v>
      </c>
      <c r="O284" s="58">
        <f t="shared" si="49"/>
        <v>46590.223023683735</v>
      </c>
    </row>
    <row r="285" spans="1:15" s="220" customFormat="1" x14ac:dyDescent="0.25">
      <c r="A285" s="320">
        <f>'A) Base RI'!A286</f>
        <v>5902</v>
      </c>
      <c r="B285" s="226" t="str">
        <f>'A) Base RI'!B286</f>
        <v>Belmont-sur-Yverdon</v>
      </c>
      <c r="C285" s="242">
        <v>0</v>
      </c>
      <c r="D285" s="221">
        <f>'B) D RI'!AR286</f>
        <v>384</v>
      </c>
      <c r="E285" s="222">
        <f>'B) D RI'!S286</f>
        <v>76</v>
      </c>
      <c r="F285" s="10">
        <f>'B) D RI'!R286</f>
        <v>784506.39000000013</v>
      </c>
      <c r="G285" s="10">
        <f>'B) D RI'!U286</f>
        <v>10322.452500000001</v>
      </c>
      <c r="H285" s="42">
        <f>'B) D RI'!T286</f>
        <v>728829.49000000011</v>
      </c>
      <c r="I285" s="10">
        <f t="shared" si="50"/>
        <v>19179.723421052633</v>
      </c>
      <c r="J285" s="32">
        <f t="shared" si="52"/>
        <v>32916.779641133136</v>
      </c>
      <c r="K285" s="10">
        <f t="shared" si="47"/>
        <v>19179.723421052633</v>
      </c>
      <c r="L285" s="10">
        <f t="shared" si="51"/>
        <v>13737.056220080503</v>
      </c>
      <c r="M285" s="10">
        <f>'D) Ecrêtage'!M284</f>
        <v>10322.452500000001</v>
      </c>
      <c r="N285" s="10">
        <f t="shared" si="48"/>
        <v>12835.550944715731</v>
      </c>
      <c r="O285" s="58">
        <f t="shared" si="49"/>
        <v>32015.274365768364</v>
      </c>
    </row>
    <row r="286" spans="1:15" s="220" customFormat="1" x14ac:dyDescent="0.25">
      <c r="A286" s="320">
        <f>'A) Base RI'!A287</f>
        <v>5903</v>
      </c>
      <c r="B286" s="226" t="str">
        <f>'A) Base RI'!B287</f>
        <v>Bioley-Magnoux</v>
      </c>
      <c r="C286" s="242">
        <v>0</v>
      </c>
      <c r="D286" s="221">
        <f>'B) D RI'!AR287</f>
        <v>225</v>
      </c>
      <c r="E286" s="222">
        <f>'B) D RI'!S287</f>
        <v>74</v>
      </c>
      <c r="F286" s="10">
        <f>'B) D RI'!R287</f>
        <v>406476.10142857145</v>
      </c>
      <c r="G286" s="10">
        <f>'B) D RI'!U287</f>
        <v>5492.9202895752896</v>
      </c>
      <c r="H286" s="42">
        <f>'B) D RI'!T287</f>
        <v>369835.03</v>
      </c>
      <c r="I286" s="10">
        <f t="shared" si="50"/>
        <v>9995.5413513513522</v>
      </c>
      <c r="J286" s="32">
        <f t="shared" si="52"/>
        <v>19287.175570976444</v>
      </c>
      <c r="K286" s="10">
        <f t="shared" si="47"/>
        <v>9995.5413513513522</v>
      </c>
      <c r="L286" s="10">
        <f t="shared" si="51"/>
        <v>9291.6342196250916</v>
      </c>
      <c r="M286" s="10">
        <f>'D) Ecrêtage'!M285</f>
        <v>5492.9202895752896</v>
      </c>
      <c r="N286" s="10">
        <f t="shared" si="48"/>
        <v>6830.223555119901</v>
      </c>
      <c r="O286" s="58">
        <f t="shared" si="49"/>
        <v>16825.764906471253</v>
      </c>
    </row>
    <row r="287" spans="1:15" s="220" customFormat="1" x14ac:dyDescent="0.25">
      <c r="A287" s="320">
        <f>'A) Base RI'!A288</f>
        <v>5904</v>
      </c>
      <c r="B287" s="226" t="str">
        <f>'A) Base RI'!B288</f>
        <v>Chamblon</v>
      </c>
      <c r="C287" s="242">
        <v>1</v>
      </c>
      <c r="D287" s="221">
        <f>'B) D RI'!AR288</f>
        <v>542</v>
      </c>
      <c r="E287" s="222">
        <f>'B) D RI'!S288</f>
        <v>66</v>
      </c>
      <c r="F287" s="10">
        <f>'B) D RI'!R288</f>
        <v>1322723.9700000002</v>
      </c>
      <c r="G287" s="10">
        <f>'B) D RI'!U288</f>
        <v>20041.272272727278</v>
      </c>
      <c r="H287" s="42">
        <f>'B) D RI'!T288</f>
        <v>1225289.8200000003</v>
      </c>
      <c r="I287" s="10">
        <f t="shared" ref="I287:I314" si="53">+H287/E287*$I$5</f>
        <v>37129.994545454552</v>
      </c>
      <c r="J287" s="32">
        <f t="shared" si="52"/>
        <v>46460.662930974373</v>
      </c>
      <c r="K287" s="10">
        <f t="shared" si="47"/>
        <v>0</v>
      </c>
      <c r="L287" s="10">
        <f t="shared" si="51"/>
        <v>46460.662930974373</v>
      </c>
      <c r="M287" s="10">
        <f>'D) Ecrêtage'!M286</f>
        <v>20041.272272727278</v>
      </c>
      <c r="N287" s="10">
        <f t="shared" si="48"/>
        <v>24920.50907994101</v>
      </c>
      <c r="O287" s="58">
        <f t="shared" si="49"/>
        <v>24920.50907994101</v>
      </c>
    </row>
    <row r="288" spans="1:15" s="220" customFormat="1" x14ac:dyDescent="0.25">
      <c r="A288" s="320">
        <f>'A) Base RI'!A289</f>
        <v>5905</v>
      </c>
      <c r="B288" s="226" t="str">
        <f>'A) Base RI'!B289</f>
        <v>Champvent</v>
      </c>
      <c r="C288" s="242">
        <v>0</v>
      </c>
      <c r="D288" s="221">
        <f>'B) D RI'!AR289</f>
        <v>685</v>
      </c>
      <c r="E288" s="222">
        <f>'B) D RI'!S289</f>
        <v>71</v>
      </c>
      <c r="F288" s="10">
        <f>'B) D RI'!R289</f>
        <v>1711268.23</v>
      </c>
      <c r="G288" s="10">
        <f>'B) D RI'!U289</f>
        <v>24102.36943661972</v>
      </c>
      <c r="H288" s="42">
        <f>'B) D RI'!T289</f>
        <v>1611695.53</v>
      </c>
      <c r="I288" s="10">
        <f t="shared" si="53"/>
        <v>45399.874084507042</v>
      </c>
      <c r="J288" s="32">
        <f t="shared" si="52"/>
        <v>58718.734516083845</v>
      </c>
      <c r="K288" s="10">
        <f t="shared" si="47"/>
        <v>45399.874084507042</v>
      </c>
      <c r="L288" s="10">
        <f t="shared" si="51"/>
        <v>13318.860431576803</v>
      </c>
      <c r="M288" s="10">
        <f>'D) Ecrêtage'!M287</f>
        <v>24102.36943661972</v>
      </c>
      <c r="N288" s="10">
        <f t="shared" si="48"/>
        <v>29970.318661392896</v>
      </c>
      <c r="O288" s="58">
        <f t="shared" si="49"/>
        <v>75370.192745899942</v>
      </c>
    </row>
    <row r="289" spans="1:15" s="220" customFormat="1" x14ac:dyDescent="0.25">
      <c r="A289" s="320">
        <f>'A) Base RI'!A290</f>
        <v>5907</v>
      </c>
      <c r="B289" s="226" t="str">
        <f>'A) Base RI'!B290</f>
        <v>Chavannes-le-Chêne</v>
      </c>
      <c r="C289" s="242">
        <v>0</v>
      </c>
      <c r="D289" s="221">
        <f>'B) D RI'!AR290</f>
        <v>308</v>
      </c>
      <c r="E289" s="222">
        <f>'B) D RI'!S290</f>
        <v>78</v>
      </c>
      <c r="F289" s="10">
        <f>'B) D RI'!R290</f>
        <v>629543.5299999998</v>
      </c>
      <c r="G289" s="10">
        <f>'B) D RI'!U290</f>
        <v>8071.0708974358949</v>
      </c>
      <c r="H289" s="42">
        <f>'B) D RI'!T290</f>
        <v>585758.82999999984</v>
      </c>
      <c r="I289" s="10">
        <f t="shared" si="53"/>
        <v>15019.457179487175</v>
      </c>
      <c r="J289" s="32">
        <f t="shared" si="52"/>
        <v>26402.000337158868</v>
      </c>
      <c r="K289" s="10">
        <f t="shared" si="47"/>
        <v>15019.457179487175</v>
      </c>
      <c r="L289" s="10">
        <f t="shared" si="51"/>
        <v>11382.543157671693</v>
      </c>
      <c r="M289" s="10">
        <f>'D) Ecrêtage'!M288</f>
        <v>8071.0708974358949</v>
      </c>
      <c r="N289" s="10">
        <f t="shared" si="48"/>
        <v>10036.049251130091</v>
      </c>
      <c r="O289" s="58">
        <f t="shared" si="49"/>
        <v>25055.506430617264</v>
      </c>
    </row>
    <row r="290" spans="1:15" s="220" customFormat="1" x14ac:dyDescent="0.25">
      <c r="A290" s="320">
        <f>'A) Base RI'!A291</f>
        <v>5908</v>
      </c>
      <c r="B290" s="226" t="str">
        <f>'A) Base RI'!B291</f>
        <v>Chêne-Pâquier</v>
      </c>
      <c r="C290" s="242">
        <v>0</v>
      </c>
      <c r="D290" s="221">
        <f>'B) D RI'!AR291</f>
        <v>141</v>
      </c>
      <c r="E290" s="222">
        <f>'B) D RI'!S291</f>
        <v>79</v>
      </c>
      <c r="F290" s="10">
        <f>'B) D RI'!R291</f>
        <v>246920.81999999998</v>
      </c>
      <c r="G290" s="10">
        <f>'B) D RI'!U291</f>
        <v>3125.58</v>
      </c>
      <c r="H290" s="42">
        <f>'B) D RI'!T291</f>
        <v>230523.31999999998</v>
      </c>
      <c r="I290" s="10">
        <f t="shared" si="53"/>
        <v>5836.0334177215182</v>
      </c>
      <c r="J290" s="32">
        <f t="shared" si="52"/>
        <v>12086.630024478573</v>
      </c>
      <c r="K290" s="10">
        <f t="shared" si="47"/>
        <v>5836.0334177215182</v>
      </c>
      <c r="L290" s="10">
        <f t="shared" si="51"/>
        <v>6250.5966067570544</v>
      </c>
      <c r="M290" s="10">
        <f>'D) Ecrêtage'!M289</f>
        <v>3125.58</v>
      </c>
      <c r="N290" s="10">
        <f t="shared" si="48"/>
        <v>3886.5319381982708</v>
      </c>
      <c r="O290" s="58">
        <f t="shared" si="49"/>
        <v>9722.565355919789</v>
      </c>
    </row>
    <row r="291" spans="1:15" s="220" customFormat="1" x14ac:dyDescent="0.25">
      <c r="A291" s="320">
        <f>'A) Base RI'!A292</f>
        <v>5909</v>
      </c>
      <c r="B291" s="226" t="str">
        <f>'A) Base RI'!B292</f>
        <v>Cheseaux-Noréaz</v>
      </c>
      <c r="C291" s="242">
        <v>1</v>
      </c>
      <c r="D291" s="221">
        <f>'B) D RI'!AR292</f>
        <v>721</v>
      </c>
      <c r="E291" s="222">
        <f>'B) D RI'!S292</f>
        <v>70</v>
      </c>
      <c r="F291" s="10">
        <f>'B) D RI'!R292</f>
        <v>2293433.3400000003</v>
      </c>
      <c r="G291" s="10">
        <f>'B) D RI'!U292</f>
        <v>32763.333428571434</v>
      </c>
      <c r="H291" s="42">
        <f>'B) D RI'!T292</f>
        <v>2130048.39</v>
      </c>
      <c r="I291" s="10">
        <f t="shared" si="53"/>
        <v>60858.525428571433</v>
      </c>
      <c r="J291" s="32">
        <f t="shared" si="52"/>
        <v>61804.682607440074</v>
      </c>
      <c r="K291" s="10">
        <f t="shared" si="47"/>
        <v>0</v>
      </c>
      <c r="L291" s="10">
        <f t="shared" si="51"/>
        <v>61804.682607440074</v>
      </c>
      <c r="M291" s="10">
        <f>'D) Ecrêtage'!M290</f>
        <v>32763.333428571434</v>
      </c>
      <c r="N291" s="10">
        <f t="shared" si="48"/>
        <v>40739.876046040074</v>
      </c>
      <c r="O291" s="58">
        <f t="shared" si="49"/>
        <v>40739.876046040074</v>
      </c>
    </row>
    <row r="292" spans="1:15" s="220" customFormat="1" x14ac:dyDescent="0.25">
      <c r="A292" s="320">
        <f>'A) Base RI'!A293</f>
        <v>5910</v>
      </c>
      <c r="B292" s="226" t="str">
        <f>'A) Base RI'!B293</f>
        <v>Cronay</v>
      </c>
      <c r="C292" s="242">
        <v>0</v>
      </c>
      <c r="D292" s="221">
        <f>'B) D RI'!AR293</f>
        <v>385</v>
      </c>
      <c r="E292" s="222">
        <f>'B) D RI'!S293</f>
        <v>79</v>
      </c>
      <c r="F292" s="10">
        <f>'B) D RI'!R293</f>
        <v>762603.19000000018</v>
      </c>
      <c r="G292" s="10">
        <f>'B) D RI'!U293</f>
        <v>9653.2049367088639</v>
      </c>
      <c r="H292" s="42">
        <f>'B) D RI'!T293</f>
        <v>710819.79000000015</v>
      </c>
      <c r="I292" s="10">
        <f t="shared" si="53"/>
        <v>17995.437721518992</v>
      </c>
      <c r="J292" s="32">
        <f t="shared" si="52"/>
        <v>33002.500421448582</v>
      </c>
      <c r="K292" s="10">
        <f t="shared" si="47"/>
        <v>17995.437721518992</v>
      </c>
      <c r="L292" s="10">
        <f t="shared" si="51"/>
        <v>15007.062699929589</v>
      </c>
      <c r="M292" s="10">
        <f>'D) Ecrêtage'!M291</f>
        <v>9653.2049367088639</v>
      </c>
      <c r="N292" s="10">
        <f t="shared" si="48"/>
        <v>12003.368748357816</v>
      </c>
      <c r="O292" s="58">
        <f t="shared" si="49"/>
        <v>29998.806469876807</v>
      </c>
    </row>
    <row r="293" spans="1:15" s="220" customFormat="1" x14ac:dyDescent="0.25">
      <c r="A293" s="320">
        <f>'A) Base RI'!A294</f>
        <v>5911</v>
      </c>
      <c r="B293" s="226" t="str">
        <f>'A) Base RI'!B294</f>
        <v>Cuarny</v>
      </c>
      <c r="C293" s="242">
        <v>0</v>
      </c>
      <c r="D293" s="221">
        <f>'B) D RI'!AR294</f>
        <v>243</v>
      </c>
      <c r="E293" s="222">
        <f>'B) D RI'!S294</f>
        <v>79</v>
      </c>
      <c r="F293" s="10">
        <f>'B) D RI'!R294</f>
        <v>544849.1399999999</v>
      </c>
      <c r="G293" s="10">
        <f>'B) D RI'!U294</f>
        <v>6896.824556962024</v>
      </c>
      <c r="H293" s="42">
        <f>'B) D RI'!T294</f>
        <v>512755.43999999994</v>
      </c>
      <c r="I293" s="10">
        <f t="shared" si="53"/>
        <v>12981.150379746834</v>
      </c>
      <c r="J293" s="32">
        <f t="shared" si="52"/>
        <v>20830.149616654562</v>
      </c>
      <c r="K293" s="10">
        <f t="shared" si="47"/>
        <v>12981.150379746834</v>
      </c>
      <c r="L293" s="10">
        <f t="shared" si="51"/>
        <v>7848.9992369077281</v>
      </c>
      <c r="M293" s="10">
        <f>'D) Ecrêtage'!M292</f>
        <v>6896.824556962024</v>
      </c>
      <c r="N293" s="10">
        <f t="shared" si="48"/>
        <v>8575.9215610488445</v>
      </c>
      <c r="O293" s="58">
        <f t="shared" si="49"/>
        <v>21557.071940795679</v>
      </c>
    </row>
    <row r="294" spans="1:15" s="220" customFormat="1" x14ac:dyDescent="0.25">
      <c r="A294" s="320">
        <f>'A) Base RI'!A295</f>
        <v>5912</v>
      </c>
      <c r="B294" s="226" t="str">
        <f>'A) Base RI'!B295</f>
        <v>Démoret</v>
      </c>
      <c r="C294" s="242">
        <v>0</v>
      </c>
      <c r="D294" s="221">
        <f>'B) D RI'!AR295</f>
        <v>141</v>
      </c>
      <c r="E294" s="222">
        <f>'B) D RI'!S295</f>
        <v>81</v>
      </c>
      <c r="F294" s="10">
        <f>'B) D RI'!R295</f>
        <v>254049.38</v>
      </c>
      <c r="G294" s="10">
        <f>'B) D RI'!U295</f>
        <v>3136.4120987654323</v>
      </c>
      <c r="H294" s="42">
        <f>'B) D RI'!T295</f>
        <v>234066.28</v>
      </c>
      <c r="I294" s="10">
        <f t="shared" si="53"/>
        <v>5779.4143209876547</v>
      </c>
      <c r="J294" s="32">
        <f t="shared" si="52"/>
        <v>12086.630024478573</v>
      </c>
      <c r="K294" s="10">
        <f t="shared" si="47"/>
        <v>5779.4143209876547</v>
      </c>
      <c r="L294" s="10">
        <f t="shared" si="51"/>
        <v>6307.2157034909178</v>
      </c>
      <c r="M294" s="10">
        <f>'D) Ecrêtage'!M293</f>
        <v>3136.4120987654323</v>
      </c>
      <c r="N294" s="10">
        <f t="shared" si="48"/>
        <v>3900.0012135998195</v>
      </c>
      <c r="O294" s="58">
        <f t="shared" si="49"/>
        <v>9679.4155345874751</v>
      </c>
    </row>
    <row r="295" spans="1:15" s="220" customFormat="1" x14ac:dyDescent="0.25">
      <c r="A295" s="320">
        <f>'A) Base RI'!A296</f>
        <v>5913</v>
      </c>
      <c r="B295" s="226" t="str">
        <f>'A) Base RI'!B296</f>
        <v>Donneloye</v>
      </c>
      <c r="C295" s="242">
        <v>0</v>
      </c>
      <c r="D295" s="221">
        <f>'B) D RI'!AR296</f>
        <v>809</v>
      </c>
      <c r="E295" s="222">
        <f>'B) D RI'!S296</f>
        <v>73</v>
      </c>
      <c r="F295" s="10">
        <f>'B) D RI'!R296</f>
        <v>1487222.3899999997</v>
      </c>
      <c r="G295" s="10">
        <f>'B) D RI'!U296</f>
        <v>20372.909452054791</v>
      </c>
      <c r="H295" s="42">
        <f>'B) D RI'!T296</f>
        <v>1375998.3399999999</v>
      </c>
      <c r="I295" s="10">
        <f t="shared" si="53"/>
        <v>37698.584657534244</v>
      </c>
      <c r="J295" s="32">
        <f t="shared" si="52"/>
        <v>69348.111275199757</v>
      </c>
      <c r="K295" s="10">
        <f t="shared" si="47"/>
        <v>37698.584657534244</v>
      </c>
      <c r="L295" s="10">
        <f t="shared" si="51"/>
        <v>31649.526617665513</v>
      </c>
      <c r="M295" s="10">
        <f>'D) Ecrêtage'!M294</f>
        <v>20372.909452054791</v>
      </c>
      <c r="N295" s="10">
        <f t="shared" si="48"/>
        <v>25332.88645929152</v>
      </c>
      <c r="O295" s="58">
        <f t="shared" si="49"/>
        <v>63031.471116825764</v>
      </c>
    </row>
    <row r="296" spans="1:15" s="220" customFormat="1" x14ac:dyDescent="0.25">
      <c r="A296" s="320">
        <f>'A) Base RI'!A297</f>
        <v>5914</v>
      </c>
      <c r="B296" s="226" t="str">
        <f>'A) Base RI'!B297</f>
        <v>Ependes</v>
      </c>
      <c r="C296" s="242">
        <v>1</v>
      </c>
      <c r="D296" s="221">
        <f>'B) D RI'!AR297</f>
        <v>360</v>
      </c>
      <c r="E296" s="222">
        <f>'B) D RI'!S297</f>
        <v>75</v>
      </c>
      <c r="F296" s="10">
        <f>'B) D RI'!R297</f>
        <v>701668.44</v>
      </c>
      <c r="G296" s="10">
        <f>'B) D RI'!U297</f>
        <v>9355.5792000000001</v>
      </c>
      <c r="H296" s="42">
        <f>'B) D RI'!T297</f>
        <v>645135.34</v>
      </c>
      <c r="I296" s="10">
        <f t="shared" si="53"/>
        <v>17203.609066666664</v>
      </c>
      <c r="J296" s="32">
        <f t="shared" si="52"/>
        <v>30859.480913562311</v>
      </c>
      <c r="K296" s="10">
        <f t="shared" si="47"/>
        <v>0</v>
      </c>
      <c r="L296" s="10">
        <f t="shared" si="51"/>
        <v>30859.480913562311</v>
      </c>
      <c r="M296" s="10">
        <f>'D) Ecrêtage'!M295</f>
        <v>9355.5792000000001</v>
      </c>
      <c r="N296" s="10">
        <f t="shared" si="48"/>
        <v>11633.2832182006</v>
      </c>
      <c r="O296" s="58">
        <f t="shared" si="49"/>
        <v>11633.2832182006</v>
      </c>
    </row>
    <row r="297" spans="1:15" s="220" customFormat="1" x14ac:dyDescent="0.25">
      <c r="A297" s="320">
        <f>'A) Base RI'!A298</f>
        <v>5919</v>
      </c>
      <c r="B297" s="226" t="str">
        <f>'A) Base RI'!B298</f>
        <v>Mathod</v>
      </c>
      <c r="C297" s="242">
        <v>1</v>
      </c>
      <c r="D297" s="221">
        <f>'B) D RI'!AR298</f>
        <v>611</v>
      </c>
      <c r="E297" s="222">
        <f>'B) D RI'!S298</f>
        <v>72</v>
      </c>
      <c r="F297" s="10">
        <f>'B) D RI'!R298</f>
        <v>1235730.843333333</v>
      </c>
      <c r="G297" s="10">
        <f>'B) D RI'!U298</f>
        <v>17162.928379629626</v>
      </c>
      <c r="H297" s="42">
        <f>'B) D RI'!T298</f>
        <v>1115482.5599999998</v>
      </c>
      <c r="I297" s="10">
        <f t="shared" si="53"/>
        <v>30985.626666666663</v>
      </c>
      <c r="J297" s="32">
        <f t="shared" si="52"/>
        <v>52375.396772740482</v>
      </c>
      <c r="K297" s="10">
        <f t="shared" si="47"/>
        <v>0</v>
      </c>
      <c r="L297" s="10">
        <f t="shared" si="51"/>
        <v>52375.396772740482</v>
      </c>
      <c r="M297" s="10">
        <f>'D) Ecrêtage'!M296</f>
        <v>17162.928379629626</v>
      </c>
      <c r="N297" s="10">
        <f t="shared" si="48"/>
        <v>21341.405211333589</v>
      </c>
      <c r="O297" s="58">
        <f t="shared" si="49"/>
        <v>21341.405211333589</v>
      </c>
    </row>
    <row r="298" spans="1:15" s="220" customFormat="1" x14ac:dyDescent="0.25">
      <c r="A298" s="320">
        <f>'A) Base RI'!A299</f>
        <v>5921</v>
      </c>
      <c r="B298" s="226" t="str">
        <f>'A) Base RI'!B299</f>
        <v>Molondin</v>
      </c>
      <c r="C298" s="242">
        <v>0</v>
      </c>
      <c r="D298" s="221">
        <f>'B) D RI'!AR299</f>
        <v>235</v>
      </c>
      <c r="E298" s="222">
        <f>'B) D RI'!S299</f>
        <v>81</v>
      </c>
      <c r="F298" s="10">
        <f>'B) D RI'!R299</f>
        <v>450232.64999999991</v>
      </c>
      <c r="G298" s="10">
        <f>'B) D RI'!U299</f>
        <v>5558.427777777777</v>
      </c>
      <c r="H298" s="42">
        <f>'B) D RI'!T299</f>
        <v>418448.59999999992</v>
      </c>
      <c r="I298" s="10">
        <f t="shared" si="53"/>
        <v>10332.064197530863</v>
      </c>
      <c r="J298" s="32">
        <f t="shared" si="52"/>
        <v>20144.383374130954</v>
      </c>
      <c r="K298" s="10">
        <f t="shared" si="47"/>
        <v>10332.064197530863</v>
      </c>
      <c r="L298" s="10">
        <f t="shared" si="51"/>
        <v>9812.3191766000909</v>
      </c>
      <c r="M298" s="10">
        <f>'D) Ecrêtage'!M297</f>
        <v>5558.427777777777</v>
      </c>
      <c r="N298" s="10">
        <f t="shared" si="48"/>
        <v>6911.679459332915</v>
      </c>
      <c r="O298" s="58">
        <f t="shared" si="49"/>
        <v>17243.743656863779</v>
      </c>
    </row>
    <row r="299" spans="1:15" s="220" customFormat="1" x14ac:dyDescent="0.25">
      <c r="A299" s="320">
        <f>'A) Base RI'!A300</f>
        <v>5922</v>
      </c>
      <c r="B299" s="226" t="str">
        <f>'A) Base RI'!B300</f>
        <v>Montagny-près-Yverdon</v>
      </c>
      <c r="C299" s="242">
        <v>0</v>
      </c>
      <c r="D299" s="221">
        <f>'B) D RI'!AR300</f>
        <v>738</v>
      </c>
      <c r="E299" s="222">
        <f>'B) D RI'!S300</f>
        <v>65</v>
      </c>
      <c r="F299" s="10">
        <f>'B) D RI'!R300</f>
        <v>2554365.3725000005</v>
      </c>
      <c r="G299" s="10">
        <f>'B) D RI'!U300</f>
        <v>39297.928807692319</v>
      </c>
      <c r="H299" s="42">
        <f>'B) D RI'!T300</f>
        <v>2202063.3600000003</v>
      </c>
      <c r="I299" s="10">
        <f t="shared" si="53"/>
        <v>67755.7956923077</v>
      </c>
      <c r="J299" s="32">
        <f t="shared" si="52"/>
        <v>63261.935872802736</v>
      </c>
      <c r="K299" s="10">
        <f t="shared" si="47"/>
        <v>63261.935872802736</v>
      </c>
      <c r="L299" s="10">
        <f t="shared" si="51"/>
        <v>0</v>
      </c>
      <c r="M299" s="10">
        <f>'D) Ecrêtage'!M298</f>
        <v>39297.928807692319</v>
      </c>
      <c r="N299" s="10">
        <f t="shared" si="48"/>
        <v>48865.380318577067</v>
      </c>
      <c r="O299" s="58">
        <f t="shared" si="49"/>
        <v>112127.3161913798</v>
      </c>
    </row>
    <row r="300" spans="1:15" s="220" customFormat="1" x14ac:dyDescent="0.25">
      <c r="A300" s="320">
        <f>'A) Base RI'!A301</f>
        <v>5923</v>
      </c>
      <c r="B300" s="226" t="str">
        <f>'A) Base RI'!B301</f>
        <v>Oppens</v>
      </c>
      <c r="C300" s="242">
        <v>0</v>
      </c>
      <c r="D300" s="221">
        <f>'B) D RI'!AR301</f>
        <v>196</v>
      </c>
      <c r="E300" s="222">
        <f>'B) D RI'!S301</f>
        <v>81</v>
      </c>
      <c r="F300" s="10">
        <f>'B) D RI'!R301</f>
        <v>417015.75</v>
      </c>
      <c r="G300" s="10">
        <f>'B) D RI'!U301</f>
        <v>5148.3425925925922</v>
      </c>
      <c r="H300" s="42">
        <f>'B) D RI'!T301</f>
        <v>392855.75</v>
      </c>
      <c r="I300" s="10">
        <f t="shared" si="53"/>
        <v>9700.1419753086411</v>
      </c>
      <c r="J300" s="32">
        <f t="shared" si="52"/>
        <v>16801.272941828371</v>
      </c>
      <c r="K300" s="10">
        <f t="shared" si="47"/>
        <v>9700.1419753086411</v>
      </c>
      <c r="L300" s="10">
        <f t="shared" si="51"/>
        <v>7101.1309665197296</v>
      </c>
      <c r="M300" s="10">
        <f>'D) Ecrêtage'!M299</f>
        <v>5148.3425925925922</v>
      </c>
      <c r="N300" s="10">
        <f t="shared" si="48"/>
        <v>6401.7551670082348</v>
      </c>
      <c r="O300" s="58">
        <f t="shared" si="49"/>
        <v>16101.897142316877</v>
      </c>
    </row>
    <row r="301" spans="1:15" s="220" customFormat="1" x14ac:dyDescent="0.25">
      <c r="A301" s="320">
        <f>'A) Base RI'!A302</f>
        <v>5924</v>
      </c>
      <c r="B301" s="226" t="str">
        <f>'A) Base RI'!B302</f>
        <v>Orges</v>
      </c>
      <c r="C301" s="242">
        <v>0</v>
      </c>
      <c r="D301" s="221">
        <f>'B) D RI'!AR302</f>
        <v>332</v>
      </c>
      <c r="E301" s="222">
        <f>'B) D RI'!S302</f>
        <v>74</v>
      </c>
      <c r="F301" s="10">
        <f>'B) D RI'!R302</f>
        <v>781037.84000000008</v>
      </c>
      <c r="G301" s="10">
        <f>'B) D RI'!U302</f>
        <v>10554.565405405407</v>
      </c>
      <c r="H301" s="42">
        <f>'B) D RI'!T302</f>
        <v>731344.24000000011</v>
      </c>
      <c r="I301" s="10">
        <f t="shared" si="53"/>
        <v>19766.060540540544</v>
      </c>
      <c r="J301" s="32">
        <f t="shared" si="52"/>
        <v>28459.299064729687</v>
      </c>
      <c r="K301" s="10">
        <f t="shared" si="47"/>
        <v>19766.060540540544</v>
      </c>
      <c r="L301" s="10">
        <f t="shared" si="51"/>
        <v>8693.2385241891425</v>
      </c>
      <c r="M301" s="10">
        <f>'D) Ecrêtage'!M300</f>
        <v>10554.565405405407</v>
      </c>
      <c r="N301" s="10">
        <f t="shared" si="48"/>
        <v>13124.173926730622</v>
      </c>
      <c r="O301" s="58">
        <f t="shared" si="49"/>
        <v>32890.234467271162</v>
      </c>
    </row>
    <row r="302" spans="1:15" s="220" customFormat="1" x14ac:dyDescent="0.25">
      <c r="A302" s="320">
        <f>'A) Base RI'!A303</f>
        <v>5925</v>
      </c>
      <c r="B302" s="226" t="str">
        <f>'A) Base RI'!B303</f>
        <v>Orzens</v>
      </c>
      <c r="C302" s="242">
        <v>0</v>
      </c>
      <c r="D302" s="221">
        <f>'B) D RI'!AR303</f>
        <v>196</v>
      </c>
      <c r="E302" s="222">
        <f>'B) D RI'!S303</f>
        <v>79</v>
      </c>
      <c r="F302" s="10">
        <f>'B) D RI'!R303</f>
        <v>441852.70999999996</v>
      </c>
      <c r="G302" s="10">
        <f>'B) D RI'!U303</f>
        <v>5593.0722784810123</v>
      </c>
      <c r="H302" s="42">
        <f>'B) D RI'!T303</f>
        <v>410021.70999999996</v>
      </c>
      <c r="I302" s="10">
        <f t="shared" si="53"/>
        <v>10380.296455696202</v>
      </c>
      <c r="J302" s="32">
        <f t="shared" si="52"/>
        <v>16801.272941828371</v>
      </c>
      <c r="K302" s="10">
        <f t="shared" si="47"/>
        <v>10380.296455696202</v>
      </c>
      <c r="L302" s="10">
        <f t="shared" si="51"/>
        <v>6420.9764861321692</v>
      </c>
      <c r="M302" s="10">
        <f>'D) Ecrêtage'!M301</f>
        <v>5593.0722784810123</v>
      </c>
      <c r="N302" s="10">
        <f t="shared" si="48"/>
        <v>6954.7584905738549</v>
      </c>
      <c r="O302" s="58">
        <f t="shared" si="49"/>
        <v>17335.054946270058</v>
      </c>
    </row>
    <row r="303" spans="1:15" s="220" customFormat="1" x14ac:dyDescent="0.25">
      <c r="A303" s="320">
        <f>'A) Base RI'!A304</f>
        <v>5926</v>
      </c>
      <c r="B303" s="226" t="str">
        <f>'A) Base RI'!B304</f>
        <v>Pomy</v>
      </c>
      <c r="C303" s="242">
        <v>1</v>
      </c>
      <c r="D303" s="221">
        <f>'B) D RI'!AR304</f>
        <v>780</v>
      </c>
      <c r="E303" s="222">
        <f>'B) D RI'!S304</f>
        <v>71</v>
      </c>
      <c r="F303" s="10">
        <f>'B) D RI'!R304</f>
        <v>1889453.11</v>
      </c>
      <c r="G303" s="10">
        <f>'B) D RI'!U304</f>
        <v>26612.015633802817</v>
      </c>
      <c r="H303" s="42">
        <f>'B) D RI'!T304</f>
        <v>1769064.61</v>
      </c>
      <c r="I303" s="10">
        <f t="shared" si="53"/>
        <v>49832.805915492958</v>
      </c>
      <c r="J303" s="32">
        <f t="shared" si="52"/>
        <v>66862.208646051673</v>
      </c>
      <c r="K303" s="10">
        <f t="shared" si="47"/>
        <v>0</v>
      </c>
      <c r="L303" s="10">
        <f t="shared" si="51"/>
        <v>66862.208646051673</v>
      </c>
      <c r="M303" s="10">
        <f>'D) Ecrêtage'!M302</f>
        <v>26612.015633802817</v>
      </c>
      <c r="N303" s="10">
        <f t="shared" si="48"/>
        <v>33090.961901665083</v>
      </c>
      <c r="O303" s="58">
        <f t="shared" si="49"/>
        <v>33090.961901665083</v>
      </c>
    </row>
    <row r="304" spans="1:15" s="220" customFormat="1" x14ac:dyDescent="0.25">
      <c r="A304" s="320">
        <f>'A) Base RI'!A305</f>
        <v>5928</v>
      </c>
      <c r="B304" s="226" t="str">
        <f>'A) Base RI'!B305</f>
        <v>Rovray</v>
      </c>
      <c r="C304" s="242">
        <v>0</v>
      </c>
      <c r="D304" s="221">
        <f>'B) D RI'!AR305</f>
        <v>180</v>
      </c>
      <c r="E304" s="222">
        <f>'B) D RI'!S305</f>
        <v>73</v>
      </c>
      <c r="F304" s="10">
        <f>'B) D RI'!R305</f>
        <v>316381.86000000004</v>
      </c>
      <c r="G304" s="10">
        <f>'B) D RI'!U305</f>
        <v>4333.9980821917816</v>
      </c>
      <c r="H304" s="42">
        <f>'B) D RI'!T305</f>
        <v>295468.46000000002</v>
      </c>
      <c r="I304" s="10">
        <f t="shared" si="53"/>
        <v>8095.0263013698632</v>
      </c>
      <c r="J304" s="32">
        <f t="shared" si="52"/>
        <v>15429.740456781155</v>
      </c>
      <c r="K304" s="10">
        <f t="shared" ref="K304:K314" si="54">IF(C304=1,0,IF(J304&gt;I304,I304,J304))</f>
        <v>8095.0263013698632</v>
      </c>
      <c r="L304" s="10">
        <f t="shared" si="51"/>
        <v>7334.7141554112923</v>
      </c>
      <c r="M304" s="10">
        <f>'D) Ecrêtage'!M303</f>
        <v>4333.9980821917816</v>
      </c>
      <c r="N304" s="10">
        <f t="shared" si="48"/>
        <v>5389.1508029000743</v>
      </c>
      <c r="O304" s="58">
        <f t="shared" si="49"/>
        <v>13484.177104269937</v>
      </c>
    </row>
    <row r="305" spans="1:15" s="220" customFormat="1" x14ac:dyDescent="0.25">
      <c r="A305" s="320">
        <f>'A) Base RI'!A306</f>
        <v>5929</v>
      </c>
      <c r="B305" s="226" t="str">
        <f>'A) Base RI'!B306</f>
        <v>Suchy</v>
      </c>
      <c r="C305" s="242">
        <v>1</v>
      </c>
      <c r="D305" s="221">
        <f>'B) D RI'!AR306</f>
        <v>599</v>
      </c>
      <c r="E305" s="222">
        <f>'B) D RI'!S306</f>
        <v>70</v>
      </c>
      <c r="F305" s="10">
        <f>'B) D RI'!R306</f>
        <v>1200415.4825000002</v>
      </c>
      <c r="G305" s="10">
        <f>'B) D RI'!U306</f>
        <v>17148.792607142859</v>
      </c>
      <c r="H305" s="42">
        <f>'B) D RI'!T306</f>
        <v>1095046.6700000002</v>
      </c>
      <c r="I305" s="10">
        <f t="shared" si="53"/>
        <v>31287.04771428572</v>
      </c>
      <c r="J305" s="32">
        <f t="shared" si="52"/>
        <v>51346.747408955067</v>
      </c>
      <c r="K305" s="10">
        <f t="shared" si="54"/>
        <v>0</v>
      </c>
      <c r="L305" s="10">
        <f t="shared" si="51"/>
        <v>51346.747408955067</v>
      </c>
      <c r="M305" s="10">
        <f>'D) Ecrêtage'!M304</f>
        <v>17148.792607142859</v>
      </c>
      <c r="N305" s="10">
        <f t="shared" si="48"/>
        <v>21323.827951675888</v>
      </c>
      <c r="O305" s="58">
        <f t="shared" si="49"/>
        <v>21323.827951675888</v>
      </c>
    </row>
    <row r="306" spans="1:15" s="220" customFormat="1" x14ac:dyDescent="0.25">
      <c r="A306" s="320">
        <f>'A) Base RI'!A307</f>
        <v>5930</v>
      </c>
      <c r="B306" s="226" t="str">
        <f>'A) Base RI'!B307</f>
        <v>Suscévaz</v>
      </c>
      <c r="C306" s="242">
        <v>1</v>
      </c>
      <c r="D306" s="221">
        <f>'B) D RI'!AR307</f>
        <v>213</v>
      </c>
      <c r="E306" s="222">
        <f>'B) D RI'!S307</f>
        <v>72</v>
      </c>
      <c r="F306" s="10">
        <f>'B) D RI'!R307</f>
        <v>425316.71</v>
      </c>
      <c r="G306" s="10">
        <f>'B) D RI'!U307</f>
        <v>5907.1765277777777</v>
      </c>
      <c r="H306" s="42">
        <f>'B) D RI'!T307</f>
        <v>397819.71</v>
      </c>
      <c r="I306" s="10">
        <f t="shared" si="53"/>
        <v>11050.547500000001</v>
      </c>
      <c r="J306" s="32">
        <f t="shared" si="52"/>
        <v>18258.526207191033</v>
      </c>
      <c r="K306" s="10">
        <f t="shared" si="54"/>
        <v>0</v>
      </c>
      <c r="L306" s="10">
        <f t="shared" si="51"/>
        <v>18258.526207191033</v>
      </c>
      <c r="M306" s="10">
        <f>'D) Ecrêtage'!M305</f>
        <v>5907.1765277777777</v>
      </c>
      <c r="N306" s="10">
        <f t="shared" si="48"/>
        <v>7345.3343826692962</v>
      </c>
      <c r="O306" s="58">
        <f t="shared" si="49"/>
        <v>7345.3343826692962</v>
      </c>
    </row>
    <row r="307" spans="1:15" s="220" customFormat="1" x14ac:dyDescent="0.25">
      <c r="A307" s="320">
        <f>'A) Base RI'!A308</f>
        <v>5931</v>
      </c>
      <c r="B307" s="226" t="str">
        <f>'A) Base RI'!B308</f>
        <v>Treycovagnes</v>
      </c>
      <c r="C307" s="242">
        <v>1</v>
      </c>
      <c r="D307" s="221">
        <f>'B) D RI'!AR308</f>
        <v>480</v>
      </c>
      <c r="E307" s="222">
        <f>'B) D RI'!S308</f>
        <v>75</v>
      </c>
      <c r="F307" s="10">
        <f>'B) D RI'!R308</f>
        <v>972979.55999999994</v>
      </c>
      <c r="G307" s="10">
        <f>'B) D RI'!U308</f>
        <v>12973.060799999999</v>
      </c>
      <c r="H307" s="42">
        <f>'B) D RI'!T308</f>
        <v>900334.15999999992</v>
      </c>
      <c r="I307" s="10">
        <f t="shared" si="53"/>
        <v>24008.910933333333</v>
      </c>
      <c r="J307" s="32">
        <f t="shared" si="52"/>
        <v>41145.974551416417</v>
      </c>
      <c r="K307" s="10">
        <f t="shared" si="54"/>
        <v>0</v>
      </c>
      <c r="L307" s="10">
        <f t="shared" si="51"/>
        <v>41145.974551416417</v>
      </c>
      <c r="M307" s="10">
        <f>'D) Ecrêtage'!M306</f>
        <v>12973.060799999999</v>
      </c>
      <c r="N307" s="10">
        <f t="shared" si="48"/>
        <v>16131.474841593565</v>
      </c>
      <c r="O307" s="58">
        <f t="shared" si="49"/>
        <v>16131.474841593565</v>
      </c>
    </row>
    <row r="308" spans="1:15" s="220" customFormat="1" x14ac:dyDescent="0.25">
      <c r="A308" s="320">
        <f>'A) Base RI'!A309</f>
        <v>5932</v>
      </c>
      <c r="B308" s="226" t="str">
        <f>'A) Base RI'!B309</f>
        <v>Ursins</v>
      </c>
      <c r="C308" s="242">
        <v>0</v>
      </c>
      <c r="D308" s="221">
        <f>'B) D RI'!AR309</f>
        <v>230</v>
      </c>
      <c r="E308" s="222">
        <f>'B) D RI'!S309</f>
        <v>77</v>
      </c>
      <c r="F308" s="10">
        <f>'B) D RI'!R309</f>
        <v>514615.88000000012</v>
      </c>
      <c r="G308" s="10">
        <f>'B) D RI'!U309</f>
        <v>6683.323116883118</v>
      </c>
      <c r="H308" s="42">
        <f>'B) D RI'!T309</f>
        <v>483133.68000000011</v>
      </c>
      <c r="I308" s="10">
        <f t="shared" si="53"/>
        <v>12548.926753246757</v>
      </c>
      <c r="J308" s="32">
        <f t="shared" si="52"/>
        <v>19715.779472553699</v>
      </c>
      <c r="K308" s="10">
        <f t="shared" si="54"/>
        <v>12548.926753246757</v>
      </c>
      <c r="L308" s="10">
        <f t="shared" si="51"/>
        <v>7166.8527193069422</v>
      </c>
      <c r="M308" s="10">
        <f>'D) Ecrêtage'!M307</f>
        <v>6683.323116883118</v>
      </c>
      <c r="N308" s="10">
        <f t="shared" si="48"/>
        <v>8310.4411811775917</v>
      </c>
      <c r="O308" s="58">
        <f t="shared" si="49"/>
        <v>20859.36793442435</v>
      </c>
    </row>
    <row r="309" spans="1:15" s="220" customFormat="1" x14ac:dyDescent="0.25">
      <c r="A309" s="320">
        <f>'A) Base RI'!A310</f>
        <v>5933</v>
      </c>
      <c r="B309" s="226" t="str">
        <f>'A) Base RI'!B310</f>
        <v>Valeyres-sous-Montagny</v>
      </c>
      <c r="C309" s="242">
        <v>0</v>
      </c>
      <c r="D309" s="221">
        <f>'B) D RI'!AR310</f>
        <v>708</v>
      </c>
      <c r="E309" s="222">
        <f>'B) D RI'!S310</f>
        <v>72</v>
      </c>
      <c r="F309" s="10">
        <f>'B) D RI'!R310</f>
        <v>1610198.7499999998</v>
      </c>
      <c r="G309" s="10">
        <f>'B) D RI'!U310</f>
        <v>22363.871527777774</v>
      </c>
      <c r="H309" s="42">
        <f>'B) D RI'!T310</f>
        <v>1492288.0499999998</v>
      </c>
      <c r="I309" s="10">
        <f t="shared" si="53"/>
        <v>41452.445833333331</v>
      </c>
      <c r="J309" s="32">
        <f t="shared" ref="J309:J314" si="55">+$I$315/$D$315*D309</f>
        <v>60690.312463339214</v>
      </c>
      <c r="K309" s="10">
        <f t="shared" si="54"/>
        <v>41452.445833333331</v>
      </c>
      <c r="L309" s="10">
        <f t="shared" si="51"/>
        <v>19237.866630005883</v>
      </c>
      <c r="M309" s="10">
        <f>'D) Ecrêtage'!M308</f>
        <v>22363.871527777774</v>
      </c>
      <c r="N309" s="10">
        <f t="shared" si="48"/>
        <v>27808.567035389042</v>
      </c>
      <c r="O309" s="58">
        <f t="shared" si="49"/>
        <v>69261.012868722377</v>
      </c>
    </row>
    <row r="310" spans="1:15" s="220" customFormat="1" x14ac:dyDescent="0.25">
      <c r="A310" s="320">
        <f>'A) Base RI'!A311</f>
        <v>5934</v>
      </c>
      <c r="B310" s="226" t="str">
        <f>'A) Base RI'!B311</f>
        <v>Valeyres-sous-Ursins</v>
      </c>
      <c r="C310" s="242">
        <v>0</v>
      </c>
      <c r="D310" s="221">
        <f>'B) D RI'!AR311</f>
        <v>232</v>
      </c>
      <c r="E310" s="222">
        <f>'B) D RI'!S311</f>
        <v>79</v>
      </c>
      <c r="F310" s="10">
        <f>'B) D RI'!R311</f>
        <v>602372.30000000005</v>
      </c>
      <c r="G310" s="10">
        <f>'B) D RI'!U311</f>
        <v>7624.9658227848104</v>
      </c>
      <c r="H310" s="42">
        <f>'B) D RI'!T311</f>
        <v>573293</v>
      </c>
      <c r="I310" s="10">
        <f t="shared" si="53"/>
        <v>14513.746835443038</v>
      </c>
      <c r="J310" s="32">
        <f t="shared" si="55"/>
        <v>19887.2210331846</v>
      </c>
      <c r="K310" s="10">
        <f t="shared" si="54"/>
        <v>14513.746835443038</v>
      </c>
      <c r="L310" s="10">
        <f t="shared" si="51"/>
        <v>5373.4741977415615</v>
      </c>
      <c r="M310" s="10">
        <f>'D) Ecrêtage'!M309</f>
        <v>7624.9658227848104</v>
      </c>
      <c r="N310" s="10">
        <f t="shared" si="48"/>
        <v>9481.3356874319088</v>
      </c>
      <c r="O310" s="58">
        <f t="shared" si="49"/>
        <v>23995.082522874945</v>
      </c>
    </row>
    <row r="311" spans="1:15" s="220" customFormat="1" x14ac:dyDescent="0.25">
      <c r="A311" s="320">
        <f>'A) Base RI'!A312</f>
        <v>5935</v>
      </c>
      <c r="B311" s="226" t="str">
        <f>'A) Base RI'!B312</f>
        <v>Villars-Epeney</v>
      </c>
      <c r="C311" s="242">
        <v>0</v>
      </c>
      <c r="D311" s="221">
        <f>'B) D RI'!AR312</f>
        <v>100</v>
      </c>
      <c r="E311" s="222">
        <f>'B) D RI'!S312</f>
        <v>60</v>
      </c>
      <c r="F311" s="10">
        <f>'B) D RI'!R312</f>
        <v>336219.96</v>
      </c>
      <c r="G311" s="10">
        <f>'B) D RI'!U312</f>
        <v>5603.6660000000002</v>
      </c>
      <c r="H311" s="42">
        <f>'B) D RI'!T312</f>
        <v>317502.01</v>
      </c>
      <c r="I311" s="10">
        <f t="shared" si="53"/>
        <v>10583.400333333333</v>
      </c>
      <c r="J311" s="32">
        <f t="shared" si="55"/>
        <v>8572.0780315450866</v>
      </c>
      <c r="K311" s="10">
        <f t="shared" si="54"/>
        <v>8572.0780315450866</v>
      </c>
      <c r="L311" s="10">
        <f t="shared" si="51"/>
        <v>0</v>
      </c>
      <c r="M311" s="10">
        <f>'D) Ecrêtage'!M310</f>
        <v>5594.2837181991172</v>
      </c>
      <c r="N311" s="10">
        <f t="shared" si="48"/>
        <v>6956.2648667202393</v>
      </c>
      <c r="O311" s="58">
        <f t="shared" si="49"/>
        <v>15528.342898265326</v>
      </c>
    </row>
    <row r="312" spans="1:15" s="220" customFormat="1" x14ac:dyDescent="0.25">
      <c r="A312" s="320">
        <f>'A) Base RI'!A313</f>
        <v>5937</v>
      </c>
      <c r="B312" s="226" t="str">
        <f>'A) Base RI'!B313</f>
        <v>Vugelles-La Mothe</v>
      </c>
      <c r="C312" s="242">
        <v>0</v>
      </c>
      <c r="D312" s="221">
        <f>'B) D RI'!AR313</f>
        <v>132</v>
      </c>
      <c r="E312" s="222">
        <f>'B) D RI'!S313</f>
        <v>70</v>
      </c>
      <c r="F312" s="10">
        <f>'B) D RI'!R313</f>
        <v>170324.93857142859</v>
      </c>
      <c r="G312" s="10">
        <f>'B) D RI'!U313</f>
        <v>2433.2134081632657</v>
      </c>
      <c r="H312" s="42">
        <f>'B) D RI'!T313</f>
        <v>155001.51</v>
      </c>
      <c r="I312" s="10">
        <f t="shared" si="53"/>
        <v>4428.6145714285713</v>
      </c>
      <c r="J312" s="32">
        <f t="shared" si="55"/>
        <v>11315.143001639515</v>
      </c>
      <c r="K312" s="10">
        <f t="shared" si="54"/>
        <v>4428.6145714285713</v>
      </c>
      <c r="L312" s="10">
        <f t="shared" si="51"/>
        <v>6886.528430210944</v>
      </c>
      <c r="M312" s="10">
        <f>'D) Ecrêtage'!M311</f>
        <v>2433.2134081632657</v>
      </c>
      <c r="N312" s="10">
        <f t="shared" si="48"/>
        <v>3025.6021676868927</v>
      </c>
      <c r="O312" s="58">
        <f t="shared" si="49"/>
        <v>7454.2167391154635</v>
      </c>
    </row>
    <row r="313" spans="1:15" s="220" customFormat="1" x14ac:dyDescent="0.25">
      <c r="A313" s="320">
        <f>'A) Base RI'!A314</f>
        <v>5938</v>
      </c>
      <c r="B313" s="226" t="str">
        <f>'A) Base RI'!B314</f>
        <v>Yverdon-les-Bains</v>
      </c>
      <c r="C313" s="242">
        <v>1</v>
      </c>
      <c r="D313" s="221">
        <f>'B) D RI'!AR314</f>
        <v>30211</v>
      </c>
      <c r="E313" s="222">
        <f>'B) D RI'!S314</f>
        <v>76.5</v>
      </c>
      <c r="F313" s="10">
        <f>'B) D RI'!R314</f>
        <v>59261405.710000008</v>
      </c>
      <c r="G313" s="10">
        <f>'B) D RI'!U314</f>
        <v>774658.89816993475</v>
      </c>
      <c r="H313" s="42">
        <f>'B) D RI'!T314</f>
        <v>54496952.010000005</v>
      </c>
      <c r="I313" s="10">
        <f t="shared" si="53"/>
        <v>1424756.9152941178</v>
      </c>
      <c r="J313" s="32">
        <f t="shared" si="55"/>
        <v>2589710.494110086</v>
      </c>
      <c r="K313" s="10">
        <f t="shared" si="54"/>
        <v>0</v>
      </c>
      <c r="L313" s="10">
        <f t="shared" si="51"/>
        <v>2589710.494110086</v>
      </c>
      <c r="M313" s="10">
        <f>'D) Ecrêtage'!M312</f>
        <v>774658.89816993475</v>
      </c>
      <c r="N313" s="10">
        <f t="shared" si="48"/>
        <v>963256.91517956147</v>
      </c>
      <c r="O313" s="58">
        <f t="shared" si="49"/>
        <v>963256.91517956147</v>
      </c>
    </row>
    <row r="314" spans="1:15" s="220" customFormat="1" x14ac:dyDescent="0.25">
      <c r="A314" s="321">
        <f>'A) Base RI'!A315</f>
        <v>5939</v>
      </c>
      <c r="B314" s="226" t="str">
        <f>'A) Base RI'!B315</f>
        <v>Yvonand</v>
      </c>
      <c r="C314" s="242">
        <v>0</v>
      </c>
      <c r="D314" s="221">
        <f>'B) D RI'!AR315</f>
        <v>3426</v>
      </c>
      <c r="E314" s="222">
        <f>'B) D RI'!S315</f>
        <v>73</v>
      </c>
      <c r="F314" s="10">
        <f>'B) D RI'!R315</f>
        <v>6848950.0300000003</v>
      </c>
      <c r="G314" s="10">
        <f>'B) D RI'!U315</f>
        <v>93821.233287671232</v>
      </c>
      <c r="H314" s="42">
        <f>'B) D RI'!T315</f>
        <v>6290287.7800000003</v>
      </c>
      <c r="I314" s="19">
        <f t="shared" si="53"/>
        <v>172336.65150684933</v>
      </c>
      <c r="J314" s="112">
        <f t="shared" si="55"/>
        <v>293679.39336073468</v>
      </c>
      <c r="K314" s="10">
        <f t="shared" si="54"/>
        <v>172336.65150684933</v>
      </c>
      <c r="L314" s="19">
        <f t="shared" si="51"/>
        <v>121342.74185388535</v>
      </c>
      <c r="M314" s="19">
        <f>'D) Ecrêtage'!M313</f>
        <v>93821.233287671232</v>
      </c>
      <c r="N314" s="19">
        <f>+$N$5*M314</f>
        <v>116662.89765537437</v>
      </c>
      <c r="O314" s="106">
        <f t="shared" si="49"/>
        <v>288999.5491622237</v>
      </c>
    </row>
    <row r="315" spans="1:15" s="220" customFormat="1" x14ac:dyDescent="0.25">
      <c r="A315" s="31"/>
      <c r="B315" s="125">
        <f>COUNTA(B6:B314)</f>
        <v>309</v>
      </c>
      <c r="C315" s="236">
        <f>SUM(C6:C314)</f>
        <v>52</v>
      </c>
      <c r="D315" s="228">
        <f>SUM(D6:D314)</f>
        <v>800162</v>
      </c>
      <c r="E315" s="228"/>
      <c r="F315" s="228">
        <f t="shared" ref="F315:M315" si="56">SUM(F6:F314)</f>
        <v>2517491157.5586963</v>
      </c>
      <c r="G315" s="228">
        <f t="shared" si="56"/>
        <v>37017775.996768594</v>
      </c>
      <c r="H315" s="228">
        <f t="shared" si="56"/>
        <v>2331584332.3200006</v>
      </c>
      <c r="I315" s="245">
        <f>SUM(I6:I314)</f>
        <v>68590511.018771797</v>
      </c>
      <c r="J315" s="228">
        <f t="shared" si="56"/>
        <v>68590511.018771812</v>
      </c>
      <c r="K315" s="453">
        <f t="shared" si="56"/>
        <v>22082480.438778654</v>
      </c>
      <c r="L315" s="230">
        <f t="shared" si="56"/>
        <v>46508030.579993121</v>
      </c>
      <c r="M315" s="228">
        <f t="shared" si="56"/>
        <v>36057927.800654255</v>
      </c>
      <c r="N315" s="237">
        <f>Paramètres!B67-K315</f>
        <v>44836570.499712087</v>
      </c>
      <c r="O315" s="231">
        <f>SUM(O6:O314)</f>
        <v>66919050.938490741</v>
      </c>
    </row>
    <row r="316" spans="1:15" s="220" customFormat="1" x14ac:dyDescent="0.25">
      <c r="A316" s="219"/>
      <c r="B316" s="219"/>
      <c r="C316" s="219"/>
      <c r="D316" s="219"/>
      <c r="E316" s="219"/>
      <c r="F316" s="219"/>
      <c r="G316" s="219"/>
      <c r="H316" s="219"/>
      <c r="I316" s="243"/>
      <c r="J316" s="219"/>
      <c r="K316" s="219"/>
      <c r="L316" s="223"/>
      <c r="M316" s="219"/>
      <c r="N316" s="223"/>
      <c r="O316" s="219"/>
    </row>
  </sheetData>
  <protectedRanges>
    <protectedRange sqref="C6:C314" name="Plage1"/>
  </protectedRanges>
  <mergeCells count="13">
    <mergeCell ref="O4:O5"/>
    <mergeCell ref="B4:B5"/>
    <mergeCell ref="A4:A5"/>
    <mergeCell ref="M4:M5"/>
    <mergeCell ref="L4:L5"/>
    <mergeCell ref="K4:K5"/>
    <mergeCell ref="J4:J5"/>
    <mergeCell ref="H4:H5"/>
    <mergeCell ref="G4:G5"/>
    <mergeCell ref="F4:F5"/>
    <mergeCell ref="E4:E5"/>
    <mergeCell ref="D4:D5"/>
    <mergeCell ref="C4:C5"/>
  </mergeCells>
  <printOptions horizontalCentered="1" verticalCentered="1"/>
  <pageMargins left="0.78740157480314965" right="0.78740157480314965" top="0.98425196850393704" bottom="0.98425196850393704" header="0.51181102362204722" footer="0.51181102362204722"/>
  <pageSetup paperSize="8" fitToHeight="9" orientation="landscape" r:id="rId1"/>
  <headerFooter alignWithMargins="0">
    <oddFooter>&amp;L&amp;8SCL - Division finances communales&amp;C- &amp;N -&amp;R&amp;8ASFiCo/FW/Juillet 2014</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7">
    <tabColor rgb="FF00B0F0"/>
  </sheetPr>
  <dimension ref="A1:R317"/>
  <sheetViews>
    <sheetView workbookViewId="0">
      <selection activeCell="P1" sqref="P1:P1048576"/>
    </sheetView>
  </sheetViews>
  <sheetFormatPr baseColWidth="10" defaultColWidth="10.75" defaultRowHeight="15" x14ac:dyDescent="0.25"/>
  <cols>
    <col min="1" max="1" width="7.5" style="13" customWidth="1"/>
    <col min="2" max="2" width="20.25" style="13" bestFit="1" customWidth="1"/>
    <col min="3" max="3" width="6.125" style="15" bestFit="1" customWidth="1"/>
    <col min="4" max="4" width="6.5" style="158" bestFit="1" customWidth="1"/>
    <col min="5" max="5" width="8.625" style="158" bestFit="1" customWidth="1"/>
    <col min="6" max="6" width="9.5" style="13" bestFit="1" customWidth="1"/>
    <col min="7" max="7" width="10.625" style="13" customWidth="1"/>
    <col min="8" max="8" width="10.75" style="13" customWidth="1"/>
    <col min="9" max="10" width="9.375" style="13" bestFit="1" customWidth="1"/>
    <col min="11" max="11" width="9.625" style="13" bestFit="1" customWidth="1"/>
    <col min="12" max="12" width="11.25" style="13" bestFit="1" customWidth="1"/>
    <col min="13" max="13" width="8.625" style="13" bestFit="1" customWidth="1"/>
    <col min="14" max="14" width="9.5" style="13" bestFit="1" customWidth="1"/>
    <col min="15" max="15" width="1.375" style="13" customWidth="1"/>
    <col min="16" max="16" width="13" style="6" bestFit="1" customWidth="1"/>
    <col min="17" max="16384" width="10.75" style="13"/>
  </cols>
  <sheetData>
    <row r="1" spans="1:18" s="44" customFormat="1" ht="20.25" customHeight="1" x14ac:dyDescent="0.2">
      <c r="A1" s="586" t="s">
        <v>485</v>
      </c>
      <c r="B1" s="587"/>
      <c r="C1" s="587"/>
      <c r="D1" s="587"/>
      <c r="E1" s="587"/>
      <c r="F1" s="73"/>
      <c r="G1" s="73"/>
      <c r="H1" s="73"/>
      <c r="I1" s="73"/>
      <c r="J1" s="73"/>
      <c r="K1" s="73"/>
      <c r="L1" s="73"/>
      <c r="M1" s="73"/>
      <c r="N1" s="73"/>
      <c r="P1" s="45"/>
    </row>
    <row r="2" spans="1:18" s="44" customFormat="1" ht="20.25" customHeight="1" x14ac:dyDescent="0.2">
      <c r="A2" s="430">
        <f>Paramètres!B5</f>
        <v>2018</v>
      </c>
      <c r="B2" s="481"/>
      <c r="C2" s="482"/>
      <c r="D2" s="478"/>
      <c r="E2" s="478"/>
      <c r="F2" s="73"/>
      <c r="G2" s="73"/>
      <c r="H2" s="73"/>
      <c r="I2" s="73"/>
      <c r="J2" s="73"/>
      <c r="K2" s="73"/>
      <c r="L2" s="73"/>
      <c r="M2" s="73"/>
      <c r="N2" s="73"/>
      <c r="P2" s="45"/>
    </row>
    <row r="3" spans="1:18" x14ac:dyDescent="0.25">
      <c r="D3" s="13"/>
      <c r="E3" s="13"/>
    </row>
    <row r="4" spans="1:18" ht="53.45" customHeight="1" x14ac:dyDescent="0.25">
      <c r="A4" s="535" t="s">
        <v>50</v>
      </c>
      <c r="B4" s="535" t="s">
        <v>101</v>
      </c>
      <c r="C4" s="566" t="s">
        <v>366</v>
      </c>
      <c r="D4" s="576" t="s">
        <v>367</v>
      </c>
      <c r="E4" s="589" t="s">
        <v>433</v>
      </c>
      <c r="F4" s="576" t="s">
        <v>98</v>
      </c>
      <c r="G4" s="576" t="s">
        <v>150</v>
      </c>
      <c r="H4" s="576" t="s">
        <v>144</v>
      </c>
      <c r="I4" s="576" t="s">
        <v>417</v>
      </c>
      <c r="J4" s="576" t="s">
        <v>216</v>
      </c>
      <c r="K4" s="576" t="s">
        <v>131</v>
      </c>
      <c r="L4" s="576" t="s">
        <v>217</v>
      </c>
      <c r="M4" s="576" t="s">
        <v>506</v>
      </c>
      <c r="N4" s="584" t="s">
        <v>143</v>
      </c>
      <c r="O4" s="583" t="s">
        <v>525</v>
      </c>
    </row>
    <row r="5" spans="1:18" ht="14.25" customHeight="1" x14ac:dyDescent="0.25">
      <c r="A5" s="536"/>
      <c r="B5" s="536"/>
      <c r="C5" s="578"/>
      <c r="D5" s="588"/>
      <c r="E5" s="589"/>
      <c r="F5" s="588"/>
      <c r="G5" s="577"/>
      <c r="H5" s="577"/>
      <c r="I5" s="577"/>
      <c r="J5" s="588"/>
      <c r="K5" s="588"/>
      <c r="L5" s="577"/>
      <c r="M5" s="577"/>
      <c r="N5" s="585"/>
      <c r="O5" s="583"/>
    </row>
    <row r="6" spans="1:18" s="162" customFormat="1" x14ac:dyDescent="0.25">
      <c r="A6" s="322">
        <f>'B) D RI'!A7</f>
        <v>5401</v>
      </c>
      <c r="B6" s="160" t="str">
        <f>'B) D RI'!B7</f>
        <v>Aigle</v>
      </c>
      <c r="C6" s="327">
        <f>'B) D RI'!S7</f>
        <v>67.5</v>
      </c>
      <c r="D6" s="328">
        <f>'B) D RI'!AR7</f>
        <v>10134</v>
      </c>
      <c r="E6" s="325">
        <f>'D) Ecrêtage'!M5</f>
        <v>276325.40780246921</v>
      </c>
      <c r="F6" s="165">
        <f>'E) Fact soc'!G11</f>
        <v>5260827.5786436517</v>
      </c>
      <c r="G6" s="326">
        <f>'H) Péréquation directe'!I16</f>
        <v>-3175942.0392084271</v>
      </c>
      <c r="H6" s="165">
        <f>+'I) Dépenses thématiques'!O5</f>
        <v>-2210716.5850924733</v>
      </c>
      <c r="I6" s="326">
        <f>'K) Plafonnement aide'!J5</f>
        <v>0</v>
      </c>
      <c r="J6" s="165">
        <f>'J) Plafonnement effort'!I5</f>
        <v>0</v>
      </c>
      <c r="K6" s="326">
        <f>+'L) Plafonnement taux'!Q6</f>
        <v>0</v>
      </c>
      <c r="L6" s="323">
        <f>F6+G6+H6+I6+J6+K6</f>
        <v>-125831.0456572487</v>
      </c>
      <c r="M6" s="233">
        <f>'M) Police'!O6</f>
        <v>343599.43522800837</v>
      </c>
      <c r="N6" s="232">
        <f>L6+M6</f>
        <v>217768.38957075967</v>
      </c>
      <c r="P6" s="289"/>
      <c r="R6" s="332"/>
    </row>
    <row r="7" spans="1:18" s="162" customFormat="1" x14ac:dyDescent="0.25">
      <c r="A7" s="159">
        <f>'B) D RI'!A8</f>
        <v>5402</v>
      </c>
      <c r="B7" s="160" t="str">
        <f>'B) D RI'!B8</f>
        <v>Bex</v>
      </c>
      <c r="C7" s="327">
        <f>'B) D RI'!S8</f>
        <v>71</v>
      </c>
      <c r="D7" s="161">
        <f>'B) D RI'!AR8</f>
        <v>7757</v>
      </c>
      <c r="E7" s="325">
        <f>'D) Ecrêtage'!M6</f>
        <v>172586.81591549295</v>
      </c>
      <c r="F7" s="329">
        <f>'E) Fact soc'!G12</f>
        <v>3027604.6396933645</v>
      </c>
      <c r="G7" s="326">
        <f>'H) Péréquation directe'!I17</f>
        <v>-3716560.4729800015</v>
      </c>
      <c r="H7" s="329">
        <f>+'I) Dépenses thématiques'!O6</f>
        <v>-1694678.7687016497</v>
      </c>
      <c r="I7" s="326">
        <f>'K) Plafonnement aide'!J6</f>
        <v>0</v>
      </c>
      <c r="J7" s="329">
        <f>'J) Plafonnement effort'!I6</f>
        <v>0</v>
      </c>
      <c r="K7" s="326">
        <f>+'L) Plafonnement taux'!Q7</f>
        <v>0</v>
      </c>
      <c r="L7" s="324">
        <f t="shared" ref="L7:L61" si="0">F7+G7+H7+I7+J7+K7</f>
        <v>-2383634.6019882867</v>
      </c>
      <c r="M7" s="233">
        <f>'M) Police'!O7</f>
        <v>214604.70446045502</v>
      </c>
      <c r="N7" s="233">
        <f t="shared" ref="N7:N70" si="1">L7+M7</f>
        <v>-2169029.8975278316</v>
      </c>
      <c r="P7" s="470"/>
      <c r="R7" s="332"/>
    </row>
    <row r="8" spans="1:18" s="162" customFormat="1" x14ac:dyDescent="0.25">
      <c r="A8" s="159">
        <f>'B) D RI'!A9</f>
        <v>5403</v>
      </c>
      <c r="B8" s="160" t="str">
        <f>'B) D RI'!B9</f>
        <v>Chessel</v>
      </c>
      <c r="C8" s="327">
        <f>'B) D RI'!S9</f>
        <v>74</v>
      </c>
      <c r="D8" s="161">
        <f>'B) D RI'!AR9</f>
        <v>426</v>
      </c>
      <c r="E8" s="325">
        <f>'D) Ecrêtage'!M7</f>
        <v>10175.556621621625</v>
      </c>
      <c r="F8" s="329">
        <f>'E) Fact soc'!G13</f>
        <v>181036.62000155236</v>
      </c>
      <c r="G8" s="326">
        <f>'H) Péréquation directe'!I18</f>
        <v>-45541.005570100475</v>
      </c>
      <c r="H8" s="329">
        <f>+'I) Dépenses thématiques'!O7</f>
        <v>-40283.915337763567</v>
      </c>
      <c r="I8" s="326">
        <f>'K) Plafonnement aide'!J7</f>
        <v>0</v>
      </c>
      <c r="J8" s="329">
        <f>'J) Plafonnement effort'!I7</f>
        <v>0</v>
      </c>
      <c r="K8" s="326">
        <f>+'L) Plafonnement taux'!Q8</f>
        <v>0</v>
      </c>
      <c r="L8" s="324">
        <f t="shared" si="0"/>
        <v>95211.699093688323</v>
      </c>
      <c r="M8" s="233">
        <f>'M) Police'!O8</f>
        <v>31379.882149178302</v>
      </c>
      <c r="N8" s="233">
        <f t="shared" si="1"/>
        <v>126591.58124286662</v>
      </c>
      <c r="P8" s="470"/>
      <c r="R8" s="332"/>
    </row>
    <row r="9" spans="1:18" s="162" customFormat="1" x14ac:dyDescent="0.25">
      <c r="A9" s="159">
        <f>'B) D RI'!A10</f>
        <v>5404</v>
      </c>
      <c r="B9" s="160" t="str">
        <f>'B) D RI'!B10</f>
        <v>Corbeyrier</v>
      </c>
      <c r="C9" s="327">
        <f>'B) D RI'!S10</f>
        <v>70</v>
      </c>
      <c r="D9" s="161">
        <f>'B) D RI'!AR10</f>
        <v>438</v>
      </c>
      <c r="E9" s="325">
        <f>'D) Ecrêtage'!M8</f>
        <v>12084.741666666667</v>
      </c>
      <c r="F9" s="329">
        <f>'E) Fact soc'!G14</f>
        <v>212853.32983987691</v>
      </c>
      <c r="G9" s="326">
        <f>'H) Péréquation directe'!I19</f>
        <v>36750.246462897572</v>
      </c>
      <c r="H9" s="329">
        <f>+'I) Dépenses thématiques'!O8</f>
        <v>-133826.04212951992</v>
      </c>
      <c r="I9" s="326">
        <f>'K) Plafonnement aide'!J8</f>
        <v>0</v>
      </c>
      <c r="J9" s="329">
        <f>'J) Plafonnement effort'!I8</f>
        <v>0</v>
      </c>
      <c r="K9" s="326">
        <f>+'L) Plafonnement taux'!Q9</f>
        <v>0</v>
      </c>
      <c r="L9" s="324">
        <f t="shared" si="0"/>
        <v>115777.53417325456</v>
      </c>
      <c r="M9" s="233">
        <f>'M) Police'!O9</f>
        <v>36913.417463283513</v>
      </c>
      <c r="N9" s="233">
        <f t="shared" si="1"/>
        <v>152690.95163653808</v>
      </c>
      <c r="P9" s="470"/>
      <c r="R9" s="332"/>
    </row>
    <row r="10" spans="1:18" s="162" customFormat="1" x14ac:dyDescent="0.25">
      <c r="A10" s="159">
        <f>'B) D RI'!A11</f>
        <v>5405</v>
      </c>
      <c r="B10" s="160" t="str">
        <f>'B) D RI'!B11</f>
        <v>Gryon</v>
      </c>
      <c r="C10" s="327">
        <f>'B) D RI'!S11</f>
        <v>75</v>
      </c>
      <c r="D10" s="161">
        <f>'B) D RI'!AR11</f>
        <v>1332</v>
      </c>
      <c r="E10" s="325">
        <f>'D) Ecrêtage'!M9</f>
        <v>67578.882888888897</v>
      </c>
      <c r="F10" s="329">
        <f>'E) Fact soc'!G15</f>
        <v>1776866.6268886912</v>
      </c>
      <c r="G10" s="326">
        <f>'H) Péréquation directe'!I20</f>
        <v>1066756.9828756647</v>
      </c>
      <c r="H10" s="329">
        <f>+'I) Dépenses thématiques'!O9</f>
        <v>-675340.61470212752</v>
      </c>
      <c r="I10" s="326">
        <f>'K) Plafonnement aide'!J9</f>
        <v>0</v>
      </c>
      <c r="J10" s="329">
        <f>'J) Plafonnement effort'!I9</f>
        <v>0</v>
      </c>
      <c r="K10" s="326">
        <f>+'L) Plafonnement taux'!Q10</f>
        <v>0</v>
      </c>
      <c r="L10" s="324">
        <f t="shared" si="0"/>
        <v>2168282.9950622288</v>
      </c>
      <c r="M10" s="233">
        <f>'M) Police'!O10</f>
        <v>198211.67885785425</v>
      </c>
      <c r="N10" s="233">
        <f t="shared" si="1"/>
        <v>2366494.6739200829</v>
      </c>
      <c r="P10" s="470"/>
      <c r="R10" s="332"/>
    </row>
    <row r="11" spans="1:18" s="162" customFormat="1" x14ac:dyDescent="0.25">
      <c r="A11" s="159">
        <f>'B) D RI'!A12</f>
        <v>5406</v>
      </c>
      <c r="B11" s="160" t="str">
        <f>'B) D RI'!B12</f>
        <v>Lavey-Morcles</v>
      </c>
      <c r="C11" s="327">
        <f>'B) D RI'!S12</f>
        <v>71</v>
      </c>
      <c r="D11" s="161">
        <f>'B) D RI'!AR12</f>
        <v>946</v>
      </c>
      <c r="E11" s="325">
        <f>'D) Ecrêtage'!M10</f>
        <v>21586.094615384616</v>
      </c>
      <c r="F11" s="329">
        <f>'E) Fact soc'!G16</f>
        <v>341022.5278879205</v>
      </c>
      <c r="G11" s="326">
        <f>'H) Péréquation directe'!I21</f>
        <v>-105930.60879013693</v>
      </c>
      <c r="H11" s="329">
        <f>+'I) Dépenses thématiques'!O10</f>
        <v>-76721.782489343415</v>
      </c>
      <c r="I11" s="326">
        <f>'K) Plafonnement aide'!J10</f>
        <v>0</v>
      </c>
      <c r="J11" s="329">
        <f>'J) Plafonnement effort'!I10</f>
        <v>0</v>
      </c>
      <c r="K11" s="326">
        <f>+'L) Plafonnement taux'!Q11</f>
        <v>0</v>
      </c>
      <c r="L11" s="324">
        <f t="shared" si="0"/>
        <v>158370.13660844014</v>
      </c>
      <c r="M11" s="233">
        <f>'M) Police'!O11</f>
        <v>65654.08257347258</v>
      </c>
      <c r="N11" s="233">
        <f t="shared" si="1"/>
        <v>224024.21918191272</v>
      </c>
      <c r="P11" s="470"/>
      <c r="R11" s="332"/>
    </row>
    <row r="12" spans="1:18" s="162" customFormat="1" x14ac:dyDescent="0.25">
      <c r="A12" s="159">
        <f>'B) D RI'!A13</f>
        <v>5407</v>
      </c>
      <c r="B12" s="160" t="str">
        <f>'B) D RI'!B13</f>
        <v>Leysin</v>
      </c>
      <c r="C12" s="327">
        <f>'B) D RI'!S13</f>
        <v>78</v>
      </c>
      <c r="D12" s="161">
        <f>'B) D RI'!AR13</f>
        <v>3939</v>
      </c>
      <c r="E12" s="325">
        <f>'D) Ecrêtage'!M11</f>
        <v>89616.305299145315</v>
      </c>
      <c r="F12" s="329">
        <f>'E) Fact soc'!G17</f>
        <v>1534486.4139272748</v>
      </c>
      <c r="G12" s="326">
        <f>'H) Péréquation directe'!I22</f>
        <v>-1690059.7487696793</v>
      </c>
      <c r="H12" s="329">
        <f>+'I) Dépenses thématiques'!O11</f>
        <v>-1720471.9641072114</v>
      </c>
      <c r="I12" s="326">
        <f>'K) Plafonnement aide'!J11</f>
        <v>0</v>
      </c>
      <c r="J12" s="329">
        <f>'J) Plafonnement effort'!I11</f>
        <v>0</v>
      </c>
      <c r="K12" s="326">
        <f>+'L) Plafonnement taux'!Q12</f>
        <v>0</v>
      </c>
      <c r="L12" s="324">
        <f t="shared" si="0"/>
        <v>-1876045.298949616</v>
      </c>
      <c r="M12" s="233">
        <f>'M) Police'!O12</f>
        <v>268479.66797041777</v>
      </c>
      <c r="N12" s="233">
        <f t="shared" si="1"/>
        <v>-1607565.6309791983</v>
      </c>
      <c r="P12" s="470"/>
      <c r="R12" s="332"/>
    </row>
    <row r="13" spans="1:18" s="162" customFormat="1" x14ac:dyDescent="0.25">
      <c r="A13" s="159">
        <f>'B) D RI'!A14</f>
        <v>5408</v>
      </c>
      <c r="B13" s="160" t="str">
        <f>'B) D RI'!B14</f>
        <v>Noville</v>
      </c>
      <c r="C13" s="327">
        <f>'B) D RI'!S14</f>
        <v>78.5</v>
      </c>
      <c r="D13" s="161">
        <f>'B) D RI'!AR14</f>
        <v>1113</v>
      </c>
      <c r="E13" s="325">
        <f>'D) Ecrêtage'!M12</f>
        <v>38763.706581740975</v>
      </c>
      <c r="F13" s="329">
        <f>'E) Fact soc'!G18</f>
        <v>827851.96909378935</v>
      </c>
      <c r="G13" s="326">
        <f>'H) Péréquation directe'!I23</f>
        <v>317679.68063826853</v>
      </c>
      <c r="H13" s="329">
        <f>+'I) Dépenses thématiques'!O12</f>
        <v>-157345.45998361078</v>
      </c>
      <c r="I13" s="326">
        <f>'K) Plafonnement aide'!J12</f>
        <v>0</v>
      </c>
      <c r="J13" s="329">
        <f>'J) Plafonnement effort'!I12</f>
        <v>0</v>
      </c>
      <c r="K13" s="326">
        <f>+'L) Plafonnement taux'!Q13</f>
        <v>0</v>
      </c>
      <c r="L13" s="324">
        <f t="shared" si="0"/>
        <v>988186.18974844716</v>
      </c>
      <c r="M13" s="233">
        <f>'M) Police'!O13</f>
        <v>120532.56544159286</v>
      </c>
      <c r="N13" s="233">
        <f t="shared" si="1"/>
        <v>1108718.75519004</v>
      </c>
      <c r="P13" s="470"/>
      <c r="R13" s="332"/>
    </row>
    <row r="14" spans="1:18" s="162" customFormat="1" x14ac:dyDescent="0.25">
      <c r="A14" s="159">
        <f>'B) D RI'!A15</f>
        <v>5409</v>
      </c>
      <c r="B14" s="160" t="str">
        <f>'B) D RI'!B15</f>
        <v>Ollon</v>
      </c>
      <c r="C14" s="327">
        <f>'B) D RI'!S15</f>
        <v>68</v>
      </c>
      <c r="D14" s="161">
        <f>'B) D RI'!AR15</f>
        <v>7461</v>
      </c>
      <c r="E14" s="325">
        <f>'D) Ecrêtage'!M13</f>
        <v>369055.23328054306</v>
      </c>
      <c r="F14" s="329">
        <f>'E) Fact soc'!G19</f>
        <v>7472621.3673177278</v>
      </c>
      <c r="G14" s="326">
        <f>'H) Péréquation directe'!I24</f>
        <v>3731868.659865031</v>
      </c>
      <c r="H14" s="329">
        <f>+'I) Dépenses thématiques'!O13</f>
        <v>-2095444.7369429606</v>
      </c>
      <c r="I14" s="326">
        <f>'K) Plafonnement aide'!J13</f>
        <v>0</v>
      </c>
      <c r="J14" s="329">
        <f>'J) Plafonnement effort'!I13</f>
        <v>0</v>
      </c>
      <c r="K14" s="326">
        <f>+'L) Plafonnement taux'!Q14</f>
        <v>0</v>
      </c>
      <c r="L14" s="324">
        <f t="shared" si="0"/>
        <v>9109045.2902397979</v>
      </c>
      <c r="M14" s="233">
        <f>'M) Police'!O14</f>
        <v>458905.21154603118</v>
      </c>
      <c r="N14" s="233">
        <f t="shared" si="1"/>
        <v>9567950.5017858297</v>
      </c>
      <c r="P14" s="470"/>
      <c r="R14" s="332"/>
    </row>
    <row r="15" spans="1:18" s="162" customFormat="1" x14ac:dyDescent="0.25">
      <c r="A15" s="159">
        <f>'B) D RI'!A16</f>
        <v>5410</v>
      </c>
      <c r="B15" s="160" t="str">
        <f>'B) D RI'!B16</f>
        <v>Ormont-Dessous</v>
      </c>
      <c r="C15" s="327">
        <f>'B) D RI'!S16</f>
        <v>78.5</v>
      </c>
      <c r="D15" s="161">
        <f>'B) D RI'!AR16</f>
        <v>1121</v>
      </c>
      <c r="E15" s="325">
        <f>'D) Ecrêtage'!M14</f>
        <v>43491.149554140131</v>
      </c>
      <c r="F15" s="329">
        <f>'E) Fact soc'!G20</f>
        <v>797690.64907908998</v>
      </c>
      <c r="G15" s="326">
        <f>'H) Péréquation directe'!I25</f>
        <v>511452.98268282122</v>
      </c>
      <c r="H15" s="329">
        <f>+'I) Dépenses thématiques'!O14</f>
        <v>-827996.34382075828</v>
      </c>
      <c r="I15" s="326">
        <f>'K) Plafonnement aide'!J14</f>
        <v>0</v>
      </c>
      <c r="J15" s="329">
        <f>'J) Plafonnement effort'!I14</f>
        <v>0</v>
      </c>
      <c r="K15" s="326">
        <f>+'L) Plafonnement taux'!Q15</f>
        <v>0</v>
      </c>
      <c r="L15" s="324">
        <f t="shared" si="0"/>
        <v>481147.28794115304</v>
      </c>
      <c r="M15" s="233">
        <f>'M) Police'!O15</f>
        <v>131438.70034262</v>
      </c>
      <c r="N15" s="233">
        <f t="shared" si="1"/>
        <v>612585.98828377307</v>
      </c>
      <c r="P15" s="470"/>
      <c r="R15" s="332"/>
    </row>
    <row r="16" spans="1:18" s="162" customFormat="1" x14ac:dyDescent="0.25">
      <c r="A16" s="159">
        <f>'B) D RI'!A17</f>
        <v>5411</v>
      </c>
      <c r="B16" s="160" t="str">
        <f>'B) D RI'!B17</f>
        <v>Ormont-Dessus</v>
      </c>
      <c r="C16" s="327">
        <f>'B) D RI'!S17</f>
        <v>76</v>
      </c>
      <c r="D16" s="161">
        <f>'B) D RI'!AR17</f>
        <v>1446</v>
      </c>
      <c r="E16" s="325">
        <f>'D) Ecrêtage'!M15</f>
        <v>72912.297236842089</v>
      </c>
      <c r="F16" s="329">
        <f>'E) Fact soc'!G21</f>
        <v>1438636.4957075645</v>
      </c>
      <c r="G16" s="326">
        <f>'H) Péréquation directe'!I26</f>
        <v>1128132.6109523824</v>
      </c>
      <c r="H16" s="329">
        <f>+'I) Dépenses thématiques'!O15</f>
        <v>-778498.67140715709</v>
      </c>
      <c r="I16" s="326">
        <f>'K) Plafonnement aide'!J15</f>
        <v>0</v>
      </c>
      <c r="J16" s="329">
        <f>'J) Plafonnement effort'!I15</f>
        <v>0</v>
      </c>
      <c r="K16" s="326">
        <f>+'L) Plafonnement taux'!Q16</f>
        <v>0</v>
      </c>
      <c r="L16" s="324">
        <f t="shared" si="0"/>
        <v>1788270.4352527899</v>
      </c>
      <c r="M16" s="233">
        <f>'M) Police'!O16</f>
        <v>214615.73220102218</v>
      </c>
      <c r="N16" s="233">
        <f t="shared" si="1"/>
        <v>2002886.167453812</v>
      </c>
      <c r="P16" s="470"/>
      <c r="R16" s="332"/>
    </row>
    <row r="17" spans="1:18" s="162" customFormat="1" x14ac:dyDescent="0.25">
      <c r="A17" s="159">
        <f>'B) D RI'!A18</f>
        <v>5412</v>
      </c>
      <c r="B17" s="160" t="str">
        <f>'B) D RI'!B18</f>
        <v>Rennaz</v>
      </c>
      <c r="C17" s="327">
        <f>'B) D RI'!S18</f>
        <v>67.5</v>
      </c>
      <c r="D17" s="161">
        <f>'B) D RI'!AR18</f>
        <v>826</v>
      </c>
      <c r="E17" s="325">
        <f>'D) Ecrêtage'!M16</f>
        <v>28091.749629629627</v>
      </c>
      <c r="F17" s="329">
        <f>'E) Fact soc'!G22</f>
        <v>850687.91946018953</v>
      </c>
      <c r="G17" s="326">
        <f>'H) Péréquation directe'!I27</f>
        <v>285541.164839315</v>
      </c>
      <c r="H17" s="329">
        <f>+'I) Dépenses thématiques'!O16</f>
        <v>-23203.878341445281</v>
      </c>
      <c r="I17" s="326">
        <f>'K) Plafonnement aide'!J16</f>
        <v>0</v>
      </c>
      <c r="J17" s="329">
        <f>'J) Plafonnement effort'!I16</f>
        <v>0</v>
      </c>
      <c r="K17" s="326">
        <f>+'L) Plafonnement taux'!Q17</f>
        <v>0</v>
      </c>
      <c r="L17" s="324">
        <f t="shared" si="0"/>
        <v>1113025.2059580593</v>
      </c>
      <c r="M17" s="233">
        <f>'M) Police'!O17</f>
        <v>83223.67702473799</v>
      </c>
      <c r="N17" s="233">
        <f t="shared" si="1"/>
        <v>1196248.8829827972</v>
      </c>
      <c r="P17" s="470"/>
      <c r="R17" s="332"/>
    </row>
    <row r="18" spans="1:18" s="162" customFormat="1" x14ac:dyDescent="0.25">
      <c r="A18" s="159">
        <f>'B) D RI'!A19</f>
        <v>5413</v>
      </c>
      <c r="B18" s="160" t="str">
        <f>'B) D RI'!B19</f>
        <v>Roche</v>
      </c>
      <c r="C18" s="327">
        <f>'B) D RI'!S19</f>
        <v>68</v>
      </c>
      <c r="D18" s="161">
        <f>'B) D RI'!AR19</f>
        <v>1775</v>
      </c>
      <c r="E18" s="325">
        <f>'D) Ecrêtage'!M17</f>
        <v>39560.237499999996</v>
      </c>
      <c r="F18" s="329">
        <f>'E) Fact soc'!G23</f>
        <v>828116.82240755495</v>
      </c>
      <c r="G18" s="326">
        <f>'H) Péréquation directe'!I28</f>
        <v>-362127.33876613493</v>
      </c>
      <c r="H18" s="329">
        <f>+'I) Dépenses thématiques'!O17</f>
        <v>-26686.63365603963</v>
      </c>
      <c r="I18" s="326">
        <f>'K) Plafonnement aide'!J17</f>
        <v>0</v>
      </c>
      <c r="J18" s="329">
        <f>'J) Plafonnement effort'!I17</f>
        <v>0</v>
      </c>
      <c r="K18" s="326">
        <f>+'L) Plafonnement taux'!Q18</f>
        <v>0</v>
      </c>
      <c r="L18" s="324">
        <f t="shared" si="0"/>
        <v>439302.84998538042</v>
      </c>
      <c r="M18" s="233">
        <f>'M) Police'!O18</f>
        <v>120117.04465433431</v>
      </c>
      <c r="N18" s="233">
        <f t="shared" si="1"/>
        <v>559419.89463971474</v>
      </c>
      <c r="P18" s="470"/>
      <c r="R18" s="332"/>
    </row>
    <row r="19" spans="1:18" s="162" customFormat="1" x14ac:dyDescent="0.25">
      <c r="A19" s="159">
        <f>'B) D RI'!A20</f>
        <v>5414</v>
      </c>
      <c r="B19" s="160" t="str">
        <f>'B) D RI'!B20</f>
        <v>Villeneuve</v>
      </c>
      <c r="C19" s="327">
        <f>'B) D RI'!S20</f>
        <v>69</v>
      </c>
      <c r="D19" s="161">
        <f>'B) D RI'!AR20</f>
        <v>5771</v>
      </c>
      <c r="E19" s="325">
        <f>'D) Ecrêtage'!M18</f>
        <v>165641.09797101447</v>
      </c>
      <c r="F19" s="329">
        <f>'E) Fact soc'!G24</f>
        <v>3673292.2412578398</v>
      </c>
      <c r="G19" s="326">
        <f>'H) Péréquation directe'!I29</f>
        <v>-900925.50363844959</v>
      </c>
      <c r="H19" s="329">
        <f>+'I) Dépenses thématiques'!O18</f>
        <v>-1728909.4649967663</v>
      </c>
      <c r="I19" s="326">
        <f>'K) Plafonnement aide'!J18</f>
        <v>0</v>
      </c>
      <c r="J19" s="329">
        <f>'J) Plafonnement effort'!I18</f>
        <v>0</v>
      </c>
      <c r="K19" s="326">
        <f>+'L) Plafonnement taux'!Q19</f>
        <v>0</v>
      </c>
      <c r="L19" s="324">
        <f t="shared" si="0"/>
        <v>1043457.2726226239</v>
      </c>
      <c r="M19" s="233">
        <f>'M) Police'!O19</f>
        <v>498088.09349166305</v>
      </c>
      <c r="N19" s="233">
        <f t="shared" si="1"/>
        <v>1541545.3661142869</v>
      </c>
      <c r="P19" s="470"/>
      <c r="R19" s="332"/>
    </row>
    <row r="20" spans="1:18" s="162" customFormat="1" x14ac:dyDescent="0.25">
      <c r="A20" s="159">
        <f>'B) D RI'!A21</f>
        <v>5415</v>
      </c>
      <c r="B20" s="160" t="str">
        <f>'B) D RI'!B21</f>
        <v>Yvorne</v>
      </c>
      <c r="C20" s="327">
        <f>'B) D RI'!S21</f>
        <v>71.5</v>
      </c>
      <c r="D20" s="161">
        <f>'B) D RI'!AR21</f>
        <v>1066</v>
      </c>
      <c r="E20" s="325">
        <f>'D) Ecrêtage'!M19</f>
        <v>34590.752587412586</v>
      </c>
      <c r="F20" s="329">
        <f>'E) Fact soc'!G25</f>
        <v>587224.80917261972</v>
      </c>
      <c r="G20" s="326">
        <f>'H) Péréquation directe'!I30</f>
        <v>260684.28524821112</v>
      </c>
      <c r="H20" s="329">
        <f>+'I) Dépenses thématiques'!O19</f>
        <v>-91569.065627531323</v>
      </c>
      <c r="I20" s="326">
        <f>'K) Plafonnement aide'!J19</f>
        <v>0</v>
      </c>
      <c r="J20" s="329">
        <f>'J) Plafonnement effort'!I19</f>
        <v>0</v>
      </c>
      <c r="K20" s="326">
        <f>+'L) Plafonnement taux'!Q20</f>
        <v>0</v>
      </c>
      <c r="L20" s="324">
        <f t="shared" si="0"/>
        <v>756340.02879329957</v>
      </c>
      <c r="M20" s="233">
        <f>'M) Police'!O20</f>
        <v>106183.8580588325</v>
      </c>
      <c r="N20" s="233">
        <f t="shared" si="1"/>
        <v>862523.88685213204</v>
      </c>
      <c r="P20" s="470"/>
      <c r="R20" s="332"/>
    </row>
    <row r="21" spans="1:18" s="162" customFormat="1" x14ac:dyDescent="0.25">
      <c r="A21" s="159">
        <f>'B) D RI'!A22</f>
        <v>5421</v>
      </c>
      <c r="B21" s="160" t="str">
        <f>'B) D RI'!B22</f>
        <v>Apples</v>
      </c>
      <c r="C21" s="327">
        <f>'B) D RI'!S22</f>
        <v>76</v>
      </c>
      <c r="D21" s="161">
        <f>'B) D RI'!AR22</f>
        <v>1469</v>
      </c>
      <c r="E21" s="325">
        <f>'D) Ecrêtage'!M20</f>
        <v>67631.915526315803</v>
      </c>
      <c r="F21" s="329">
        <f>'E) Fact soc'!G26</f>
        <v>1089196.7473636433</v>
      </c>
      <c r="G21" s="326">
        <f>'H) Péréquation directe'!I31</f>
        <v>1019861.8541880084</v>
      </c>
      <c r="H21" s="329">
        <f>+'I) Dépenses thématiques'!O20</f>
        <v>-143703.99854993093</v>
      </c>
      <c r="I21" s="326">
        <f>'K) Plafonnement aide'!J20</f>
        <v>0</v>
      </c>
      <c r="J21" s="329">
        <f>'J) Plafonnement effort'!I20</f>
        <v>0</v>
      </c>
      <c r="K21" s="326">
        <f>+'L) Plafonnement taux'!Q21</f>
        <v>0</v>
      </c>
      <c r="L21" s="324">
        <f t="shared" si="0"/>
        <v>1965354.6030017205</v>
      </c>
      <c r="M21" s="233">
        <f>'M) Police'!O21</f>
        <v>210021.36969439749</v>
      </c>
      <c r="N21" s="233">
        <f t="shared" si="1"/>
        <v>2175375.9726961181</v>
      </c>
      <c r="P21" s="470"/>
      <c r="R21" s="332"/>
    </row>
    <row r="22" spans="1:18" s="162" customFormat="1" x14ac:dyDescent="0.25">
      <c r="A22" s="159">
        <f>'B) D RI'!A23</f>
        <v>5422</v>
      </c>
      <c r="B22" s="160" t="str">
        <f>'B) D RI'!B23</f>
        <v>Aubonne</v>
      </c>
      <c r="C22" s="327">
        <f>'B) D RI'!S23</f>
        <v>68</v>
      </c>
      <c r="D22" s="161">
        <f>'B) D RI'!AR23</f>
        <v>3242</v>
      </c>
      <c r="E22" s="325">
        <f>'D) Ecrêtage'!M21</f>
        <v>227451.77123229718</v>
      </c>
      <c r="F22" s="329">
        <f>'E) Fact soc'!G27</f>
        <v>6301970.4613599787</v>
      </c>
      <c r="G22" s="326">
        <f>'H) Péréquation directe'!I32</f>
        <v>3397271.7682914827</v>
      </c>
      <c r="H22" s="329">
        <f>+'I) Dépenses thématiques'!O21</f>
        <v>0</v>
      </c>
      <c r="I22" s="326">
        <f>'K) Plafonnement aide'!J21</f>
        <v>0</v>
      </c>
      <c r="J22" s="329">
        <f>'J) Plafonnement effort'!I21</f>
        <v>0</v>
      </c>
      <c r="K22" s="326">
        <f>+'L) Plafonnement taux'!Q22</f>
        <v>0</v>
      </c>
      <c r="L22" s="324">
        <f t="shared" si="0"/>
        <v>9699242.2296514623</v>
      </c>
      <c r="M22" s="233">
        <f>'M) Police'!O22</f>
        <v>560733.82053618063</v>
      </c>
      <c r="N22" s="233">
        <f t="shared" si="1"/>
        <v>10259976.050187644</v>
      </c>
      <c r="P22" s="470"/>
      <c r="R22" s="332"/>
    </row>
    <row r="23" spans="1:18" s="162" customFormat="1" x14ac:dyDescent="0.25">
      <c r="A23" s="159">
        <f>'B) D RI'!A24</f>
        <v>5423</v>
      </c>
      <c r="B23" s="160" t="str">
        <f>'B) D RI'!B24</f>
        <v>Ballens</v>
      </c>
      <c r="C23" s="327">
        <f>'B) D RI'!S24</f>
        <v>73</v>
      </c>
      <c r="D23" s="161">
        <f>'B) D RI'!AR24</f>
        <v>536</v>
      </c>
      <c r="E23" s="325">
        <f>'D) Ecrêtage'!M22</f>
        <v>13821.516027397261</v>
      </c>
      <c r="F23" s="329">
        <f>'E) Fact soc'!G28</f>
        <v>225408.94784142531</v>
      </c>
      <c r="G23" s="326">
        <f>'H) Péréquation directe'!I33</f>
        <v>-9796.3854967502994</v>
      </c>
      <c r="H23" s="329">
        <f>+'I) Dépenses thématiques'!O22</f>
        <v>-87454.462498086024</v>
      </c>
      <c r="I23" s="326">
        <f>'K) Plafonnement aide'!J22</f>
        <v>0</v>
      </c>
      <c r="J23" s="329">
        <f>'J) Plafonnement effort'!I22</f>
        <v>0</v>
      </c>
      <c r="K23" s="326">
        <f>+'L) Plafonnement taux'!Q23</f>
        <v>0</v>
      </c>
      <c r="L23" s="324">
        <f t="shared" si="0"/>
        <v>128158.09984658899</v>
      </c>
      <c r="M23" s="233">
        <f>'M) Police'!O23</f>
        <v>42626.237512255291</v>
      </c>
      <c r="N23" s="233">
        <f t="shared" si="1"/>
        <v>170784.33735884429</v>
      </c>
      <c r="P23" s="470"/>
      <c r="R23" s="332"/>
    </row>
    <row r="24" spans="1:18" s="162" customFormat="1" x14ac:dyDescent="0.25">
      <c r="A24" s="159">
        <f>'B) D RI'!A25</f>
        <v>5424</v>
      </c>
      <c r="B24" s="160" t="str">
        <f>'B) D RI'!B25</f>
        <v>Berolle</v>
      </c>
      <c r="C24" s="327">
        <f>'B) D RI'!S25</f>
        <v>77</v>
      </c>
      <c r="D24" s="161">
        <f>'B) D RI'!AR25</f>
        <v>307</v>
      </c>
      <c r="E24" s="325">
        <f>'D) Ecrêtage'!M23</f>
        <v>9297.6342857142881</v>
      </c>
      <c r="F24" s="329">
        <f>'E) Fact soc'!G29</f>
        <v>140310.73124882783</v>
      </c>
      <c r="G24" s="326">
        <f>'H) Péréquation directe'!I34</f>
        <v>39021.189925021812</v>
      </c>
      <c r="H24" s="329">
        <f>+'I) Dépenses thématiques'!O23</f>
        <v>-34413.353380495522</v>
      </c>
      <c r="I24" s="326">
        <f>'K) Plafonnement aide'!J23</f>
        <v>0</v>
      </c>
      <c r="J24" s="329">
        <f>'J) Plafonnement effort'!I23</f>
        <v>0</v>
      </c>
      <c r="K24" s="326">
        <f>+'L) Plafonnement taux'!Q24</f>
        <v>0</v>
      </c>
      <c r="L24" s="324">
        <f t="shared" si="0"/>
        <v>144918.5677933541</v>
      </c>
      <c r="M24" s="233">
        <f>'M) Police'!O24</f>
        <v>28855.019119818931</v>
      </c>
      <c r="N24" s="233">
        <f t="shared" si="1"/>
        <v>173773.58691317303</v>
      </c>
      <c r="P24" s="470"/>
      <c r="R24" s="332"/>
    </row>
    <row r="25" spans="1:18" s="162" customFormat="1" x14ac:dyDescent="0.25">
      <c r="A25" s="159">
        <f>'B) D RI'!A26</f>
        <v>5425</v>
      </c>
      <c r="B25" s="160" t="str">
        <f>'B) D RI'!B26</f>
        <v>Bière</v>
      </c>
      <c r="C25" s="327">
        <f>'B) D RI'!S26</f>
        <v>70</v>
      </c>
      <c r="D25" s="161">
        <f>'B) D RI'!AR26</f>
        <v>1595</v>
      </c>
      <c r="E25" s="325">
        <f>'D) Ecrêtage'!M24</f>
        <v>39425.527551724139</v>
      </c>
      <c r="F25" s="329">
        <f>'E) Fact soc'!G30</f>
        <v>670850.14856350399</v>
      </c>
      <c r="G25" s="326">
        <f>'H) Péréquation directe'!I35</f>
        <v>-190870.10161699331</v>
      </c>
      <c r="H25" s="329">
        <f>+'I) Dépenses thématiques'!O24</f>
        <v>-407493.68532991537</v>
      </c>
      <c r="I25" s="326">
        <f>'K) Plafonnement aide'!J24</f>
        <v>0</v>
      </c>
      <c r="J25" s="329">
        <f>'J) Plafonnement effort'!I24</f>
        <v>0</v>
      </c>
      <c r="K25" s="326">
        <f>+'L) Plafonnement taux'!Q25</f>
        <v>0</v>
      </c>
      <c r="L25" s="324">
        <f t="shared" si="0"/>
        <v>72486.361616595299</v>
      </c>
      <c r="M25" s="233">
        <f>'M) Police'!O25</f>
        <v>121782.72332348659</v>
      </c>
      <c r="N25" s="233">
        <f t="shared" si="1"/>
        <v>194269.08494008187</v>
      </c>
      <c r="P25" s="470"/>
      <c r="R25" s="332"/>
    </row>
    <row r="26" spans="1:18" s="162" customFormat="1" x14ac:dyDescent="0.25">
      <c r="A26" s="159">
        <f>'B) D RI'!A27</f>
        <v>5426</v>
      </c>
      <c r="B26" s="160" t="str">
        <f>'B) D RI'!B27</f>
        <v>Bougy-Villars</v>
      </c>
      <c r="C26" s="327">
        <f>'B) D RI'!S27</f>
        <v>66</v>
      </c>
      <c r="D26" s="161">
        <f>'B) D RI'!AR27</f>
        <v>490</v>
      </c>
      <c r="E26" s="325">
        <f>'D) Ecrêtage'!M25</f>
        <v>45417.783497595345</v>
      </c>
      <c r="F26" s="329">
        <f>'E) Fact soc'!G31</f>
        <v>2514377.337031682</v>
      </c>
      <c r="G26" s="326">
        <f>'H) Péréquation directe'!I36</f>
        <v>813140.84565114731</v>
      </c>
      <c r="H26" s="329">
        <f>+'I) Dépenses thématiques'!O25</f>
        <v>0</v>
      </c>
      <c r="I26" s="326">
        <f>'K) Plafonnement aide'!J25</f>
        <v>0</v>
      </c>
      <c r="J26" s="329">
        <f>'J) Plafonnement effort'!I25</f>
        <v>-1042875.4497282845</v>
      </c>
      <c r="K26" s="326">
        <f>+'L) Plafonnement taux'!Q26</f>
        <v>0</v>
      </c>
      <c r="L26" s="324">
        <f t="shared" si="0"/>
        <v>2284642.7329545449</v>
      </c>
      <c r="M26" s="233">
        <f>'M) Police'!O26</f>
        <v>98478.353722950138</v>
      </c>
      <c r="N26" s="233">
        <f t="shared" si="1"/>
        <v>2383121.0866774949</v>
      </c>
      <c r="P26" s="470"/>
      <c r="R26" s="332"/>
    </row>
    <row r="27" spans="1:18" s="162" customFormat="1" x14ac:dyDescent="0.25">
      <c r="A27" s="159">
        <f>'B) D RI'!A28</f>
        <v>5427</v>
      </c>
      <c r="B27" s="160" t="str">
        <f>'B) D RI'!B28</f>
        <v>Féchy</v>
      </c>
      <c r="C27" s="327">
        <f>'B) D RI'!S28</f>
        <v>64</v>
      </c>
      <c r="D27" s="161">
        <f>'B) D RI'!AR28</f>
        <v>860</v>
      </c>
      <c r="E27" s="325">
        <f>'D) Ecrêtage'!M26</f>
        <v>67807.151141872484</v>
      </c>
      <c r="F27" s="329">
        <f>'E) Fact soc'!G32</f>
        <v>1875694.8237199374</v>
      </c>
      <c r="G27" s="326">
        <f>'H) Péréquation directe'!I37</f>
        <v>1201158.8401076724</v>
      </c>
      <c r="H27" s="329">
        <f>+'I) Dépenses thématiques'!O26</f>
        <v>0</v>
      </c>
      <c r="I27" s="326">
        <f>'K) Plafonnement aide'!J26</f>
        <v>0</v>
      </c>
      <c r="J27" s="329">
        <f>'J) Plafonnement effort'!I26</f>
        <v>0</v>
      </c>
      <c r="K27" s="326">
        <f>+'L) Plafonnement taux'!Q27</f>
        <v>0</v>
      </c>
      <c r="L27" s="324">
        <f t="shared" si="0"/>
        <v>3076853.6638276097</v>
      </c>
      <c r="M27" s="233">
        <f>'M) Police'!O27</f>
        <v>158035.31286165139</v>
      </c>
      <c r="N27" s="233">
        <f t="shared" si="1"/>
        <v>3234888.9766892609</v>
      </c>
      <c r="P27" s="470"/>
      <c r="R27" s="332"/>
    </row>
    <row r="28" spans="1:18" s="162" customFormat="1" x14ac:dyDescent="0.25">
      <c r="A28" s="159">
        <f>'B) D RI'!A29</f>
        <v>5428</v>
      </c>
      <c r="B28" s="160" t="str">
        <f>'B) D RI'!B29</f>
        <v>Gimel</v>
      </c>
      <c r="C28" s="327">
        <f>'B) D RI'!S29</f>
        <v>71.5</v>
      </c>
      <c r="D28" s="161">
        <f>'B) D RI'!AR29</f>
        <v>2186</v>
      </c>
      <c r="E28" s="325">
        <f>'D) Ecrêtage'!M27</f>
        <v>59817.35356643358</v>
      </c>
      <c r="F28" s="329">
        <f>'E) Fact soc'!G33</f>
        <v>1295950.6159311985</v>
      </c>
      <c r="G28" s="326">
        <f>'H) Péréquation directe'!I38</f>
        <v>-164453.03062276565</v>
      </c>
      <c r="H28" s="329">
        <f>+'I) Dépenses thématiques'!O27</f>
        <v>-225115.67558666322</v>
      </c>
      <c r="I28" s="326">
        <f>'K) Plafonnement aide'!J27</f>
        <v>0</v>
      </c>
      <c r="J28" s="329">
        <f>'J) Plafonnement effort'!I27</f>
        <v>0</v>
      </c>
      <c r="K28" s="326">
        <f>+'L) Plafonnement taux'!Q28</f>
        <v>0</v>
      </c>
      <c r="L28" s="324">
        <f t="shared" si="0"/>
        <v>906381.90972176963</v>
      </c>
      <c r="M28" s="233">
        <f>'M) Police'!O28</f>
        <v>184298.86045038345</v>
      </c>
      <c r="N28" s="233">
        <f t="shared" si="1"/>
        <v>1090680.7701721531</v>
      </c>
      <c r="P28" s="470"/>
      <c r="R28" s="332"/>
    </row>
    <row r="29" spans="1:18" s="162" customFormat="1" x14ac:dyDescent="0.25">
      <c r="A29" s="159">
        <f>'B) D RI'!A30</f>
        <v>5429</v>
      </c>
      <c r="B29" s="160" t="str">
        <f>'B) D RI'!B30</f>
        <v>Longirod</v>
      </c>
      <c r="C29" s="327">
        <f>'B) D RI'!S30</f>
        <v>81</v>
      </c>
      <c r="D29" s="161">
        <f>'B) D RI'!AR30</f>
        <v>478</v>
      </c>
      <c r="E29" s="325">
        <f>'D) Ecrêtage'!M28</f>
        <v>13793.381358024693</v>
      </c>
      <c r="F29" s="329">
        <f>'E) Fact soc'!G34</f>
        <v>238204.95186419465</v>
      </c>
      <c r="G29" s="326">
        <f>'H) Péréquation directe'!I39</f>
        <v>12274.037788651593</v>
      </c>
      <c r="H29" s="329">
        <f>+'I) Dépenses thématiques'!O28</f>
        <v>-123175.27795310938</v>
      </c>
      <c r="I29" s="326">
        <f>'K) Plafonnement aide'!J28</f>
        <v>0</v>
      </c>
      <c r="J29" s="329">
        <f>'J) Plafonnement effort'!I28</f>
        <v>0</v>
      </c>
      <c r="K29" s="326">
        <f>+'L) Plafonnement taux'!Q29</f>
        <v>0</v>
      </c>
      <c r="L29" s="324">
        <f t="shared" si="0"/>
        <v>127303.71169973686</v>
      </c>
      <c r="M29" s="233">
        <f>'M) Police'!O29</f>
        <v>42329.551906893648</v>
      </c>
      <c r="N29" s="233">
        <f t="shared" si="1"/>
        <v>169633.2636066305</v>
      </c>
      <c r="P29" s="470"/>
      <c r="R29" s="332"/>
    </row>
    <row r="30" spans="1:18" s="162" customFormat="1" x14ac:dyDescent="0.25">
      <c r="A30" s="159">
        <f>'B) D RI'!A31</f>
        <v>5430</v>
      </c>
      <c r="B30" s="160" t="str">
        <f>'B) D RI'!B31</f>
        <v>Marchissy</v>
      </c>
      <c r="C30" s="327">
        <f>'B) D RI'!S31</f>
        <v>79</v>
      </c>
      <c r="D30" s="161">
        <f>'B) D RI'!AR31</f>
        <v>463</v>
      </c>
      <c r="E30" s="325">
        <f>'D) Ecrêtage'!M29</f>
        <v>13616.452025316456</v>
      </c>
      <c r="F30" s="329">
        <f>'E) Fact soc'!G35</f>
        <v>236050.54726042808</v>
      </c>
      <c r="G30" s="326">
        <f>'H) Péréquation directe'!I40</f>
        <v>32620.691410902422</v>
      </c>
      <c r="H30" s="329">
        <f>+'I) Dépenses thématiques'!O29</f>
        <v>-75359.46323241372</v>
      </c>
      <c r="I30" s="326">
        <f>'K) Plafonnement aide'!J29</f>
        <v>0</v>
      </c>
      <c r="J30" s="329">
        <f>'J) Plafonnement effort'!I29</f>
        <v>0</v>
      </c>
      <c r="K30" s="326">
        <f>+'L) Plafonnement taux'!Q30</f>
        <v>0</v>
      </c>
      <c r="L30" s="324">
        <f t="shared" si="0"/>
        <v>193311.77543891678</v>
      </c>
      <c r="M30" s="233">
        <f>'M) Police'!O30</f>
        <v>41990.161679931312</v>
      </c>
      <c r="N30" s="233">
        <f t="shared" si="1"/>
        <v>235301.93711884809</v>
      </c>
      <c r="P30" s="470"/>
      <c r="R30" s="332"/>
    </row>
    <row r="31" spans="1:18" s="162" customFormat="1" x14ac:dyDescent="0.25">
      <c r="A31" s="159">
        <f>'B) D RI'!A32</f>
        <v>5431</v>
      </c>
      <c r="B31" s="160" t="str">
        <f>'B) D RI'!B32</f>
        <v>Mollens</v>
      </c>
      <c r="C31" s="327">
        <f>'B) D RI'!S32</f>
        <v>74</v>
      </c>
      <c r="D31" s="161">
        <f>'B) D RI'!AR32</f>
        <v>283</v>
      </c>
      <c r="E31" s="325">
        <f>'D) Ecrêtage'!M30</f>
        <v>8628.4962162162174</v>
      </c>
      <c r="F31" s="329">
        <f>'E) Fact soc'!G36</f>
        <v>173861.84461220918</v>
      </c>
      <c r="G31" s="326">
        <f>'H) Péréquation directe'!I41</f>
        <v>45842.295270877948</v>
      </c>
      <c r="H31" s="329">
        <f>+'I) Dépenses thématiques'!O30</f>
        <v>-50730.991106107984</v>
      </c>
      <c r="I31" s="326">
        <f>'K) Plafonnement aide'!J30</f>
        <v>0</v>
      </c>
      <c r="J31" s="329">
        <f>'J) Plafonnement effort'!I30</f>
        <v>0</v>
      </c>
      <c r="K31" s="326">
        <f>+'L) Plafonnement taux'!Q31</f>
        <v>0</v>
      </c>
      <c r="L31" s="324">
        <f t="shared" si="0"/>
        <v>168973.14877697916</v>
      </c>
      <c r="M31" s="233">
        <f>'M) Police'!O31</f>
        <v>26674.997725305635</v>
      </c>
      <c r="N31" s="233">
        <f t="shared" si="1"/>
        <v>195648.1465022848</v>
      </c>
      <c r="P31" s="470"/>
      <c r="R31" s="332"/>
    </row>
    <row r="32" spans="1:18" s="162" customFormat="1" x14ac:dyDescent="0.25">
      <c r="A32" s="159">
        <f>'B) D RI'!A33</f>
        <v>5432</v>
      </c>
      <c r="B32" s="160" t="str">
        <f>'B) D RI'!B33</f>
        <v>Montherod</v>
      </c>
      <c r="C32" s="327">
        <f>'B) D RI'!S33</f>
        <v>78</v>
      </c>
      <c r="D32" s="161">
        <f>'B) D RI'!AR33</f>
        <v>536</v>
      </c>
      <c r="E32" s="325">
        <f>'D) Ecrêtage'!M31</f>
        <v>18262.77307692308</v>
      </c>
      <c r="F32" s="329">
        <f>'E) Fact soc'!G37</f>
        <v>294815.87484045548</v>
      </c>
      <c r="G32" s="326">
        <f>'H) Péréquation directe'!I42</f>
        <v>150809.46437604559</v>
      </c>
      <c r="H32" s="329">
        <f>+'I) Dépenses thématiques'!O31</f>
        <v>-22012.728897281937</v>
      </c>
      <c r="I32" s="326">
        <f>'K) Plafonnement aide'!J31</f>
        <v>0</v>
      </c>
      <c r="J32" s="329">
        <f>'J) Plafonnement effort'!I31</f>
        <v>0</v>
      </c>
      <c r="K32" s="326">
        <f>+'L) Plafonnement taux'!Q32</f>
        <v>0</v>
      </c>
      <c r="L32" s="324">
        <f t="shared" si="0"/>
        <v>423612.61031921918</v>
      </c>
      <c r="M32" s="233">
        <f>'M) Police'!O32</f>
        <v>56681.732860901087</v>
      </c>
      <c r="N32" s="233">
        <f t="shared" si="1"/>
        <v>480294.34318012028</v>
      </c>
      <c r="P32" s="470"/>
      <c r="R32" s="332"/>
    </row>
    <row r="33" spans="1:18" s="162" customFormat="1" x14ac:dyDescent="0.25">
      <c r="A33" s="159">
        <f>'B) D RI'!A34</f>
        <v>5434</v>
      </c>
      <c r="B33" s="160" t="str">
        <f>'B) D RI'!B34</f>
        <v>Saint-George</v>
      </c>
      <c r="C33" s="327">
        <f>'B) D RI'!S34</f>
        <v>71</v>
      </c>
      <c r="D33" s="161">
        <f>'B) D RI'!AR34</f>
        <v>1031</v>
      </c>
      <c r="E33" s="325">
        <f>'D) Ecrêtage'!M32</f>
        <v>36787.196197183097</v>
      </c>
      <c r="F33" s="329">
        <f>'E) Fact soc'!G38</f>
        <v>712105.91592040891</v>
      </c>
      <c r="G33" s="326">
        <f>'H) Péréquation directe'!I43</f>
        <v>393941.24515186268</v>
      </c>
      <c r="H33" s="329">
        <f>+'I) Dépenses thématiques'!O32</f>
        <v>-97491.384926122279</v>
      </c>
      <c r="I33" s="326">
        <f>'K) Plafonnement aide'!J32</f>
        <v>0</v>
      </c>
      <c r="J33" s="329">
        <f>'J) Plafonnement effort'!I32</f>
        <v>0</v>
      </c>
      <c r="K33" s="326">
        <f>+'L) Plafonnement taux'!Q33</f>
        <v>0</v>
      </c>
      <c r="L33" s="324">
        <f t="shared" si="0"/>
        <v>1008555.7761461494</v>
      </c>
      <c r="M33" s="233">
        <f>'M) Police'!O33</f>
        <v>112954.86306881357</v>
      </c>
      <c r="N33" s="233">
        <f t="shared" si="1"/>
        <v>1121510.639214963</v>
      </c>
      <c r="P33" s="470"/>
      <c r="R33" s="332"/>
    </row>
    <row r="34" spans="1:18" s="162" customFormat="1" x14ac:dyDescent="0.25">
      <c r="A34" s="159">
        <f>'B) D RI'!A35</f>
        <v>5435</v>
      </c>
      <c r="B34" s="160" t="str">
        <f>'B) D RI'!B35</f>
        <v>Saint-Livres</v>
      </c>
      <c r="C34" s="327">
        <f>'B) D RI'!S35</f>
        <v>69</v>
      </c>
      <c r="D34" s="161">
        <f>'B) D RI'!AR35</f>
        <v>690</v>
      </c>
      <c r="E34" s="325">
        <f>'D) Ecrêtage'!M33</f>
        <v>24145.271449275358</v>
      </c>
      <c r="F34" s="329">
        <f>'E) Fact soc'!G39</f>
        <v>397584.51334110874</v>
      </c>
      <c r="G34" s="326">
        <f>'H) Péréquation directe'!I44</f>
        <v>258042.12234210814</v>
      </c>
      <c r="H34" s="329">
        <f>+'I) Dépenses thématiques'!O33</f>
        <v>-25901.139296538</v>
      </c>
      <c r="I34" s="326">
        <f>'K) Plafonnement aide'!J33</f>
        <v>0</v>
      </c>
      <c r="J34" s="329">
        <f>'J) Plafonnement effort'!I33</f>
        <v>0</v>
      </c>
      <c r="K34" s="326">
        <f>+'L) Plafonnement taux'!Q34</f>
        <v>0</v>
      </c>
      <c r="L34" s="324">
        <f t="shared" si="0"/>
        <v>629725.49638667889</v>
      </c>
      <c r="M34" s="233">
        <f>'M) Police'!O34</f>
        <v>74761.773689715701</v>
      </c>
      <c r="N34" s="233">
        <f t="shared" si="1"/>
        <v>704487.27007639455</v>
      </c>
      <c r="P34" s="470"/>
      <c r="R34" s="332"/>
    </row>
    <row r="35" spans="1:18" s="162" customFormat="1" x14ac:dyDescent="0.25">
      <c r="A35" s="159">
        <f>'B) D RI'!A36</f>
        <v>5436</v>
      </c>
      <c r="B35" s="160" t="str">
        <f>'B) D RI'!B36</f>
        <v>Saint-Oyens</v>
      </c>
      <c r="C35" s="327">
        <f>'B) D RI'!S36</f>
        <v>81</v>
      </c>
      <c r="D35" s="161">
        <f>'B) D RI'!AR36</f>
        <v>448</v>
      </c>
      <c r="E35" s="325">
        <f>'D) Ecrêtage'!M34</f>
        <v>15077.325709876546</v>
      </c>
      <c r="F35" s="329">
        <f>'E) Fact soc'!G40</f>
        <v>277835.18668153818</v>
      </c>
      <c r="G35" s="326">
        <f>'H) Péréquation directe'!I45</f>
        <v>108300.75486680298</v>
      </c>
      <c r="H35" s="329">
        <f>+'I) Dépenses thématiques'!O34</f>
        <v>-121819.22520415245</v>
      </c>
      <c r="I35" s="326">
        <f>'K) Plafonnement aide'!J34</f>
        <v>0</v>
      </c>
      <c r="J35" s="329">
        <f>'J) Plafonnement effort'!I34</f>
        <v>0</v>
      </c>
      <c r="K35" s="326">
        <f>+'L) Plafonnement taux'!Q35</f>
        <v>0</v>
      </c>
      <c r="L35" s="324">
        <f t="shared" si="0"/>
        <v>264316.71634418872</v>
      </c>
      <c r="M35" s="233">
        <f>'M) Police'!O35</f>
        <v>47223.95820437753</v>
      </c>
      <c r="N35" s="233">
        <f t="shared" si="1"/>
        <v>311540.67454856622</v>
      </c>
      <c r="P35" s="470"/>
      <c r="R35" s="332"/>
    </row>
    <row r="36" spans="1:18" s="162" customFormat="1" x14ac:dyDescent="0.25">
      <c r="A36" s="159">
        <f>'B) D RI'!A37</f>
        <v>5437</v>
      </c>
      <c r="B36" s="160" t="str">
        <f>'B) D RI'!B37</f>
        <v>Saubraz</v>
      </c>
      <c r="C36" s="327">
        <f>'B) D RI'!S37</f>
        <v>80</v>
      </c>
      <c r="D36" s="161">
        <f>'B) D RI'!AR37</f>
        <v>418</v>
      </c>
      <c r="E36" s="325">
        <f>'D) Ecrêtage'!M35</f>
        <v>11422.239624999998</v>
      </c>
      <c r="F36" s="329">
        <f>'E) Fact soc'!G41</f>
        <v>208081.8305467038</v>
      </c>
      <c r="G36" s="326">
        <f>'H) Péréquation directe'!I46</f>
        <v>-13335.351369118551</v>
      </c>
      <c r="H36" s="329">
        <f>+'I) Dépenses thématiques'!O35</f>
        <v>-38285.387318972258</v>
      </c>
      <c r="I36" s="326">
        <f>'K) Plafonnement aide'!J35</f>
        <v>0</v>
      </c>
      <c r="J36" s="329">
        <f>'J) Plafonnement effort'!I35</f>
        <v>0</v>
      </c>
      <c r="K36" s="326">
        <f>+'L) Plafonnement taux'!Q36</f>
        <v>0</v>
      </c>
      <c r="L36" s="324">
        <f t="shared" si="0"/>
        <v>156461.09185861298</v>
      </c>
      <c r="M36" s="233">
        <f>'M) Police'!O36</f>
        <v>35415.680870856391</v>
      </c>
      <c r="N36" s="233">
        <f t="shared" si="1"/>
        <v>191876.77272946938</v>
      </c>
      <c r="P36" s="470"/>
      <c r="R36" s="332"/>
    </row>
    <row r="37" spans="1:18" s="162" customFormat="1" x14ac:dyDescent="0.25">
      <c r="A37" s="159">
        <f>'B) D RI'!A38</f>
        <v>5451</v>
      </c>
      <c r="B37" s="160" t="str">
        <f>'B) D RI'!B38</f>
        <v>Avenches</v>
      </c>
      <c r="C37" s="327">
        <f>'B) D RI'!S38</f>
        <v>68</v>
      </c>
      <c r="D37" s="161">
        <f>'B) D RI'!AR38</f>
        <v>4282</v>
      </c>
      <c r="E37" s="325">
        <f>'D) Ecrêtage'!M36</f>
        <v>150757.73362745097</v>
      </c>
      <c r="F37" s="329">
        <f>'E) Fact soc'!G42</f>
        <v>2897818.4814556595</v>
      </c>
      <c r="G37" s="326">
        <f>'H) Péréquation directe'!I47</f>
        <v>647272.58578581316</v>
      </c>
      <c r="H37" s="329">
        <f>+'I) Dépenses thématiques'!O36</f>
        <v>-1157617.883900288</v>
      </c>
      <c r="I37" s="326">
        <f>'K) Plafonnement aide'!J36</f>
        <v>0</v>
      </c>
      <c r="J37" s="329">
        <f>'J) Plafonnement effort'!I36</f>
        <v>0</v>
      </c>
      <c r="K37" s="326">
        <f>+'L) Plafonnement taux'!Q37</f>
        <v>0</v>
      </c>
      <c r="L37" s="324">
        <f t="shared" si="0"/>
        <v>2387473.1833411846</v>
      </c>
      <c r="M37" s="233">
        <f>'M) Police'!O37</f>
        <v>458702.47820932226</v>
      </c>
      <c r="N37" s="233">
        <f t="shared" si="1"/>
        <v>2846175.6615505069</v>
      </c>
      <c r="P37" s="470"/>
      <c r="R37" s="332"/>
    </row>
    <row r="38" spans="1:18" s="162" customFormat="1" x14ac:dyDescent="0.25">
      <c r="A38" s="159">
        <f>'B) D RI'!A39</f>
        <v>5456</v>
      </c>
      <c r="B38" s="160" t="str">
        <f>'B) D RI'!B39</f>
        <v>Cudrefin</v>
      </c>
      <c r="C38" s="327">
        <f>'B) D RI'!S39</f>
        <v>59</v>
      </c>
      <c r="D38" s="161">
        <f>'B) D RI'!AR39</f>
        <v>1633</v>
      </c>
      <c r="E38" s="325">
        <f>'D) Ecrêtage'!M37</f>
        <v>59376.955254237291</v>
      </c>
      <c r="F38" s="329">
        <f>'E) Fact soc'!G43</f>
        <v>1126301.4520630981</v>
      </c>
      <c r="G38" s="326">
        <f>'H) Péréquation directe'!I48</f>
        <v>609426.84115402505</v>
      </c>
      <c r="H38" s="329">
        <f>+'I) Dépenses thématiques'!O37</f>
        <v>-266853.85589304747</v>
      </c>
      <c r="I38" s="326">
        <f>'K) Plafonnement aide'!J37</f>
        <v>0</v>
      </c>
      <c r="J38" s="329">
        <f>'J) Plafonnement effort'!I37</f>
        <v>0</v>
      </c>
      <c r="K38" s="326">
        <f>+'L) Plafonnement taux'!Q38</f>
        <v>0</v>
      </c>
      <c r="L38" s="324">
        <f t="shared" si="0"/>
        <v>1468874.4373240755</v>
      </c>
      <c r="M38" s="233">
        <f>'M) Police'!O38</f>
        <v>181789.93043636763</v>
      </c>
      <c r="N38" s="233">
        <f t="shared" si="1"/>
        <v>1650664.3677604431</v>
      </c>
      <c r="P38" s="470"/>
      <c r="R38" s="332"/>
    </row>
    <row r="39" spans="1:18" s="162" customFormat="1" x14ac:dyDescent="0.25">
      <c r="A39" s="159">
        <f>'B) D RI'!A40</f>
        <v>5458</v>
      </c>
      <c r="B39" s="160" t="str">
        <f>'B) D RI'!B40</f>
        <v>Faoug</v>
      </c>
      <c r="C39" s="327">
        <f>'B) D RI'!S40</f>
        <v>64</v>
      </c>
      <c r="D39" s="161">
        <f>'B) D RI'!AR40</f>
        <v>904</v>
      </c>
      <c r="E39" s="325">
        <f>'D) Ecrêtage'!M38</f>
        <v>30529.72296875</v>
      </c>
      <c r="F39" s="329">
        <f>'E) Fact soc'!G44</f>
        <v>571820.85525296233</v>
      </c>
      <c r="G39" s="326">
        <f>'H) Péréquation directe'!I49</f>
        <v>323195.6467992015</v>
      </c>
      <c r="H39" s="329">
        <f>+'I) Dépenses thématiques'!O38</f>
        <v>-86267.362183520061</v>
      </c>
      <c r="I39" s="326">
        <f>'K) Plafonnement aide'!J38</f>
        <v>0</v>
      </c>
      <c r="J39" s="329">
        <f>'J) Plafonnement effort'!I38</f>
        <v>0</v>
      </c>
      <c r="K39" s="326">
        <f>+'L) Plafonnement taux'!Q39</f>
        <v>0</v>
      </c>
      <c r="L39" s="324">
        <f t="shared" si="0"/>
        <v>808749.13986864372</v>
      </c>
      <c r="M39" s="233">
        <f>'M) Police'!O39</f>
        <v>93382.971110053477</v>
      </c>
      <c r="N39" s="233">
        <f t="shared" si="1"/>
        <v>902132.11097869719</v>
      </c>
      <c r="P39" s="470"/>
      <c r="R39" s="332"/>
    </row>
    <row r="40" spans="1:18" s="162" customFormat="1" x14ac:dyDescent="0.25">
      <c r="A40" s="159">
        <f>'B) D RI'!A41</f>
        <v>5464</v>
      </c>
      <c r="B40" s="160" t="str">
        <f>'B) D RI'!B41</f>
        <v>Vully-les-Lacs</v>
      </c>
      <c r="C40" s="327">
        <f>'B) D RI'!S41</f>
        <v>67</v>
      </c>
      <c r="D40" s="161">
        <f>'B) D RI'!AR41</f>
        <v>3163</v>
      </c>
      <c r="E40" s="325">
        <f>'D) Ecrêtage'!M39</f>
        <v>103962.98910447762</v>
      </c>
      <c r="F40" s="329">
        <f>'E) Fact soc'!G45</f>
        <v>1910962.335613104</v>
      </c>
      <c r="G40" s="326">
        <f>'H) Péréquation directe'!I50</f>
        <v>405314.04271706683</v>
      </c>
      <c r="H40" s="329">
        <f>+'I) Dépenses thématiques'!O39</f>
        <v>-556100.41401521792</v>
      </c>
      <c r="I40" s="326">
        <f>'K) Plafonnement aide'!J39</f>
        <v>0</v>
      </c>
      <c r="J40" s="329">
        <f>'J) Plafonnement effort'!I39</f>
        <v>0</v>
      </c>
      <c r="K40" s="326">
        <f>+'L) Plafonnement taux'!Q40</f>
        <v>0</v>
      </c>
      <c r="L40" s="324">
        <f t="shared" si="0"/>
        <v>1760175.9643149532</v>
      </c>
      <c r="M40" s="233">
        <f>'M) Police'!O40</f>
        <v>317815.89751510066</v>
      </c>
      <c r="N40" s="233">
        <f t="shared" si="1"/>
        <v>2077991.8618300539</v>
      </c>
      <c r="P40" s="470"/>
      <c r="R40" s="332"/>
    </row>
    <row r="41" spans="1:18" s="162" customFormat="1" x14ac:dyDescent="0.25">
      <c r="A41" s="159">
        <f>'B) D RI'!A42</f>
        <v>5471</v>
      </c>
      <c r="B41" s="160" t="str">
        <f>'B) D RI'!B42</f>
        <v>Bettens</v>
      </c>
      <c r="C41" s="327">
        <f>'B) D RI'!S42</f>
        <v>70</v>
      </c>
      <c r="D41" s="161">
        <f>'B) D RI'!AR42</f>
        <v>592</v>
      </c>
      <c r="E41" s="325">
        <f>'D) Ecrêtage'!M40</f>
        <v>18585.086968253971</v>
      </c>
      <c r="F41" s="329">
        <f>'E) Fact soc'!G46</f>
        <v>308380.79950997222</v>
      </c>
      <c r="G41" s="326">
        <f>'H) Péréquation directe'!I51</f>
        <v>136203.20410405085</v>
      </c>
      <c r="H41" s="329">
        <f>+'I) Dépenses thématiques'!O40</f>
        <v>-33553.73597536399</v>
      </c>
      <c r="I41" s="326">
        <f>'K) Plafonnement aide'!J40</f>
        <v>0</v>
      </c>
      <c r="J41" s="329">
        <f>'J) Plafonnement effort'!I40</f>
        <v>0</v>
      </c>
      <c r="K41" s="326">
        <f>+'L) Plafonnement taux'!Q41</f>
        <v>0</v>
      </c>
      <c r="L41" s="324">
        <f t="shared" si="0"/>
        <v>411030.2676386591</v>
      </c>
      <c r="M41" s="233">
        <f>'M) Police'!O41</f>
        <v>56825.939153790925</v>
      </c>
      <c r="N41" s="233">
        <f t="shared" si="1"/>
        <v>467856.20679245004</v>
      </c>
      <c r="P41" s="470"/>
      <c r="R41" s="332"/>
    </row>
    <row r="42" spans="1:18" s="162" customFormat="1" x14ac:dyDescent="0.25">
      <c r="A42" s="159">
        <f>'B) D RI'!A43</f>
        <v>5472</v>
      </c>
      <c r="B42" s="160" t="str">
        <f>'B) D RI'!B43</f>
        <v>Bournens</v>
      </c>
      <c r="C42" s="327">
        <f>'B) D RI'!S43</f>
        <v>76</v>
      </c>
      <c r="D42" s="161">
        <f>'B) D RI'!AR43</f>
        <v>404</v>
      </c>
      <c r="E42" s="325">
        <f>'D) Ecrêtage'!M41</f>
        <v>16542.658815789473</v>
      </c>
      <c r="F42" s="329">
        <f>'E) Fact soc'!G47</f>
        <v>262945.76231326681</v>
      </c>
      <c r="G42" s="326">
        <f>'H) Péréquation directe'!I52</f>
        <v>235509.8455825274</v>
      </c>
      <c r="H42" s="329">
        <f>+'I) Dépenses thématiques'!O41</f>
        <v>-22661.817352790571</v>
      </c>
      <c r="I42" s="326">
        <f>'K) Plafonnement aide'!J41</f>
        <v>0</v>
      </c>
      <c r="J42" s="329">
        <f>'J) Plafonnement effort'!I41</f>
        <v>0</v>
      </c>
      <c r="K42" s="326">
        <f>+'L) Plafonnement taux'!Q42</f>
        <v>0</v>
      </c>
      <c r="L42" s="324">
        <f t="shared" si="0"/>
        <v>475793.79054300365</v>
      </c>
      <c r="M42" s="233">
        <f>'M) Police'!O42</f>
        <v>51292.517802037866</v>
      </c>
      <c r="N42" s="233">
        <f t="shared" si="1"/>
        <v>527086.30834504147</v>
      </c>
      <c r="P42" s="470"/>
      <c r="R42" s="332"/>
    </row>
    <row r="43" spans="1:18" s="162" customFormat="1" x14ac:dyDescent="0.25">
      <c r="A43" s="159">
        <f>'B) D RI'!A44</f>
        <v>5473</v>
      </c>
      <c r="B43" s="160" t="str">
        <f>'B) D RI'!B44</f>
        <v>Boussens</v>
      </c>
      <c r="C43" s="327">
        <f>'B) D RI'!S44</f>
        <v>69</v>
      </c>
      <c r="D43" s="161">
        <f>'B) D RI'!AR44</f>
        <v>968</v>
      </c>
      <c r="E43" s="325">
        <f>'D) Ecrêtage'!M42</f>
        <v>36720.844927536244</v>
      </c>
      <c r="F43" s="329">
        <f>'E) Fact soc'!G48</f>
        <v>577617.53929260478</v>
      </c>
      <c r="G43" s="326">
        <f>'H) Péréquation directe'!I53</f>
        <v>469878.56544487574</v>
      </c>
      <c r="H43" s="329">
        <f>+'I) Dépenses thématiques'!O42</f>
        <v>0</v>
      </c>
      <c r="I43" s="326">
        <f>'K) Plafonnement aide'!J42</f>
        <v>0</v>
      </c>
      <c r="J43" s="329">
        <f>'J) Plafonnement effort'!I42</f>
        <v>0</v>
      </c>
      <c r="K43" s="326">
        <f>+'L) Plafonnement taux'!Q43</f>
        <v>0</v>
      </c>
      <c r="L43" s="324">
        <f t="shared" si="0"/>
        <v>1047496.1047374805</v>
      </c>
      <c r="M43" s="233">
        <f>'M) Police'!O43</f>
        <v>113876.04047548462</v>
      </c>
      <c r="N43" s="233">
        <f t="shared" si="1"/>
        <v>1161372.1452129651</v>
      </c>
      <c r="P43" s="470"/>
      <c r="R43" s="332"/>
    </row>
    <row r="44" spans="1:18" s="162" customFormat="1" x14ac:dyDescent="0.25">
      <c r="A44" s="159">
        <f>'B) D RI'!A45</f>
        <v>5474</v>
      </c>
      <c r="B44" s="160" t="str">
        <f>'B) D RI'!B45</f>
        <v>La Chaux (Cossonay)</v>
      </c>
      <c r="C44" s="327">
        <f>'B) D RI'!S45</f>
        <v>77</v>
      </c>
      <c r="D44" s="161">
        <f>'B) D RI'!AR45</f>
        <v>410</v>
      </c>
      <c r="E44" s="325">
        <f>'D) Ecrêtage'!M43</f>
        <v>12985.393549783552</v>
      </c>
      <c r="F44" s="329">
        <f>'E) Fact soc'!G49</f>
        <v>188061.72172226873</v>
      </c>
      <c r="G44" s="326">
        <f>'H) Péréquation directe'!I54</f>
        <v>76279.746758919297</v>
      </c>
      <c r="H44" s="329">
        <f>+'I) Dépenses thématiques'!O43</f>
        <v>-92881.422176044594</v>
      </c>
      <c r="I44" s="326">
        <f>'K) Plafonnement aide'!J43</f>
        <v>0</v>
      </c>
      <c r="J44" s="329">
        <f>'J) Plafonnement effort'!I43</f>
        <v>0</v>
      </c>
      <c r="K44" s="326">
        <f>+'L) Plafonnement taux'!Q44</f>
        <v>0</v>
      </c>
      <c r="L44" s="324">
        <f t="shared" si="0"/>
        <v>171460.04630514345</v>
      </c>
      <c r="M44" s="233">
        <f>'M) Police'!O44</f>
        <v>40258.244401375254</v>
      </c>
      <c r="N44" s="233">
        <f t="shared" si="1"/>
        <v>211718.29070651869</v>
      </c>
      <c r="P44" s="470"/>
      <c r="R44" s="332"/>
    </row>
    <row r="45" spans="1:18" s="162" customFormat="1" x14ac:dyDescent="0.25">
      <c r="A45" s="159">
        <f>'B) D RI'!A46</f>
        <v>5475</v>
      </c>
      <c r="B45" s="160" t="str">
        <f>'B) D RI'!B46</f>
        <v>Chavannes-le-Veyron</v>
      </c>
      <c r="C45" s="327">
        <f>'B) D RI'!S46</f>
        <v>77</v>
      </c>
      <c r="D45" s="161">
        <f>'B) D RI'!AR46</f>
        <v>142</v>
      </c>
      <c r="E45" s="325">
        <f>'D) Ecrêtage'!M44</f>
        <v>4956.4012987012984</v>
      </c>
      <c r="F45" s="329">
        <f>'E) Fact soc'!G50</f>
        <v>104839.12065729185</v>
      </c>
      <c r="G45" s="326">
        <f>'H) Péréquation directe'!I55</f>
        <v>45936.57323006243</v>
      </c>
      <c r="H45" s="329">
        <f>+'I) Dépenses thématiques'!O44</f>
        <v>-45077.333944731719</v>
      </c>
      <c r="I45" s="326">
        <f>'K) Plafonnement aide'!J44</f>
        <v>0</v>
      </c>
      <c r="J45" s="329">
        <f>'J) Plafonnement effort'!I44</f>
        <v>0</v>
      </c>
      <c r="K45" s="326">
        <f>+'L) Plafonnement taux'!Q45</f>
        <v>0</v>
      </c>
      <c r="L45" s="324">
        <f t="shared" si="0"/>
        <v>105698.35994262257</v>
      </c>
      <c r="M45" s="233">
        <f>'M) Police'!O45</f>
        <v>15498.294343926063</v>
      </c>
      <c r="N45" s="233">
        <f t="shared" si="1"/>
        <v>121196.65428654864</v>
      </c>
      <c r="P45" s="470"/>
      <c r="R45" s="332"/>
    </row>
    <row r="46" spans="1:18" s="162" customFormat="1" x14ac:dyDescent="0.25">
      <c r="A46" s="159">
        <f>'B) D RI'!A47</f>
        <v>5476</v>
      </c>
      <c r="B46" s="160" t="str">
        <f>'B) D RI'!B47</f>
        <v>Chevilly</v>
      </c>
      <c r="C46" s="327">
        <f>'B) D RI'!S47</f>
        <v>74</v>
      </c>
      <c r="D46" s="161">
        <f>'B) D RI'!AR47</f>
        <v>314</v>
      </c>
      <c r="E46" s="325">
        <f>'D) Ecrêtage'!M45</f>
        <v>10630.648108108109</v>
      </c>
      <c r="F46" s="329">
        <f>'E) Fact soc'!G51</f>
        <v>155371.90607600784</v>
      </c>
      <c r="G46" s="326">
        <f>'H) Péréquation directe'!I56</f>
        <v>93906.127050334326</v>
      </c>
      <c r="H46" s="329">
        <f>+'I) Dépenses thématiques'!O45</f>
        <v>-25200.173703838129</v>
      </c>
      <c r="I46" s="326">
        <f>'K) Plafonnement aide'!J45</f>
        <v>0</v>
      </c>
      <c r="J46" s="329">
        <f>'J) Plafonnement effort'!I45</f>
        <v>0</v>
      </c>
      <c r="K46" s="326">
        <f>+'L) Plafonnement taux'!Q46</f>
        <v>0</v>
      </c>
      <c r="L46" s="324">
        <f t="shared" si="0"/>
        <v>224077.85942250403</v>
      </c>
      <c r="M46" s="233">
        <f>'M) Police'!O46</f>
        <v>32955.674546046983</v>
      </c>
      <c r="N46" s="233">
        <f t="shared" si="1"/>
        <v>257033.53396855103</v>
      </c>
      <c r="P46" s="470"/>
      <c r="R46" s="332"/>
    </row>
    <row r="47" spans="1:18" s="162" customFormat="1" x14ac:dyDescent="0.25">
      <c r="A47" s="159">
        <f>'B) D RI'!A48</f>
        <v>5477</v>
      </c>
      <c r="B47" s="160" t="str">
        <f>'B) D RI'!B48</f>
        <v>Cossonay</v>
      </c>
      <c r="C47" s="327">
        <f>'B) D RI'!S48</f>
        <v>71</v>
      </c>
      <c r="D47" s="161">
        <f>'B) D RI'!AR48</f>
        <v>3871</v>
      </c>
      <c r="E47" s="325">
        <f>'D) Ecrêtage'!M46</f>
        <v>133477.09521126762</v>
      </c>
      <c r="F47" s="329">
        <f>'E) Fact soc'!G52</f>
        <v>2362677.7056328813</v>
      </c>
      <c r="G47" s="326">
        <f>'H) Péréquation directe'!I57</f>
        <v>479510.32068728306</v>
      </c>
      <c r="H47" s="329">
        <f>+'I) Dépenses thématiques'!O46</f>
        <v>-544834.32658676151</v>
      </c>
      <c r="I47" s="326">
        <f>'K) Plafonnement aide'!J46</f>
        <v>0</v>
      </c>
      <c r="J47" s="329">
        <f>'J) Plafonnement effort'!I46</f>
        <v>0</v>
      </c>
      <c r="K47" s="326">
        <f>+'L) Plafonnement taux'!Q47</f>
        <v>0</v>
      </c>
      <c r="L47" s="324">
        <f t="shared" si="0"/>
        <v>2297353.6997334026</v>
      </c>
      <c r="M47" s="233">
        <f>'M) Police'!O47</f>
        <v>414956.72680484469</v>
      </c>
      <c r="N47" s="233">
        <f t="shared" si="1"/>
        <v>2712310.4265382471</v>
      </c>
      <c r="P47" s="470"/>
      <c r="R47" s="332"/>
    </row>
    <row r="48" spans="1:18" s="162" customFormat="1" x14ac:dyDescent="0.25">
      <c r="A48" s="159">
        <f>'B) D RI'!A49</f>
        <v>5478</v>
      </c>
      <c r="B48" s="160" t="str">
        <f>'B) D RI'!B49</f>
        <v>Cottens</v>
      </c>
      <c r="C48" s="327">
        <f>'B) D RI'!S49</f>
        <v>74</v>
      </c>
      <c r="D48" s="161">
        <f>'B) D RI'!AR49</f>
        <v>486</v>
      </c>
      <c r="E48" s="325">
        <f>'D) Ecrêtage'!M47</f>
        <v>14377.418378378377</v>
      </c>
      <c r="F48" s="329">
        <f>'E) Fact soc'!G53</f>
        <v>233592.05209671013</v>
      </c>
      <c r="G48" s="326">
        <f>'H) Péréquation directe'!I58</f>
        <v>60790.783307115955</v>
      </c>
      <c r="H48" s="329">
        <f>+'I) Dépenses thématiques'!O47</f>
        <v>-29857.042083014756</v>
      </c>
      <c r="I48" s="326">
        <f>'K) Plafonnement aide'!J47</f>
        <v>0</v>
      </c>
      <c r="J48" s="329">
        <f>'J) Plafonnement effort'!I47</f>
        <v>0</v>
      </c>
      <c r="K48" s="326">
        <f>+'L) Plafonnement taux'!Q48</f>
        <v>0</v>
      </c>
      <c r="L48" s="324">
        <f t="shared" si="0"/>
        <v>264525.79332081135</v>
      </c>
      <c r="M48" s="233">
        <f>'M) Police'!O48</f>
        <v>44486.512467297624</v>
      </c>
      <c r="N48" s="233">
        <f t="shared" si="1"/>
        <v>309012.30578810896</v>
      </c>
      <c r="P48" s="470"/>
      <c r="R48" s="332"/>
    </row>
    <row r="49" spans="1:18" s="162" customFormat="1" x14ac:dyDescent="0.25">
      <c r="A49" s="159">
        <f>'B) D RI'!A50</f>
        <v>5479</v>
      </c>
      <c r="B49" s="160" t="str">
        <f>'B) D RI'!B50</f>
        <v>Cuarnens</v>
      </c>
      <c r="C49" s="327">
        <f>'B) D RI'!S50</f>
        <v>77</v>
      </c>
      <c r="D49" s="161">
        <f>'B) D RI'!AR50</f>
        <v>479</v>
      </c>
      <c r="E49" s="325">
        <f>'D) Ecrêtage'!M48</f>
        <v>16455.372077922078</v>
      </c>
      <c r="F49" s="329">
        <f>'E) Fact soc'!G54</f>
        <v>283872.27689316927</v>
      </c>
      <c r="G49" s="326">
        <f>'H) Péréquation directe'!I59</f>
        <v>143740.05446685763</v>
      </c>
      <c r="H49" s="329">
        <f>+'I) Dépenses thématiques'!O48</f>
        <v>-118279.34876313899</v>
      </c>
      <c r="I49" s="326">
        <f>'K) Plafonnement aide'!J48</f>
        <v>0</v>
      </c>
      <c r="J49" s="329">
        <f>'J) Plafonnement effort'!I48</f>
        <v>0</v>
      </c>
      <c r="K49" s="326">
        <f>+'L) Plafonnement taux'!Q49</f>
        <v>0</v>
      </c>
      <c r="L49" s="324">
        <f t="shared" si="0"/>
        <v>309332.98259688792</v>
      </c>
      <c r="M49" s="233">
        <f>'M) Police'!O49</f>
        <v>51310.026613820271</v>
      </c>
      <c r="N49" s="233">
        <f t="shared" si="1"/>
        <v>360643.0092107082</v>
      </c>
      <c r="P49" s="470"/>
      <c r="R49" s="332"/>
    </row>
    <row r="50" spans="1:18" s="162" customFormat="1" x14ac:dyDescent="0.25">
      <c r="A50" s="159">
        <f>'B) D RI'!A51</f>
        <v>5480</v>
      </c>
      <c r="B50" s="160" t="str">
        <f>'B) D RI'!B51</f>
        <v>Daillens</v>
      </c>
      <c r="C50" s="327">
        <f>'B) D RI'!S51</f>
        <v>71</v>
      </c>
      <c r="D50" s="161">
        <f>'B) D RI'!AR51</f>
        <v>1027</v>
      </c>
      <c r="E50" s="325">
        <f>'D) Ecrêtage'!M49</f>
        <v>41472.794507042257</v>
      </c>
      <c r="F50" s="329">
        <f>'E) Fact soc'!G55</f>
        <v>783870.01273702527</v>
      </c>
      <c r="G50" s="326">
        <f>'H) Péréquation directe'!I60</f>
        <v>581661.5607292254</v>
      </c>
      <c r="H50" s="329">
        <f>+'I) Dépenses thématiques'!O49</f>
        <v>-125540.63940369243</v>
      </c>
      <c r="I50" s="326">
        <f>'K) Plafonnement aide'!J49</f>
        <v>0</v>
      </c>
      <c r="J50" s="329">
        <f>'J) Plafonnement effort'!I49</f>
        <v>0</v>
      </c>
      <c r="K50" s="326">
        <f>+'L) Plafonnement taux'!Q50</f>
        <v>0</v>
      </c>
      <c r="L50" s="324">
        <f t="shared" si="0"/>
        <v>1239990.9340625582</v>
      </c>
      <c r="M50" s="233">
        <f>'M) Police'!O50</f>
        <v>125723.80688622301</v>
      </c>
      <c r="N50" s="233">
        <f t="shared" si="1"/>
        <v>1365714.7409487811</v>
      </c>
      <c r="P50" s="470"/>
      <c r="R50" s="332"/>
    </row>
    <row r="51" spans="1:18" s="162" customFormat="1" x14ac:dyDescent="0.25">
      <c r="A51" s="159">
        <f>'B) D RI'!A52</f>
        <v>5481</v>
      </c>
      <c r="B51" s="160" t="str">
        <f>'B) D RI'!B52</f>
        <v>Dizy</v>
      </c>
      <c r="C51" s="327">
        <f>'B) D RI'!S52</f>
        <v>79</v>
      </c>
      <c r="D51" s="161">
        <f>'B) D RI'!AR52</f>
        <v>223</v>
      </c>
      <c r="E51" s="325">
        <f>'D) Ecrêtage'!M50</f>
        <v>11087.272784810126</v>
      </c>
      <c r="F51" s="329">
        <f>'E) Fact soc'!G56</f>
        <v>179041.77439980823</v>
      </c>
      <c r="G51" s="326">
        <f>'H) Péréquation directe'!I61</f>
        <v>188174.01200500075</v>
      </c>
      <c r="H51" s="329">
        <f>+'I) Dépenses thématiques'!O50</f>
        <v>0</v>
      </c>
      <c r="I51" s="326">
        <f>'K) Plafonnement aide'!J50</f>
        <v>0</v>
      </c>
      <c r="J51" s="329">
        <f>'J) Plafonnement effort'!I50</f>
        <v>0</v>
      </c>
      <c r="K51" s="326">
        <f>+'L) Plafonnement taux'!Q51</f>
        <v>0</v>
      </c>
      <c r="L51" s="324">
        <f t="shared" si="0"/>
        <v>367215.78640480898</v>
      </c>
      <c r="M51" s="233">
        <f>'M) Police'!O51</f>
        <v>32902.307953639596</v>
      </c>
      <c r="N51" s="233">
        <f t="shared" si="1"/>
        <v>400118.09435844858</v>
      </c>
      <c r="P51" s="470"/>
      <c r="R51" s="332"/>
    </row>
    <row r="52" spans="1:18" s="162" customFormat="1" x14ac:dyDescent="0.25">
      <c r="A52" s="159">
        <f>'B) D RI'!A53</f>
        <v>5482</v>
      </c>
      <c r="B52" s="160" t="str">
        <f>'B) D RI'!B53</f>
        <v>Eclépens</v>
      </c>
      <c r="C52" s="327">
        <f>'B) D RI'!S53</f>
        <v>46</v>
      </c>
      <c r="D52" s="161">
        <f>'B) D RI'!AR53</f>
        <v>1211</v>
      </c>
      <c r="E52" s="325">
        <f>'D) Ecrêtage'!M51</f>
        <v>49011.702173913051</v>
      </c>
      <c r="F52" s="329">
        <f>'E) Fact soc'!G57</f>
        <v>850017.65544406069</v>
      </c>
      <c r="G52" s="326">
        <f>'H) Péréquation directe'!I62</f>
        <v>709925.90522868105</v>
      </c>
      <c r="H52" s="329">
        <f>+'I) Dépenses thématiques'!O51</f>
        <v>-98985.317294125867</v>
      </c>
      <c r="I52" s="326">
        <f>'K) Plafonnement aide'!J51</f>
        <v>0</v>
      </c>
      <c r="J52" s="329">
        <f>'J) Plafonnement effort'!I51</f>
        <v>0</v>
      </c>
      <c r="K52" s="326">
        <f>+'L) Plafonnement taux'!Q52</f>
        <v>0</v>
      </c>
      <c r="L52" s="324">
        <f t="shared" si="0"/>
        <v>1460958.2433786159</v>
      </c>
      <c r="M52" s="233">
        <f>'M) Police'!O52</f>
        <v>140232.91127811017</v>
      </c>
      <c r="N52" s="233">
        <f t="shared" si="1"/>
        <v>1601191.1546567262</v>
      </c>
      <c r="P52" s="470"/>
      <c r="R52" s="332"/>
    </row>
    <row r="53" spans="1:18" s="162" customFormat="1" x14ac:dyDescent="0.25">
      <c r="A53" s="159">
        <f>'B) D RI'!A54</f>
        <v>5483</v>
      </c>
      <c r="B53" s="160" t="str">
        <f>'B) D RI'!B54</f>
        <v>Ferreyres</v>
      </c>
      <c r="C53" s="327">
        <f>'B) D RI'!S54</f>
        <v>76</v>
      </c>
      <c r="D53" s="161">
        <f>'B) D RI'!AR54</f>
        <v>310</v>
      </c>
      <c r="E53" s="325">
        <f>'D) Ecrêtage'!M52</f>
        <v>8858.2019736842121</v>
      </c>
      <c r="F53" s="329">
        <f>'E) Fact soc'!G58</f>
        <v>152220.8060194476</v>
      </c>
      <c r="G53" s="326">
        <f>'H) Péréquation directe'!I63</f>
        <v>19959.285519023921</v>
      </c>
      <c r="H53" s="329">
        <f>+'I) Dépenses thématiques'!O52</f>
        <v>-28315.025187474639</v>
      </c>
      <c r="I53" s="326">
        <f>'K) Plafonnement aide'!J52</f>
        <v>0</v>
      </c>
      <c r="J53" s="329">
        <f>'J) Plafonnement effort'!I52</f>
        <v>0</v>
      </c>
      <c r="K53" s="326">
        <f>+'L) Plafonnement taux'!Q53</f>
        <v>0</v>
      </c>
      <c r="L53" s="324">
        <f t="shared" si="0"/>
        <v>143865.06635099687</v>
      </c>
      <c r="M53" s="233">
        <f>'M) Police'!O53</f>
        <v>27361.491129595121</v>
      </c>
      <c r="N53" s="233">
        <f t="shared" si="1"/>
        <v>171226.55748059199</v>
      </c>
      <c r="P53" s="470"/>
      <c r="R53" s="332"/>
    </row>
    <row r="54" spans="1:18" s="162" customFormat="1" x14ac:dyDescent="0.25">
      <c r="A54" s="159">
        <f>'B) D RI'!A55</f>
        <v>5484</v>
      </c>
      <c r="B54" s="160" t="str">
        <f>'B) D RI'!B55</f>
        <v>Gollion</v>
      </c>
      <c r="C54" s="327">
        <f>'B) D RI'!S55</f>
        <v>74</v>
      </c>
      <c r="D54" s="161">
        <f>'B) D RI'!AR55</f>
        <v>939</v>
      </c>
      <c r="E54" s="325">
        <f>'D) Ecrêtage'!M53</f>
        <v>32194.381081081083</v>
      </c>
      <c r="F54" s="329">
        <f>'E) Fact soc'!G59</f>
        <v>615139.93368374591</v>
      </c>
      <c r="G54" s="326">
        <f>'H) Péréquation directe'!I64</f>
        <v>297272.9642674292</v>
      </c>
      <c r="H54" s="329">
        <f>+'I) Dépenses thématiques'!O53</f>
        <v>-69667.578587677432</v>
      </c>
      <c r="I54" s="326">
        <f>'K) Plafonnement aide'!J53</f>
        <v>0</v>
      </c>
      <c r="J54" s="329">
        <f>'J) Plafonnement effort'!I53</f>
        <v>0</v>
      </c>
      <c r="K54" s="326">
        <f>+'L) Plafonnement taux'!Q54</f>
        <v>0</v>
      </c>
      <c r="L54" s="324">
        <f t="shared" si="0"/>
        <v>842745.31936349766</v>
      </c>
      <c r="M54" s="233">
        <f>'M) Police'!O54</f>
        <v>99649.908233321359</v>
      </c>
      <c r="N54" s="233">
        <f t="shared" si="1"/>
        <v>942395.22759681905</v>
      </c>
      <c r="P54" s="470"/>
      <c r="R54" s="332"/>
    </row>
    <row r="55" spans="1:18" s="162" customFormat="1" x14ac:dyDescent="0.25">
      <c r="A55" s="159">
        <f>'B) D RI'!A56</f>
        <v>5485</v>
      </c>
      <c r="B55" s="160" t="str">
        <f>'B) D RI'!B56</f>
        <v>Grancy</v>
      </c>
      <c r="C55" s="327">
        <f>'B) D RI'!S56</f>
        <v>70</v>
      </c>
      <c r="D55" s="161">
        <f>'B) D RI'!AR56</f>
        <v>398</v>
      </c>
      <c r="E55" s="325">
        <f>'D) Ecrêtage'!M54</f>
        <v>18697.252714285714</v>
      </c>
      <c r="F55" s="329">
        <f>'E) Fact soc'!G60</f>
        <v>289776.01702386874</v>
      </c>
      <c r="G55" s="326">
        <f>'H) Péréquation directe'!I65</f>
        <v>315139.42831362464</v>
      </c>
      <c r="H55" s="329">
        <f>+'I) Dépenses thématiques'!O54</f>
        <v>-434898.26303975441</v>
      </c>
      <c r="I55" s="326">
        <f>'K) Plafonnement aide'!J54</f>
        <v>0</v>
      </c>
      <c r="J55" s="329">
        <f>'J) Plafonnement effort'!I54</f>
        <v>0</v>
      </c>
      <c r="K55" s="326">
        <f>+'L) Plafonnement taux'!Q55</f>
        <v>0</v>
      </c>
      <c r="L55" s="324">
        <f t="shared" si="0"/>
        <v>170017.18229773903</v>
      </c>
      <c r="M55" s="233">
        <f>'M) Police'!O55</f>
        <v>57366.145845860854</v>
      </c>
      <c r="N55" s="233">
        <f t="shared" si="1"/>
        <v>227383.32814359988</v>
      </c>
      <c r="P55" s="470"/>
      <c r="R55" s="332"/>
    </row>
    <row r="56" spans="1:18" s="162" customFormat="1" x14ac:dyDescent="0.25">
      <c r="A56" s="159">
        <f>'B) D RI'!A57</f>
        <v>5486</v>
      </c>
      <c r="B56" s="160" t="str">
        <f>'B) D RI'!B57</f>
        <v>L'Isle</v>
      </c>
      <c r="C56" s="327">
        <f>'B) D RI'!S57</f>
        <v>76</v>
      </c>
      <c r="D56" s="161">
        <f>'B) D RI'!AR57</f>
        <v>1005</v>
      </c>
      <c r="E56" s="325">
        <f>'D) Ecrêtage'!M55</f>
        <v>31254.420526315782</v>
      </c>
      <c r="F56" s="329">
        <f>'E) Fact soc'!G61</f>
        <v>548684.08795243397</v>
      </c>
      <c r="G56" s="326">
        <f>'H) Péréquation directe'!I66</f>
        <v>169778.5052109044</v>
      </c>
      <c r="H56" s="329">
        <f>+'I) Dépenses thématiques'!O55</f>
        <v>-303868.55928341899</v>
      </c>
      <c r="I56" s="326">
        <f>'K) Plafonnement aide'!J55</f>
        <v>0</v>
      </c>
      <c r="J56" s="329">
        <f>'J) Plafonnement effort'!I55</f>
        <v>0</v>
      </c>
      <c r="K56" s="326">
        <f>+'L) Plafonnement taux'!Q56</f>
        <v>0</v>
      </c>
      <c r="L56" s="324">
        <f t="shared" si="0"/>
        <v>414594.03387991939</v>
      </c>
      <c r="M56" s="233">
        <f>'M) Police'!O56</f>
        <v>96341.988536100107</v>
      </c>
      <c r="N56" s="233">
        <f t="shared" si="1"/>
        <v>510936.02241601946</v>
      </c>
      <c r="P56" s="470"/>
      <c r="R56" s="332"/>
    </row>
    <row r="57" spans="1:18" s="162" customFormat="1" x14ac:dyDescent="0.25">
      <c r="A57" s="159">
        <f>'B) D RI'!A58</f>
        <v>5487</v>
      </c>
      <c r="B57" s="160" t="str">
        <f>'B) D RI'!B58</f>
        <v>Lussery-Villars</v>
      </c>
      <c r="C57" s="327">
        <f>'B) D RI'!S58</f>
        <v>75</v>
      </c>
      <c r="D57" s="161">
        <f>'B) D RI'!AR58</f>
        <v>462</v>
      </c>
      <c r="E57" s="325">
        <f>'D) Ecrêtage'!M56</f>
        <v>14791.264800000001</v>
      </c>
      <c r="F57" s="329">
        <f>'E) Fact soc'!G62</f>
        <v>226343.57777210837</v>
      </c>
      <c r="G57" s="326">
        <f>'H) Péréquation directe'!I67</f>
        <v>99987.87561446568</v>
      </c>
      <c r="H57" s="329">
        <f>+'I) Dépenses thématiques'!O56</f>
        <v>-15618.46805191836</v>
      </c>
      <c r="I57" s="326">
        <f>'K) Plafonnement aide'!J56</f>
        <v>0</v>
      </c>
      <c r="J57" s="329">
        <f>'J) Plafonnement effort'!I56</f>
        <v>0</v>
      </c>
      <c r="K57" s="326">
        <f>+'L) Plafonnement taux'!Q57</f>
        <v>0</v>
      </c>
      <c r="L57" s="324">
        <f t="shared" si="0"/>
        <v>310712.98533465568</v>
      </c>
      <c r="M57" s="233">
        <f>'M) Police'!O57</f>
        <v>46047.866025273986</v>
      </c>
      <c r="N57" s="233">
        <f t="shared" si="1"/>
        <v>356760.85135992966</v>
      </c>
      <c r="P57" s="470"/>
      <c r="R57" s="332"/>
    </row>
    <row r="58" spans="1:18" s="162" customFormat="1" x14ac:dyDescent="0.25">
      <c r="A58" s="159">
        <f>'B) D RI'!A59</f>
        <v>5488</v>
      </c>
      <c r="B58" s="160" t="str">
        <f>'B) D RI'!B59</f>
        <v>Mauraz</v>
      </c>
      <c r="C58" s="327">
        <f>'B) D RI'!S59</f>
        <v>78</v>
      </c>
      <c r="D58" s="161">
        <f>'B) D RI'!AR59</f>
        <v>59</v>
      </c>
      <c r="E58" s="325">
        <f>'D) Ecrêtage'!M57</f>
        <v>1908.9349999999995</v>
      </c>
      <c r="F58" s="329">
        <f>'E) Fact soc'!G63</f>
        <v>34235.156405899754</v>
      </c>
      <c r="G58" s="326">
        <f>'H) Péréquation directe'!I68</f>
        <v>12229.227083346424</v>
      </c>
      <c r="H58" s="329">
        <f>+'I) Dépenses thématiques'!O57</f>
        <v>0</v>
      </c>
      <c r="I58" s="326">
        <f>'K) Plafonnement aide'!J57</f>
        <v>0</v>
      </c>
      <c r="J58" s="329">
        <f>'J) Plafonnement effort'!I57</f>
        <v>0</v>
      </c>
      <c r="K58" s="326">
        <f>+'L) Plafonnement taux'!Q58</f>
        <v>0</v>
      </c>
      <c r="L58" s="324">
        <f t="shared" si="0"/>
        <v>46464.383489246175</v>
      </c>
      <c r="M58" s="233">
        <f>'M) Police'!O58</f>
        <v>5974.2711836517883</v>
      </c>
      <c r="N58" s="233">
        <f t="shared" si="1"/>
        <v>52438.654672897959</v>
      </c>
      <c r="P58" s="470"/>
      <c r="R58" s="332"/>
    </row>
    <row r="59" spans="1:18" s="162" customFormat="1" x14ac:dyDescent="0.25">
      <c r="A59" s="159">
        <f>'B) D RI'!A60</f>
        <v>5489</v>
      </c>
      <c r="B59" s="160" t="str">
        <f>'B) D RI'!B60</f>
        <v>Mex</v>
      </c>
      <c r="C59" s="327">
        <f>'B) D RI'!S60</f>
        <v>61</v>
      </c>
      <c r="D59" s="161">
        <f>'B) D RI'!AR60</f>
        <v>725</v>
      </c>
      <c r="E59" s="325">
        <f>'D) Ecrêtage'!M58</f>
        <v>63928.216488675753</v>
      </c>
      <c r="F59" s="329">
        <f>'E) Fact soc'!G64</f>
        <v>1835639.8539548172</v>
      </c>
      <c r="G59" s="326">
        <f>'H) Péréquation directe'!I69</f>
        <v>1141017.7821211005</v>
      </c>
      <c r="H59" s="329">
        <f>+'I) Dépenses thématiques'!O58</f>
        <v>0</v>
      </c>
      <c r="I59" s="326">
        <f>'K) Plafonnement aide'!J58</f>
        <v>0</v>
      </c>
      <c r="J59" s="329">
        <f>'J) Plafonnement effort'!I58</f>
        <v>0</v>
      </c>
      <c r="K59" s="326">
        <f>+'L) Plafonnement taux'!Q59</f>
        <v>0</v>
      </c>
      <c r="L59" s="324">
        <f t="shared" si="0"/>
        <v>2976657.6360759176</v>
      </c>
      <c r="M59" s="233">
        <f>'M) Police'!O59</f>
        <v>141639.70963008711</v>
      </c>
      <c r="N59" s="233">
        <f t="shared" si="1"/>
        <v>3118297.3457060046</v>
      </c>
      <c r="P59" s="470"/>
      <c r="R59" s="332"/>
    </row>
    <row r="60" spans="1:18" s="162" customFormat="1" x14ac:dyDescent="0.25">
      <c r="A60" s="159">
        <f>'B) D RI'!A61</f>
        <v>5490</v>
      </c>
      <c r="B60" s="160" t="str">
        <f>'B) D RI'!B61</f>
        <v>Moiry</v>
      </c>
      <c r="C60" s="327">
        <f>'B) D RI'!S61</f>
        <v>80</v>
      </c>
      <c r="D60" s="161">
        <f>'B) D RI'!AR61</f>
        <v>310</v>
      </c>
      <c r="E60" s="325">
        <f>'D) Ecrêtage'!M59</f>
        <v>9296.4079999999994</v>
      </c>
      <c r="F60" s="329">
        <f>'E) Fact soc'!G65</f>
        <v>152086.86434792582</v>
      </c>
      <c r="G60" s="326">
        <f>'H) Péréquation directe'!I70</f>
        <v>26748.508870793623</v>
      </c>
      <c r="H60" s="329">
        <f>+'I) Dépenses thématiques'!O59</f>
        <v>-41875.793775895203</v>
      </c>
      <c r="I60" s="326">
        <f>'K) Plafonnement aide'!J59</f>
        <v>0</v>
      </c>
      <c r="J60" s="329">
        <f>'J) Plafonnement effort'!I59</f>
        <v>0</v>
      </c>
      <c r="K60" s="326">
        <f>+'L) Plafonnement taux'!Q60</f>
        <v>0</v>
      </c>
      <c r="L60" s="324">
        <f t="shared" si="0"/>
        <v>136959.57944282424</v>
      </c>
      <c r="M60" s="233">
        <f>'M) Police'!O60</f>
        <v>29030.828481330471</v>
      </c>
      <c r="N60" s="233">
        <f t="shared" si="1"/>
        <v>165990.40792415472</v>
      </c>
      <c r="P60" s="470"/>
      <c r="R60" s="332"/>
    </row>
    <row r="61" spans="1:18" s="162" customFormat="1" x14ac:dyDescent="0.25">
      <c r="A61" s="159">
        <f>'B) D RI'!A62</f>
        <v>5491</v>
      </c>
      <c r="B61" s="160" t="str">
        <f>'B) D RI'!B62</f>
        <v>Mont-la-Ville</v>
      </c>
      <c r="C61" s="327">
        <f>'B) D RI'!S62</f>
        <v>76</v>
      </c>
      <c r="D61" s="161">
        <f>'B) D RI'!AR62</f>
        <v>466</v>
      </c>
      <c r="E61" s="325">
        <f>'D) Ecrêtage'!M60</f>
        <v>12324.548552631581</v>
      </c>
      <c r="F61" s="329">
        <f>'E) Fact soc'!G66</f>
        <v>226216.89680226782</v>
      </c>
      <c r="G61" s="326">
        <f>'H) Péréquation directe'!I71</f>
        <v>-11546.181310215965</v>
      </c>
      <c r="H61" s="329">
        <f>+'I) Dépenses thématiques'!O60</f>
        <v>-154332.36527887493</v>
      </c>
      <c r="I61" s="326">
        <f>'K) Plafonnement aide'!J60</f>
        <v>0</v>
      </c>
      <c r="J61" s="329">
        <f>'J) Plafonnement effort'!I60</f>
        <v>0</v>
      </c>
      <c r="K61" s="326">
        <f>+'L) Plafonnement taux'!Q61</f>
        <v>0</v>
      </c>
      <c r="L61" s="324">
        <f t="shared" si="0"/>
        <v>60338.35021317692</v>
      </c>
      <c r="M61" s="233">
        <f>'M) Police'!O61</f>
        <v>37982.177222071463</v>
      </c>
      <c r="N61" s="233">
        <f t="shared" si="1"/>
        <v>98320.527435248383</v>
      </c>
      <c r="P61" s="470"/>
      <c r="R61" s="332"/>
    </row>
    <row r="62" spans="1:18" s="162" customFormat="1" x14ac:dyDescent="0.25">
      <c r="A62" s="159">
        <f>'B) D RI'!A63</f>
        <v>5492</v>
      </c>
      <c r="B62" s="160" t="str">
        <f>'B) D RI'!B63</f>
        <v>Montricher</v>
      </c>
      <c r="C62" s="327">
        <f>'B) D RI'!S63</f>
        <v>64</v>
      </c>
      <c r="D62" s="161">
        <f>'B) D RI'!AR63</f>
        <v>940</v>
      </c>
      <c r="E62" s="325">
        <f>'D) Ecrêtage'!M61</f>
        <v>181920.96577427909</v>
      </c>
      <c r="F62" s="329">
        <f>'E) Fact soc'!G67</f>
        <v>9952742.6145970523</v>
      </c>
      <c r="G62" s="326">
        <f>'H) Péréquation directe'!I72</f>
        <v>3359202.9153202032</v>
      </c>
      <c r="H62" s="329">
        <f>+'I) Dépenses thématiques'!O61</f>
        <v>-82239.584583554519</v>
      </c>
      <c r="I62" s="326">
        <f>'K) Plafonnement aide'!J61</f>
        <v>0</v>
      </c>
      <c r="J62" s="329">
        <f>'J) Plafonnement effort'!I61</f>
        <v>-2591272.3914274522</v>
      </c>
      <c r="K62" s="326">
        <f>+'L) Plafonnement taux'!Q62</f>
        <v>0</v>
      </c>
      <c r="L62" s="324">
        <f t="shared" ref="L62:L116" si="2">F62+G62+H62+I62+J62+K62</f>
        <v>10638433.553906249</v>
      </c>
      <c r="M62" s="233">
        <f>'M) Police'!O62</f>
        <v>306788.87465867942</v>
      </c>
      <c r="N62" s="233">
        <f t="shared" si="1"/>
        <v>10945222.428564928</v>
      </c>
      <c r="P62" s="470"/>
      <c r="R62" s="332"/>
    </row>
    <row r="63" spans="1:18" s="162" customFormat="1" x14ac:dyDescent="0.25">
      <c r="A63" s="159">
        <f>'B) D RI'!A64</f>
        <v>5493</v>
      </c>
      <c r="B63" s="160" t="str">
        <f>'B) D RI'!B64</f>
        <v>Orny</v>
      </c>
      <c r="C63" s="327">
        <f>'B) D RI'!S64</f>
        <v>73</v>
      </c>
      <c r="D63" s="161">
        <f>'B) D RI'!AR64</f>
        <v>368</v>
      </c>
      <c r="E63" s="325">
        <f>'D) Ecrêtage'!M62</f>
        <v>10717.748314014751</v>
      </c>
      <c r="F63" s="329">
        <f>'E) Fact soc'!G68</f>
        <v>210916.14232955314</v>
      </c>
      <c r="G63" s="326">
        <f>'H) Péréquation directe'!I73</f>
        <v>42577.921009783517</v>
      </c>
      <c r="H63" s="329">
        <f>+'I) Dépenses thématiques'!O62</f>
        <v>-658972.95863007766</v>
      </c>
      <c r="I63" s="326">
        <f>'K) Plafonnement aide'!J62</f>
        <v>0</v>
      </c>
      <c r="J63" s="329">
        <f>'J) Plafonnement effort'!I62</f>
        <v>0</v>
      </c>
      <c r="K63" s="326">
        <f>+'L) Plafonnement taux'!Q63</f>
        <v>0</v>
      </c>
      <c r="L63" s="324">
        <f t="shared" si="2"/>
        <v>-405478.895290741</v>
      </c>
      <c r="M63" s="233">
        <f>'M) Police'!O63</f>
        <v>33271.6003224265</v>
      </c>
      <c r="N63" s="233">
        <f t="shared" si="1"/>
        <v>-372207.29496831447</v>
      </c>
      <c r="P63" s="470"/>
      <c r="R63" s="332"/>
    </row>
    <row r="64" spans="1:18" s="162" customFormat="1" x14ac:dyDescent="0.25">
      <c r="A64" s="159">
        <f>'B) D RI'!A65</f>
        <v>5494</v>
      </c>
      <c r="B64" s="160" t="str">
        <f>'B) D RI'!B65</f>
        <v>Pampigny</v>
      </c>
      <c r="C64" s="327">
        <f>'B) D RI'!S65</f>
        <v>75</v>
      </c>
      <c r="D64" s="161">
        <f>'B) D RI'!AR65</f>
        <v>1113</v>
      </c>
      <c r="E64" s="325">
        <f>'D) Ecrêtage'!M63</f>
        <v>37813.321536507938</v>
      </c>
      <c r="F64" s="329">
        <f>'E) Fact soc'!G69</f>
        <v>706098.58666810638</v>
      </c>
      <c r="G64" s="326">
        <f>'H) Péréquation directe'!I74</f>
        <v>302714.11869044462</v>
      </c>
      <c r="H64" s="329">
        <f>+'I) Dépenses thématiques'!O63</f>
        <v>-192572.36097802749</v>
      </c>
      <c r="I64" s="326">
        <f>'K) Plafonnement aide'!J63</f>
        <v>0</v>
      </c>
      <c r="J64" s="329">
        <f>'J) Plafonnement effort'!I63</f>
        <v>0</v>
      </c>
      <c r="K64" s="326">
        <f>+'L) Plafonnement taux'!Q64</f>
        <v>0</v>
      </c>
      <c r="L64" s="324">
        <f t="shared" si="2"/>
        <v>816240.34438052354</v>
      </c>
      <c r="M64" s="233">
        <f>'M) Police'!O64</f>
        <v>116903.50260121148</v>
      </c>
      <c r="N64" s="233">
        <f t="shared" si="1"/>
        <v>933143.84698173497</v>
      </c>
      <c r="P64" s="470"/>
      <c r="R64" s="332"/>
    </row>
    <row r="65" spans="1:18" s="162" customFormat="1" x14ac:dyDescent="0.25">
      <c r="A65" s="159">
        <f>'B) D RI'!A66</f>
        <v>5495</v>
      </c>
      <c r="B65" s="160" t="str">
        <f>'B) D RI'!B66</f>
        <v>Penthalaz</v>
      </c>
      <c r="C65" s="327">
        <f>'B) D RI'!S66</f>
        <v>74</v>
      </c>
      <c r="D65" s="161">
        <f>'B) D RI'!AR66</f>
        <v>3283</v>
      </c>
      <c r="E65" s="325">
        <f>'D) Ecrêtage'!M64</f>
        <v>92917.674594594588</v>
      </c>
      <c r="F65" s="329">
        <f>'E) Fact soc'!G70</f>
        <v>1607880.8116554348</v>
      </c>
      <c r="G65" s="326">
        <f>'H) Péréquation directe'!I75</f>
        <v>-373121.52554650279</v>
      </c>
      <c r="H65" s="329">
        <f>+'I) Dépenses thématiques'!O64</f>
        <v>-502791.89721355203</v>
      </c>
      <c r="I65" s="326">
        <f>'K) Plafonnement aide'!J64</f>
        <v>0</v>
      </c>
      <c r="J65" s="329">
        <f>'J) Plafonnement effort'!I64</f>
        <v>0</v>
      </c>
      <c r="K65" s="326">
        <f>+'L) Plafonnement taux'!Q65</f>
        <v>0</v>
      </c>
      <c r="L65" s="324">
        <f t="shared" si="2"/>
        <v>731967.38889537996</v>
      </c>
      <c r="M65" s="233">
        <f>'M) Police'!O65</f>
        <v>286893.82583091443</v>
      </c>
      <c r="N65" s="233">
        <f t="shared" si="1"/>
        <v>1018861.2147262944</v>
      </c>
      <c r="P65" s="470"/>
      <c r="R65" s="332"/>
    </row>
    <row r="66" spans="1:18" s="162" customFormat="1" x14ac:dyDescent="0.25">
      <c r="A66" s="159">
        <f>'B) D RI'!A67</f>
        <v>5496</v>
      </c>
      <c r="B66" s="160" t="str">
        <f>'B) D RI'!B67</f>
        <v>Penthaz</v>
      </c>
      <c r="C66" s="327">
        <f>'B) D RI'!S67</f>
        <v>71</v>
      </c>
      <c r="D66" s="161">
        <f>'B) D RI'!AR67</f>
        <v>1747</v>
      </c>
      <c r="E66" s="325">
        <f>'D) Ecrêtage'!M65</f>
        <v>57442.135633802813</v>
      </c>
      <c r="F66" s="329">
        <f>'E) Fact soc'!G71</f>
        <v>1093939.9453562843</v>
      </c>
      <c r="G66" s="326">
        <f>'H) Péréquation directe'!I76</f>
        <v>303288.24360991106</v>
      </c>
      <c r="H66" s="329">
        <f>+'I) Dépenses thématiques'!O65</f>
        <v>-223767.14967181531</v>
      </c>
      <c r="I66" s="326">
        <f>'K) Plafonnement aide'!J65</f>
        <v>0</v>
      </c>
      <c r="J66" s="329">
        <f>'J) Plafonnement effort'!I65</f>
        <v>0</v>
      </c>
      <c r="K66" s="326">
        <f>+'L) Plafonnement taux'!Q66</f>
        <v>0</v>
      </c>
      <c r="L66" s="324">
        <f t="shared" si="2"/>
        <v>1173461.03929438</v>
      </c>
      <c r="M66" s="233">
        <f>'M) Police'!O66</f>
        <v>177183.03251397127</v>
      </c>
      <c r="N66" s="233">
        <f t="shared" si="1"/>
        <v>1350644.0718083512</v>
      </c>
      <c r="P66" s="470"/>
      <c r="R66" s="332"/>
    </row>
    <row r="67" spans="1:18" s="162" customFormat="1" x14ac:dyDescent="0.25">
      <c r="A67" s="159">
        <f>'B) D RI'!A68</f>
        <v>5497</v>
      </c>
      <c r="B67" s="160" t="str">
        <f>'B) D RI'!B68</f>
        <v>Pompaples</v>
      </c>
      <c r="C67" s="327">
        <f>'B) D RI'!S68</f>
        <v>66</v>
      </c>
      <c r="D67" s="161">
        <f>'B) D RI'!AR68</f>
        <v>847</v>
      </c>
      <c r="E67" s="325">
        <f>'D) Ecrêtage'!M66</f>
        <v>22516.582121212119</v>
      </c>
      <c r="F67" s="329">
        <f>'E) Fact soc'!G72</f>
        <v>465512.77255481365</v>
      </c>
      <c r="G67" s="326">
        <f>'H) Péréquation directe'!I77</f>
        <v>72095.560353429406</v>
      </c>
      <c r="H67" s="329">
        <f>+'I) Dépenses thématiques'!O66</f>
        <v>-178095.45378750365</v>
      </c>
      <c r="I67" s="326">
        <f>'K) Plafonnement aide'!J66</f>
        <v>0</v>
      </c>
      <c r="J67" s="329">
        <f>'J) Plafonnement effort'!I66</f>
        <v>0</v>
      </c>
      <c r="K67" s="326">
        <f>+'L) Plafonnement taux'!Q67</f>
        <v>0</v>
      </c>
      <c r="L67" s="324">
        <f t="shared" si="2"/>
        <v>359512.87912073941</v>
      </c>
      <c r="M67" s="233">
        <f>'M) Police'!O67</f>
        <v>69058.885857429384</v>
      </c>
      <c r="N67" s="233">
        <f t="shared" si="1"/>
        <v>428571.76497816877</v>
      </c>
      <c r="P67" s="470"/>
      <c r="R67" s="332"/>
    </row>
    <row r="68" spans="1:18" s="162" customFormat="1" x14ac:dyDescent="0.25">
      <c r="A68" s="159">
        <f>'B) D RI'!A69</f>
        <v>5498</v>
      </c>
      <c r="B68" s="160" t="str">
        <f>'B) D RI'!B69</f>
        <v>La Sarraz</v>
      </c>
      <c r="C68" s="327">
        <f>'B) D RI'!S69</f>
        <v>66</v>
      </c>
      <c r="D68" s="161">
        <f>'B) D RI'!AR69</f>
        <v>2596</v>
      </c>
      <c r="E68" s="325">
        <f>'D) Ecrêtage'!M67</f>
        <v>78201.916969696991</v>
      </c>
      <c r="F68" s="329">
        <f>'E) Fact soc'!G73</f>
        <v>1339134.1764196185</v>
      </c>
      <c r="G68" s="326">
        <f>'H) Péréquation directe'!I78</f>
        <v>155741.6888238308</v>
      </c>
      <c r="H68" s="329">
        <f>+'I) Dépenses thématiques'!O67</f>
        <v>-604402.54212151724</v>
      </c>
      <c r="I68" s="326">
        <f>'K) Plafonnement aide'!J67</f>
        <v>0</v>
      </c>
      <c r="J68" s="329">
        <f>'J) Plafonnement effort'!I67</f>
        <v>0</v>
      </c>
      <c r="K68" s="326">
        <f>+'L) Plafonnement taux'!Q68</f>
        <v>0</v>
      </c>
      <c r="L68" s="324">
        <f t="shared" si="2"/>
        <v>890473.3231219321</v>
      </c>
      <c r="M68" s="233">
        <f>'M) Police'!O68</f>
        <v>241573.28778841411</v>
      </c>
      <c r="N68" s="233">
        <f t="shared" si="1"/>
        <v>1132046.6109103463</v>
      </c>
      <c r="P68" s="470"/>
      <c r="R68" s="332"/>
    </row>
    <row r="69" spans="1:18" s="162" customFormat="1" x14ac:dyDescent="0.25">
      <c r="A69" s="159">
        <f>'B) D RI'!A70</f>
        <v>5499</v>
      </c>
      <c r="B69" s="160" t="str">
        <f>'B) D RI'!B70</f>
        <v>Senarclens</v>
      </c>
      <c r="C69" s="327">
        <f>'B) D RI'!S70</f>
        <v>68.5</v>
      </c>
      <c r="D69" s="161">
        <f>'B) D RI'!AR70</f>
        <v>488</v>
      </c>
      <c r="E69" s="325">
        <f>'D) Ecrêtage'!M68</f>
        <v>23886.663649635037</v>
      </c>
      <c r="F69" s="329">
        <f>'E) Fact soc'!G74</f>
        <v>395732.73345348297</v>
      </c>
      <c r="G69" s="326">
        <f>'H) Péréquation directe'!I79</f>
        <v>404650.58845983061</v>
      </c>
      <c r="H69" s="329">
        <f>+'I) Dépenses thématiques'!O68</f>
        <v>0</v>
      </c>
      <c r="I69" s="326">
        <f>'K) Plafonnement aide'!J68</f>
        <v>0</v>
      </c>
      <c r="J69" s="329">
        <f>'J) Plafonnement effort'!I68</f>
        <v>0</v>
      </c>
      <c r="K69" s="326">
        <f>+'L) Plafonnement taux'!Q69</f>
        <v>0</v>
      </c>
      <c r="L69" s="324">
        <f t="shared" si="2"/>
        <v>800383.32191331359</v>
      </c>
      <c r="M69" s="233">
        <f>'M) Police'!O69</f>
        <v>71533.838059505535</v>
      </c>
      <c r="N69" s="233">
        <f t="shared" si="1"/>
        <v>871917.15997281915</v>
      </c>
      <c r="P69" s="470"/>
      <c r="R69" s="332"/>
    </row>
    <row r="70" spans="1:18" s="162" customFormat="1" x14ac:dyDescent="0.25">
      <c r="A70" s="159">
        <f>'B) D RI'!A71</f>
        <v>5500</v>
      </c>
      <c r="B70" s="160" t="str">
        <f>'B) D RI'!B71</f>
        <v>Sévery</v>
      </c>
      <c r="C70" s="327">
        <f>'B) D RI'!S71</f>
        <v>75</v>
      </c>
      <c r="D70" s="161">
        <f>'B) D RI'!AR71</f>
        <v>225</v>
      </c>
      <c r="E70" s="325">
        <f>'D) Ecrêtage'!M69</f>
        <v>6331.5331555555558</v>
      </c>
      <c r="F70" s="329">
        <f>'E) Fact soc'!G75</f>
        <v>124739.43338327511</v>
      </c>
      <c r="G70" s="326">
        <f>'H) Péréquation directe'!I80</f>
        <v>12669.890264816029</v>
      </c>
      <c r="H70" s="329">
        <f>+'I) Dépenses thématiques'!O69</f>
        <v>-32901.270810667345</v>
      </c>
      <c r="I70" s="326">
        <f>'K) Plafonnement aide'!J69</f>
        <v>0</v>
      </c>
      <c r="J70" s="329">
        <f>'J) Plafonnement effort'!I69</f>
        <v>0</v>
      </c>
      <c r="K70" s="326">
        <f>+'L) Plafonnement taux'!Q70</f>
        <v>0</v>
      </c>
      <c r="L70" s="324">
        <f t="shared" si="2"/>
        <v>104508.05283742381</v>
      </c>
      <c r="M70" s="233">
        <f>'M) Police'!O70</f>
        <v>19412.461168258036</v>
      </c>
      <c r="N70" s="233">
        <f t="shared" si="1"/>
        <v>123920.51400568185</v>
      </c>
      <c r="P70" s="470"/>
      <c r="R70" s="332"/>
    </row>
    <row r="71" spans="1:18" s="162" customFormat="1" x14ac:dyDescent="0.25">
      <c r="A71" s="159">
        <f>'B) D RI'!A72</f>
        <v>5501</v>
      </c>
      <c r="B71" s="160" t="str">
        <f>'B) D RI'!B72</f>
        <v>Sullens</v>
      </c>
      <c r="C71" s="327">
        <f>'B) D RI'!S72</f>
        <v>70</v>
      </c>
      <c r="D71" s="161">
        <f>'B) D RI'!AR72</f>
        <v>1036</v>
      </c>
      <c r="E71" s="325">
        <f>'D) Ecrêtage'!M70</f>
        <v>37812.339142857141</v>
      </c>
      <c r="F71" s="329">
        <f>'E) Fact soc'!G76</f>
        <v>642923.65317478101</v>
      </c>
      <c r="G71" s="326">
        <f>'H) Péréquation directe'!I81</f>
        <v>432626.08195699548</v>
      </c>
      <c r="H71" s="329">
        <f>+'I) Dépenses thématiques'!O70</f>
        <v>-6451.6543186732952</v>
      </c>
      <c r="I71" s="326">
        <f>'K) Plafonnement aide'!J70</f>
        <v>0</v>
      </c>
      <c r="J71" s="329">
        <f>'J) Plafonnement effort'!I70</f>
        <v>0</v>
      </c>
      <c r="K71" s="326">
        <f>+'L) Plafonnement taux'!Q71</f>
        <v>0</v>
      </c>
      <c r="L71" s="324">
        <f t="shared" si="2"/>
        <v>1069098.0808131031</v>
      </c>
      <c r="M71" s="233">
        <f>'M) Police'!O71</f>
        <v>116492.90954884407</v>
      </c>
      <c r="N71" s="233">
        <f t="shared" ref="N71:N134" si="3">L71+M71</f>
        <v>1185590.9903619471</v>
      </c>
      <c r="P71" s="470"/>
      <c r="R71" s="332"/>
    </row>
    <row r="72" spans="1:18" s="162" customFormat="1" x14ac:dyDescent="0.25">
      <c r="A72" s="159">
        <f>'B) D RI'!A73</f>
        <v>5503</v>
      </c>
      <c r="B72" s="160" t="str">
        <f>'B) D RI'!B73</f>
        <v>Vufflens-la-Ville</v>
      </c>
      <c r="C72" s="327">
        <f>'B) D RI'!S73</f>
        <v>67</v>
      </c>
      <c r="D72" s="161">
        <f>'B) D RI'!AR73</f>
        <v>1298</v>
      </c>
      <c r="E72" s="325">
        <f>'D) Ecrêtage'!M71</f>
        <v>76842.912393778752</v>
      </c>
      <c r="F72" s="329">
        <f>'E) Fact soc'!G77</f>
        <v>1666013.6143486779</v>
      </c>
      <c r="G72" s="326">
        <f>'H) Péréquation directe'!I82</f>
        <v>1254488.9413059379</v>
      </c>
      <c r="H72" s="329">
        <f>+'I) Dépenses thématiques'!O71</f>
        <v>0</v>
      </c>
      <c r="I72" s="326">
        <f>'K) Plafonnement aide'!J71</f>
        <v>0</v>
      </c>
      <c r="J72" s="329">
        <f>'J) Plafonnement effort'!I71</f>
        <v>0</v>
      </c>
      <c r="K72" s="326">
        <f>+'L) Plafonnement taux'!Q72</f>
        <v>0</v>
      </c>
      <c r="L72" s="324">
        <f t="shared" si="2"/>
        <v>2920502.5556546161</v>
      </c>
      <c r="M72" s="233">
        <f>'M) Police'!O72</f>
        <v>206816.61721325104</v>
      </c>
      <c r="N72" s="233">
        <f t="shared" si="3"/>
        <v>3127319.1728678672</v>
      </c>
      <c r="P72" s="470"/>
      <c r="R72" s="332"/>
    </row>
    <row r="73" spans="1:18" s="162" customFormat="1" x14ac:dyDescent="0.25">
      <c r="A73" s="159">
        <f>'B) D RI'!A74</f>
        <v>5511</v>
      </c>
      <c r="B73" s="160" t="str">
        <f>'B) D RI'!B74</f>
        <v>Assens</v>
      </c>
      <c r="C73" s="327">
        <f>'B) D RI'!S74</f>
        <v>70</v>
      </c>
      <c r="D73" s="161">
        <f>'B) D RI'!AR74</f>
        <v>1077</v>
      </c>
      <c r="E73" s="325">
        <f>'D) Ecrêtage'!M72</f>
        <v>45641.470857142856</v>
      </c>
      <c r="F73" s="329">
        <f>'E) Fact soc'!G78</f>
        <v>733534.70104568289</v>
      </c>
      <c r="G73" s="326">
        <f>'H) Péréquation directe'!I83</f>
        <v>683261.15653176501</v>
      </c>
      <c r="H73" s="329">
        <f>+'I) Dépenses thématiques'!O72</f>
        <v>-305156.67125983717</v>
      </c>
      <c r="I73" s="326">
        <f>'K) Plafonnement aide'!J72</f>
        <v>0</v>
      </c>
      <c r="J73" s="329">
        <f>'J) Plafonnement effort'!I72</f>
        <v>0</v>
      </c>
      <c r="K73" s="326">
        <f>+'L) Plafonnement taux'!Q73</f>
        <v>0</v>
      </c>
      <c r="L73" s="324">
        <f t="shared" si="2"/>
        <v>1111639.1863176106</v>
      </c>
      <c r="M73" s="233">
        <f>'M) Police'!O73</f>
        <v>141505.67209733778</v>
      </c>
      <c r="N73" s="233">
        <f t="shared" si="3"/>
        <v>1253144.8584149485</v>
      </c>
      <c r="P73" s="470"/>
      <c r="R73" s="332"/>
    </row>
    <row r="74" spans="1:18" s="162" customFormat="1" x14ac:dyDescent="0.25">
      <c r="A74" s="159">
        <f>'B) D RI'!A75</f>
        <v>5512</v>
      </c>
      <c r="B74" s="160" t="str">
        <f>'B) D RI'!B75</f>
        <v>Bercher</v>
      </c>
      <c r="C74" s="327">
        <f>'B) D RI'!S75</f>
        <v>79</v>
      </c>
      <c r="D74" s="161">
        <f>'B) D RI'!AR75</f>
        <v>1239</v>
      </c>
      <c r="E74" s="325">
        <f>'D) Ecrêtage'!M73</f>
        <v>37783.595443037979</v>
      </c>
      <c r="F74" s="329">
        <f>'E) Fact soc'!G79</f>
        <v>665397.0364161625</v>
      </c>
      <c r="G74" s="326">
        <f>'H) Péréquation directe'!I84</f>
        <v>86486.813240699819</v>
      </c>
      <c r="H74" s="329">
        <f>+'I) Dépenses thématiques'!O73</f>
        <v>-137473.36789847026</v>
      </c>
      <c r="I74" s="326">
        <f>'K) Plafonnement aide'!J73</f>
        <v>0</v>
      </c>
      <c r="J74" s="329">
        <f>'J) Plafonnement effort'!I73</f>
        <v>0</v>
      </c>
      <c r="K74" s="326">
        <f>+'L) Plafonnement taux'!Q74</f>
        <v>0</v>
      </c>
      <c r="L74" s="324">
        <f t="shared" si="2"/>
        <v>614410.48175839207</v>
      </c>
      <c r="M74" s="233">
        <f>'M) Police'!O74</f>
        <v>116514.02998199768</v>
      </c>
      <c r="N74" s="233">
        <f t="shared" si="3"/>
        <v>730924.51174038975</v>
      </c>
      <c r="P74" s="470"/>
      <c r="R74" s="332"/>
    </row>
    <row r="75" spans="1:18" s="162" customFormat="1" x14ac:dyDescent="0.25">
      <c r="A75" s="159">
        <f>'B) D RI'!A76</f>
        <v>5513</v>
      </c>
      <c r="B75" s="160" t="str">
        <f>'B) D RI'!B76</f>
        <v>Bioley-Orjulaz</v>
      </c>
      <c r="C75" s="327">
        <f>'B) D RI'!S76</f>
        <v>68</v>
      </c>
      <c r="D75" s="161">
        <f>'B) D RI'!AR76</f>
        <v>516</v>
      </c>
      <c r="E75" s="325">
        <f>'D) Ecrêtage'!M74</f>
        <v>23108.127499999999</v>
      </c>
      <c r="F75" s="329">
        <f>'E) Fact soc'!G80</f>
        <v>419870.56328135764</v>
      </c>
      <c r="G75" s="326">
        <f>'H) Péréquation directe'!I85</f>
        <v>384422.50312366296</v>
      </c>
      <c r="H75" s="329">
        <f>+'I) Dépenses thématiques'!O74</f>
        <v>0</v>
      </c>
      <c r="I75" s="326">
        <f>'K) Plafonnement aide'!J74</f>
        <v>0</v>
      </c>
      <c r="J75" s="329">
        <f>'J) Plafonnement effort'!I74</f>
        <v>0</v>
      </c>
      <c r="K75" s="326">
        <f>+'L) Plafonnement taux'!Q75</f>
        <v>0</v>
      </c>
      <c r="L75" s="324">
        <f t="shared" si="2"/>
        <v>804293.06640502065</v>
      </c>
      <c r="M75" s="233">
        <f>'M) Police'!O75</f>
        <v>71325.791792531905</v>
      </c>
      <c r="N75" s="233">
        <f t="shared" si="3"/>
        <v>875618.85819755262</v>
      </c>
      <c r="P75" s="470"/>
      <c r="R75" s="332"/>
    </row>
    <row r="76" spans="1:18" s="162" customFormat="1" x14ac:dyDescent="0.25">
      <c r="A76" s="159">
        <f>'B) D RI'!A77</f>
        <v>5514</v>
      </c>
      <c r="B76" s="160" t="str">
        <f>'B) D RI'!B77</f>
        <v>Bottens</v>
      </c>
      <c r="C76" s="327">
        <f>'B) D RI'!S77</f>
        <v>69</v>
      </c>
      <c r="D76" s="161">
        <f>'B) D RI'!AR77</f>
        <v>1298</v>
      </c>
      <c r="E76" s="325">
        <f>'D) Ecrêtage'!M75</f>
        <v>44799.851014492742</v>
      </c>
      <c r="F76" s="329">
        <f>'E) Fact soc'!G81</f>
        <v>710138.727464861</v>
      </c>
      <c r="G76" s="326">
        <f>'H) Péréquation directe'!I86</f>
        <v>387458.2262533264</v>
      </c>
      <c r="H76" s="329">
        <f>+'I) Dépenses thématiques'!O75</f>
        <v>0</v>
      </c>
      <c r="I76" s="326">
        <f>'K) Plafonnement aide'!J75</f>
        <v>0</v>
      </c>
      <c r="J76" s="329">
        <f>'J) Plafonnement effort'!I75</f>
        <v>0</v>
      </c>
      <c r="K76" s="326">
        <f>+'L) Plafonnement taux'!Q76</f>
        <v>0</v>
      </c>
      <c r="L76" s="324">
        <f t="shared" si="2"/>
        <v>1097596.9537181873</v>
      </c>
      <c r="M76" s="233">
        <f>'M) Police'!O76</f>
        <v>139058.35884187135</v>
      </c>
      <c r="N76" s="233">
        <f t="shared" si="3"/>
        <v>1236655.3125600587</v>
      </c>
      <c r="P76" s="470"/>
      <c r="R76" s="332"/>
    </row>
    <row r="77" spans="1:18" s="162" customFormat="1" x14ac:dyDescent="0.25">
      <c r="A77" s="159">
        <f>'B) D RI'!A78</f>
        <v>5515</v>
      </c>
      <c r="B77" s="160" t="str">
        <f>'B) D RI'!B78</f>
        <v>Bretigny-sur-Morrens</v>
      </c>
      <c r="C77" s="327">
        <f>'B) D RI'!S78</f>
        <v>81</v>
      </c>
      <c r="D77" s="161">
        <f>'B) D RI'!AR78</f>
        <v>843</v>
      </c>
      <c r="E77" s="325">
        <f>'D) Ecrêtage'!M76</f>
        <v>28902.998888888895</v>
      </c>
      <c r="F77" s="329">
        <f>'E) Fact soc'!G82</f>
        <v>526904.71819679707</v>
      </c>
      <c r="G77" s="326">
        <f>'H) Péréquation directe'!I87</f>
        <v>227747.02726642904</v>
      </c>
      <c r="H77" s="329">
        <f>+'I) Dépenses thématiques'!O76</f>
        <v>-43789.381487387895</v>
      </c>
      <c r="I77" s="326">
        <f>'K) Plafonnement aide'!J76</f>
        <v>0</v>
      </c>
      <c r="J77" s="329">
        <f>'J) Plafonnement effort'!I76</f>
        <v>0</v>
      </c>
      <c r="K77" s="326">
        <f>+'L) Plafonnement taux'!Q77</f>
        <v>0</v>
      </c>
      <c r="L77" s="324">
        <f t="shared" si="2"/>
        <v>710862.36397583818</v>
      </c>
      <c r="M77" s="233">
        <f>'M) Police'!O77</f>
        <v>89718.169853563755</v>
      </c>
      <c r="N77" s="233">
        <f t="shared" si="3"/>
        <v>800580.53382940195</v>
      </c>
      <c r="P77" s="470"/>
      <c r="R77" s="332"/>
    </row>
    <row r="78" spans="1:18" s="162" customFormat="1" x14ac:dyDescent="0.25">
      <c r="A78" s="159">
        <f>'B) D RI'!A79</f>
        <v>5516</v>
      </c>
      <c r="B78" s="160" t="str">
        <f>'B) D RI'!B79</f>
        <v>Cugy</v>
      </c>
      <c r="C78" s="327">
        <f>'B) D RI'!S79</f>
        <v>78</v>
      </c>
      <c r="D78" s="161">
        <f>'B) D RI'!AR79</f>
        <v>2742</v>
      </c>
      <c r="E78" s="325">
        <f>'D) Ecrêtage'!M77</f>
        <v>111854.58641025641</v>
      </c>
      <c r="F78" s="329">
        <f>'E) Fact soc'!G83</f>
        <v>1885791.1833915627</v>
      </c>
      <c r="G78" s="326">
        <f>'H) Péréquation directe'!I88</f>
        <v>1131344.9615699323</v>
      </c>
      <c r="H78" s="329">
        <f>+'I) Dépenses thématiques'!O77</f>
        <v>-121990.7755592395</v>
      </c>
      <c r="I78" s="326">
        <f>'K) Plafonnement aide'!J77</f>
        <v>0</v>
      </c>
      <c r="J78" s="329">
        <f>'J) Plafonnement effort'!I77</f>
        <v>0</v>
      </c>
      <c r="K78" s="326">
        <f>+'L) Plafonnement taux'!Q78</f>
        <v>0</v>
      </c>
      <c r="L78" s="324">
        <f t="shared" si="2"/>
        <v>2895145.3694022554</v>
      </c>
      <c r="M78" s="233">
        <f>'M) Police'!O78</f>
        <v>347028.15841736342</v>
      </c>
      <c r="N78" s="233">
        <f t="shared" si="3"/>
        <v>3242173.5278196186</v>
      </c>
      <c r="P78" s="470"/>
      <c r="R78" s="332"/>
    </row>
    <row r="79" spans="1:18" s="162" customFormat="1" x14ac:dyDescent="0.25">
      <c r="A79" s="159">
        <f>'B) D RI'!A80</f>
        <v>5518</v>
      </c>
      <c r="B79" s="160" t="str">
        <f>'B) D RI'!B80</f>
        <v>Echallens</v>
      </c>
      <c r="C79" s="327">
        <f>'B) D RI'!S80</f>
        <v>74</v>
      </c>
      <c r="D79" s="161">
        <f>'B) D RI'!AR80</f>
        <v>5742</v>
      </c>
      <c r="E79" s="325">
        <f>'D) Ecrêtage'!M78</f>
        <v>188362.16891891891</v>
      </c>
      <c r="F79" s="329">
        <f>'E) Fact soc'!G84</f>
        <v>3076160.1489487821</v>
      </c>
      <c r="G79" s="326">
        <f>'H) Péréquation directe'!I89</f>
        <v>-197910.33417171566</v>
      </c>
      <c r="H79" s="329">
        <f>+'I) Dépenses thématiques'!O78</f>
        <v>-885488.84959864442</v>
      </c>
      <c r="I79" s="326">
        <f>'K) Plafonnement aide'!J78</f>
        <v>0</v>
      </c>
      <c r="J79" s="329">
        <f>'J) Plafonnement effort'!I78</f>
        <v>0</v>
      </c>
      <c r="K79" s="326">
        <f>+'L) Plafonnement taux'!Q79</f>
        <v>0</v>
      </c>
      <c r="L79" s="324">
        <f t="shared" si="2"/>
        <v>1992760.9651784222</v>
      </c>
      <c r="M79" s="233">
        <f>'M) Police'!O79</f>
        <v>579822.61868235318</v>
      </c>
      <c r="N79" s="233">
        <f t="shared" si="3"/>
        <v>2572583.5838607755</v>
      </c>
      <c r="P79" s="470"/>
      <c r="R79" s="332"/>
    </row>
    <row r="80" spans="1:18" s="162" customFormat="1" x14ac:dyDescent="0.25">
      <c r="A80" s="159">
        <f>'B) D RI'!A81</f>
        <v>5520</v>
      </c>
      <c r="B80" s="160" t="str">
        <f>'B) D RI'!B81</f>
        <v>Essertines-sur-Yverdon</v>
      </c>
      <c r="C80" s="327">
        <f>'B) D RI'!S81</f>
        <v>73</v>
      </c>
      <c r="D80" s="161">
        <f>'B) D RI'!AR81</f>
        <v>1024</v>
      </c>
      <c r="E80" s="325">
        <f>'D) Ecrêtage'!M79</f>
        <v>31866.674520547935</v>
      </c>
      <c r="F80" s="329">
        <f>'E) Fact soc'!G85</f>
        <v>578147.92336709856</v>
      </c>
      <c r="G80" s="326">
        <f>'H) Péréquation directe'!I90</f>
        <v>194501.23444114736</v>
      </c>
      <c r="H80" s="329">
        <f>+'I) Dépenses thématiques'!O79</f>
        <v>-114982.96294334487</v>
      </c>
      <c r="I80" s="326">
        <f>'K) Plafonnement aide'!J79</f>
        <v>0</v>
      </c>
      <c r="J80" s="329">
        <f>'J) Plafonnement effort'!I79</f>
        <v>0</v>
      </c>
      <c r="K80" s="326">
        <f>+'L) Plafonnement taux'!Q80</f>
        <v>0</v>
      </c>
      <c r="L80" s="324">
        <f t="shared" si="2"/>
        <v>657666.19486490102</v>
      </c>
      <c r="M80" s="233">
        <f>'M) Police'!O80</f>
        <v>98546.049670381122</v>
      </c>
      <c r="N80" s="233">
        <f t="shared" si="3"/>
        <v>756212.24453528214</v>
      </c>
      <c r="P80" s="470"/>
      <c r="R80" s="332"/>
    </row>
    <row r="81" spans="1:18" s="162" customFormat="1" x14ac:dyDescent="0.25">
      <c r="A81" s="159">
        <f>'B) D RI'!A82</f>
        <v>5521</v>
      </c>
      <c r="B81" s="160" t="str">
        <f>'B) D RI'!B82</f>
        <v>Etagnières</v>
      </c>
      <c r="C81" s="327">
        <f>'B) D RI'!S82</f>
        <v>73</v>
      </c>
      <c r="D81" s="161">
        <f>'B) D RI'!AR82</f>
        <v>1118</v>
      </c>
      <c r="E81" s="325">
        <f>'D) Ecrêtage'!M80</f>
        <v>42985.528493150683</v>
      </c>
      <c r="F81" s="329">
        <f>'E) Fact soc'!G86</f>
        <v>724706.04007727432</v>
      </c>
      <c r="G81" s="326">
        <f>'H) Péréquation directe'!I91</f>
        <v>518306.24203777406</v>
      </c>
      <c r="H81" s="329">
        <f>+'I) Dépenses thématiques'!O80</f>
        <v>-15390.098401570618</v>
      </c>
      <c r="I81" s="326">
        <f>'K) Plafonnement aide'!J80</f>
        <v>0</v>
      </c>
      <c r="J81" s="329">
        <f>'J) Plafonnement effort'!I80</f>
        <v>0</v>
      </c>
      <c r="K81" s="326">
        <f>+'L) Plafonnement taux'!Q81</f>
        <v>0</v>
      </c>
      <c r="L81" s="324">
        <f t="shared" si="2"/>
        <v>1227622.1837134776</v>
      </c>
      <c r="M81" s="233">
        <f>'M) Police'!O81</f>
        <v>132334.53162176945</v>
      </c>
      <c r="N81" s="233">
        <f t="shared" si="3"/>
        <v>1359956.7153352471</v>
      </c>
      <c r="P81" s="470"/>
      <c r="R81" s="332"/>
    </row>
    <row r="82" spans="1:18" s="162" customFormat="1" x14ac:dyDescent="0.25">
      <c r="A82" s="159">
        <f>'B) D RI'!A83</f>
        <v>5522</v>
      </c>
      <c r="B82" s="160" t="str">
        <f>'B) D RI'!B83</f>
        <v>Fey</v>
      </c>
      <c r="C82" s="327">
        <f>'B) D RI'!S83</f>
        <v>75</v>
      </c>
      <c r="D82" s="161">
        <f>'B) D RI'!AR83</f>
        <v>734</v>
      </c>
      <c r="E82" s="325">
        <f>'D) Ecrêtage'!M81</f>
        <v>21913.487866666663</v>
      </c>
      <c r="F82" s="329">
        <f>'E) Fact soc'!G87</f>
        <v>381629.06914763118</v>
      </c>
      <c r="G82" s="326">
        <f>'H) Péréquation directe'!I92</f>
        <v>93329.880915613845</v>
      </c>
      <c r="H82" s="329">
        <f>+'I) Dépenses thématiques'!O81</f>
        <v>-31456.425934714425</v>
      </c>
      <c r="I82" s="326">
        <f>'K) Plafonnement aide'!J81</f>
        <v>0</v>
      </c>
      <c r="J82" s="329">
        <f>'J) Plafonnement effort'!I81</f>
        <v>0</v>
      </c>
      <c r="K82" s="326">
        <f>+'L) Plafonnement taux'!Q82</f>
        <v>0</v>
      </c>
      <c r="L82" s="324">
        <f t="shared" si="2"/>
        <v>443502.52412853058</v>
      </c>
      <c r="M82" s="233">
        <f>'M) Police'!O82</f>
        <v>67787.900956325626</v>
      </c>
      <c r="N82" s="233">
        <f t="shared" si="3"/>
        <v>511290.42508485622</v>
      </c>
      <c r="P82" s="470"/>
      <c r="R82" s="332"/>
    </row>
    <row r="83" spans="1:18" s="162" customFormat="1" x14ac:dyDescent="0.25">
      <c r="A83" s="159">
        <f>'B) D RI'!A84</f>
        <v>5523</v>
      </c>
      <c r="B83" s="160" t="str">
        <f>'B) D RI'!B84</f>
        <v>Froideville</v>
      </c>
      <c r="C83" s="327">
        <f>'B) D RI'!S84</f>
        <v>76</v>
      </c>
      <c r="D83" s="161">
        <f>'B) D RI'!AR84</f>
        <v>2576</v>
      </c>
      <c r="E83" s="325">
        <f>'D) Ecrêtage'!M82</f>
        <v>83191.459210526315</v>
      </c>
      <c r="F83" s="329">
        <f>'E) Fact soc'!G88</f>
        <v>1377747.3352987433</v>
      </c>
      <c r="G83" s="326">
        <f>'H) Péréquation directe'!I93</f>
        <v>173888.70307790325</v>
      </c>
      <c r="H83" s="329">
        <f>+'I) Dépenses thématiques'!O82</f>
        <v>-70849.066255580547</v>
      </c>
      <c r="I83" s="326">
        <f>'K) Plafonnement aide'!J82</f>
        <v>0</v>
      </c>
      <c r="J83" s="329">
        <f>'J) Plafonnement effort'!I82</f>
        <v>0</v>
      </c>
      <c r="K83" s="326">
        <f>+'L) Plafonnement taux'!Q83</f>
        <v>0</v>
      </c>
      <c r="L83" s="324">
        <f t="shared" si="2"/>
        <v>1480786.9721210659</v>
      </c>
      <c r="M83" s="233">
        <f>'M) Police'!O83</f>
        <v>256128.56163834443</v>
      </c>
      <c r="N83" s="233">
        <f t="shared" si="3"/>
        <v>1736915.5337594105</v>
      </c>
      <c r="P83" s="470"/>
      <c r="R83" s="332"/>
    </row>
    <row r="84" spans="1:18" s="162" customFormat="1" x14ac:dyDescent="0.25">
      <c r="A84" s="159">
        <f>'B) D RI'!A85</f>
        <v>5527</v>
      </c>
      <c r="B84" s="160" t="str">
        <f>'B) D RI'!B85</f>
        <v>Morrens</v>
      </c>
      <c r="C84" s="327">
        <f>'B) D RI'!S85</f>
        <v>74</v>
      </c>
      <c r="D84" s="161">
        <f>'B) D RI'!AR85</f>
        <v>1077</v>
      </c>
      <c r="E84" s="325">
        <f>'D) Ecrêtage'!M83</f>
        <v>37832.854189189195</v>
      </c>
      <c r="F84" s="329">
        <f>'E) Fact soc'!G89</f>
        <v>688443.0607351287</v>
      </c>
      <c r="G84" s="326">
        <f>'H) Péréquation directe'!I94</f>
        <v>358666.98586426827</v>
      </c>
      <c r="H84" s="329">
        <f>+'I) Dépenses thématiques'!O83</f>
        <v>-26711.449322084452</v>
      </c>
      <c r="I84" s="326">
        <f>'K) Plafonnement aide'!J83</f>
        <v>0</v>
      </c>
      <c r="J84" s="329">
        <f>'J) Plafonnement effort'!I83</f>
        <v>0</v>
      </c>
      <c r="K84" s="326">
        <f>+'L) Plafonnement taux'!Q84</f>
        <v>0</v>
      </c>
      <c r="L84" s="324">
        <f t="shared" si="2"/>
        <v>1020398.5972773125</v>
      </c>
      <c r="M84" s="233">
        <f>'M) Police'!O84</f>
        <v>116754.16027327285</v>
      </c>
      <c r="N84" s="233">
        <f t="shared" si="3"/>
        <v>1137152.7575505853</v>
      </c>
      <c r="P84" s="470"/>
      <c r="R84" s="332"/>
    </row>
    <row r="85" spans="1:18" s="162" customFormat="1" x14ac:dyDescent="0.25">
      <c r="A85" s="159">
        <f>'B) D RI'!A86</f>
        <v>5529</v>
      </c>
      <c r="B85" s="160" t="str">
        <f>'B) D RI'!B86</f>
        <v>Oulens-sous-Echallens</v>
      </c>
      <c r="C85" s="327">
        <f>'B) D RI'!S86</f>
        <v>71</v>
      </c>
      <c r="D85" s="161">
        <f>'B) D RI'!AR86</f>
        <v>611</v>
      </c>
      <c r="E85" s="325">
        <f>'D) Ecrêtage'!M84</f>
        <v>21358.649436619718</v>
      </c>
      <c r="F85" s="329">
        <f>'E) Fact soc'!G90</f>
        <v>342943.85121897486</v>
      </c>
      <c r="G85" s="326">
        <f>'H) Péréquation directe'!I95</f>
        <v>220794.15216105484</v>
      </c>
      <c r="H85" s="329">
        <f>+'I) Dépenses thématiques'!O84</f>
        <v>-118187.73111595892</v>
      </c>
      <c r="I85" s="326">
        <f>'K) Plafonnement aide'!J84</f>
        <v>0</v>
      </c>
      <c r="J85" s="329">
        <f>'J) Plafonnement effort'!I84</f>
        <v>0</v>
      </c>
      <c r="K85" s="326">
        <f>+'L) Plafonnement taux'!Q85</f>
        <v>0</v>
      </c>
      <c r="L85" s="324">
        <f t="shared" si="2"/>
        <v>445550.27226407081</v>
      </c>
      <c r="M85" s="233">
        <f>'M) Police'!O85</f>
        <v>66212.435551170784</v>
      </c>
      <c r="N85" s="233">
        <f t="shared" si="3"/>
        <v>511762.70781524159</v>
      </c>
      <c r="P85" s="470"/>
      <c r="R85" s="332"/>
    </row>
    <row r="86" spans="1:18" s="162" customFormat="1" x14ac:dyDescent="0.25">
      <c r="A86" s="159">
        <f>'B) D RI'!A87</f>
        <v>5530</v>
      </c>
      <c r="B86" s="160" t="str">
        <f>'B) D RI'!B87</f>
        <v>Pailly</v>
      </c>
      <c r="C86" s="327">
        <f>'B) D RI'!S87</f>
        <v>77.5</v>
      </c>
      <c r="D86" s="161">
        <f>'B) D RI'!AR87</f>
        <v>561</v>
      </c>
      <c r="E86" s="325">
        <f>'D) Ecrêtage'!M85</f>
        <v>17215.63182795699</v>
      </c>
      <c r="F86" s="329">
        <f>'E) Fact soc'!G91</f>
        <v>345912.63835451961</v>
      </c>
      <c r="G86" s="326">
        <f>'H) Péréquation directe'!I96</f>
        <v>78420.388847158378</v>
      </c>
      <c r="H86" s="329">
        <f>+'I) Dépenses thématiques'!O85</f>
        <v>-210405.05270643416</v>
      </c>
      <c r="I86" s="326">
        <f>'K) Plafonnement aide'!J85</f>
        <v>0</v>
      </c>
      <c r="J86" s="329">
        <f>'J) Plafonnement effort'!I85</f>
        <v>0</v>
      </c>
      <c r="K86" s="326">
        <f>+'L) Plafonnement taux'!Q86</f>
        <v>0</v>
      </c>
      <c r="L86" s="324">
        <f t="shared" si="2"/>
        <v>213927.97449524386</v>
      </c>
      <c r="M86" s="233">
        <f>'M) Police'!O86</f>
        <v>53679.960456529909</v>
      </c>
      <c r="N86" s="233">
        <f t="shared" si="3"/>
        <v>267607.93495177379</v>
      </c>
      <c r="P86" s="470"/>
      <c r="R86" s="332"/>
    </row>
    <row r="87" spans="1:18" s="162" customFormat="1" x14ac:dyDescent="0.25">
      <c r="A87" s="159">
        <f>'B) D RI'!A88</f>
        <v>5531</v>
      </c>
      <c r="B87" s="160" t="str">
        <f>'B) D RI'!B88</f>
        <v>Penthéréaz</v>
      </c>
      <c r="C87" s="327">
        <f>'B) D RI'!S88</f>
        <v>78</v>
      </c>
      <c r="D87" s="161">
        <f>'B) D RI'!AR88</f>
        <v>421</v>
      </c>
      <c r="E87" s="325">
        <f>'D) Ecrêtage'!M86</f>
        <v>14983.10512820513</v>
      </c>
      <c r="F87" s="329">
        <f>'E) Fact soc'!G92</f>
        <v>251879.32154466404</v>
      </c>
      <c r="G87" s="326">
        <f>'H) Péréquation directe'!I97</f>
        <v>146001.61920280068</v>
      </c>
      <c r="H87" s="329">
        <f>+'I) Dépenses thématiques'!O86</f>
        <v>-43970.173316850116</v>
      </c>
      <c r="I87" s="326">
        <f>'K) Plafonnement aide'!J86</f>
        <v>0</v>
      </c>
      <c r="J87" s="329">
        <f>'J) Plafonnement effort'!I86</f>
        <v>0</v>
      </c>
      <c r="K87" s="326">
        <f>+'L) Plafonnement taux'!Q87</f>
        <v>0</v>
      </c>
      <c r="L87" s="324">
        <f t="shared" si="2"/>
        <v>353910.76743061462</v>
      </c>
      <c r="M87" s="233">
        <f>'M) Police'!O87</f>
        <v>46651.247527129002</v>
      </c>
      <c r="N87" s="233">
        <f t="shared" si="3"/>
        <v>400562.01495774364</v>
      </c>
      <c r="P87" s="470"/>
      <c r="R87" s="332"/>
    </row>
    <row r="88" spans="1:18" s="162" customFormat="1" x14ac:dyDescent="0.25">
      <c r="A88" s="159">
        <f>'B) D RI'!A89</f>
        <v>5533</v>
      </c>
      <c r="B88" s="160" t="str">
        <f>'B) D RI'!B89</f>
        <v>Poliez-Pittet</v>
      </c>
      <c r="C88" s="327">
        <f>'B) D RI'!S89</f>
        <v>71</v>
      </c>
      <c r="D88" s="161">
        <f>'B) D RI'!AR89</f>
        <v>846</v>
      </c>
      <c r="E88" s="325">
        <f>'D) Ecrêtage'!M87</f>
        <v>25749.220563380281</v>
      </c>
      <c r="F88" s="329">
        <f>'E) Fact soc'!G93</f>
        <v>411501.52774460596</v>
      </c>
      <c r="G88" s="326">
        <f>'H) Péréquation directe'!I98</f>
        <v>156587.18588832172</v>
      </c>
      <c r="H88" s="329">
        <f>+'I) Dépenses thématiques'!O87</f>
        <v>-27744.883755828763</v>
      </c>
      <c r="I88" s="326">
        <f>'K) Plafonnement aide'!J87</f>
        <v>0</v>
      </c>
      <c r="J88" s="329">
        <f>'J) Plafonnement effort'!I87</f>
        <v>0</v>
      </c>
      <c r="K88" s="326">
        <f>+'L) Plafonnement taux'!Q88</f>
        <v>0</v>
      </c>
      <c r="L88" s="324">
        <f t="shared" si="2"/>
        <v>540343.82987709902</v>
      </c>
      <c r="M88" s="233">
        <f>'M) Police'!O88</f>
        <v>79385.404471044545</v>
      </c>
      <c r="N88" s="233">
        <f t="shared" si="3"/>
        <v>619729.23434814357</v>
      </c>
      <c r="P88" s="470"/>
      <c r="R88" s="332"/>
    </row>
    <row r="89" spans="1:18" s="162" customFormat="1" x14ac:dyDescent="0.25">
      <c r="A89" s="159">
        <f>'B) D RI'!A90</f>
        <v>5534</v>
      </c>
      <c r="B89" s="160" t="str">
        <f>'B) D RI'!B90</f>
        <v>Rueyres</v>
      </c>
      <c r="C89" s="327">
        <f>'B) D RI'!S90</f>
        <v>73</v>
      </c>
      <c r="D89" s="161">
        <f>'B) D RI'!AR90</f>
        <v>255</v>
      </c>
      <c r="E89" s="325">
        <f>'D) Ecrêtage'!M88</f>
        <v>9061.5212328767138</v>
      </c>
      <c r="F89" s="329">
        <f>'E) Fact soc'!G94</f>
        <v>145050.28410417156</v>
      </c>
      <c r="G89" s="326">
        <f>'H) Péréquation directe'!I99</f>
        <v>95122.572856754559</v>
      </c>
      <c r="H89" s="329">
        <f>+'I) Dépenses thématiques'!O88</f>
        <v>-16574.11728225572</v>
      </c>
      <c r="I89" s="326">
        <f>'K) Plafonnement aide'!J88</f>
        <v>0</v>
      </c>
      <c r="J89" s="329">
        <f>'J) Plafonnement effort'!I88</f>
        <v>0</v>
      </c>
      <c r="K89" s="326">
        <f>+'L) Plafonnement taux'!Q89</f>
        <v>0</v>
      </c>
      <c r="L89" s="324">
        <f t="shared" si="2"/>
        <v>223598.73967867039</v>
      </c>
      <c r="M89" s="233">
        <f>'M) Police'!O89</f>
        <v>27383.86146205373</v>
      </c>
      <c r="N89" s="233">
        <f t="shared" si="3"/>
        <v>250982.60114072412</v>
      </c>
      <c r="P89" s="470"/>
      <c r="R89" s="332"/>
    </row>
    <row r="90" spans="1:18" s="162" customFormat="1" x14ac:dyDescent="0.25">
      <c r="A90" s="159">
        <f>'B) D RI'!A91</f>
        <v>5535</v>
      </c>
      <c r="B90" s="160" t="str">
        <f>'B) D RI'!B91</f>
        <v>Saint-Barthélemy</v>
      </c>
      <c r="C90" s="327">
        <f>'B) D RI'!S91</f>
        <v>77</v>
      </c>
      <c r="D90" s="161">
        <f>'B) D RI'!AR91</f>
        <v>778</v>
      </c>
      <c r="E90" s="325">
        <f>'D) Ecrêtage'!M89</f>
        <v>21992.865064935064</v>
      </c>
      <c r="F90" s="329">
        <f>'E) Fact soc'!G95</f>
        <v>408789.71935458115</v>
      </c>
      <c r="G90" s="326">
        <f>'H) Péréquation directe'!I100</f>
        <v>32163.892672864255</v>
      </c>
      <c r="H90" s="329">
        <f>+'I) Dépenses thématiques'!O89</f>
        <v>-16.827603955894215</v>
      </c>
      <c r="I90" s="326">
        <f>'K) Plafonnement aide'!J89</f>
        <v>0</v>
      </c>
      <c r="J90" s="329">
        <f>'J) Plafonnement effort'!I89</f>
        <v>0</v>
      </c>
      <c r="K90" s="326">
        <f>+'L) Plafonnement taux'!Q90</f>
        <v>0</v>
      </c>
      <c r="L90" s="324">
        <f t="shared" si="2"/>
        <v>440936.78442348953</v>
      </c>
      <c r="M90" s="233">
        <f>'M) Police'!O90</f>
        <v>67861.105938646127</v>
      </c>
      <c r="N90" s="233">
        <f t="shared" si="3"/>
        <v>508797.89036213566</v>
      </c>
      <c r="P90" s="470"/>
      <c r="R90" s="332"/>
    </row>
    <row r="91" spans="1:18" s="162" customFormat="1" x14ac:dyDescent="0.25">
      <c r="A91" s="159">
        <f>'B) D RI'!A92</f>
        <v>5537</v>
      </c>
      <c r="B91" s="160" t="str">
        <f>'B) D RI'!B92</f>
        <v>Villars-le-Terroir</v>
      </c>
      <c r="C91" s="327">
        <f>'B) D RI'!S92</f>
        <v>73</v>
      </c>
      <c r="D91" s="161">
        <f>'B) D RI'!AR92</f>
        <v>1213</v>
      </c>
      <c r="E91" s="325">
        <f>'D) Ecrêtage'!M90</f>
        <v>37425.853630136982</v>
      </c>
      <c r="F91" s="329">
        <f>'E) Fact soc'!G96</f>
        <v>607714.88751484023</v>
      </c>
      <c r="G91" s="326">
        <f>'H) Péréquation directe'!I101</f>
        <v>171361.12975451187</v>
      </c>
      <c r="H91" s="329">
        <f>+'I) Dépenses thématiques'!O90</f>
        <v>-19624.224320038284</v>
      </c>
      <c r="I91" s="326">
        <f>'K) Plafonnement aide'!J90</f>
        <v>0</v>
      </c>
      <c r="J91" s="329">
        <f>'J) Plafonnement effort'!I90</f>
        <v>0</v>
      </c>
      <c r="K91" s="326">
        <f>+'L) Plafonnement taux'!Q91</f>
        <v>0</v>
      </c>
      <c r="L91" s="324">
        <f t="shared" si="2"/>
        <v>759451.79294931376</v>
      </c>
      <c r="M91" s="233">
        <f>'M) Police'!O91</f>
        <v>115599.28666801419</v>
      </c>
      <c r="N91" s="233">
        <f t="shared" si="3"/>
        <v>875051.07961732801</v>
      </c>
      <c r="P91" s="470"/>
      <c r="R91" s="332"/>
    </row>
    <row r="92" spans="1:18" s="162" customFormat="1" x14ac:dyDescent="0.25">
      <c r="A92" s="159">
        <f>'B) D RI'!A93</f>
        <v>5539</v>
      </c>
      <c r="B92" s="160" t="str">
        <f>'B) D RI'!B93</f>
        <v>Vuarrens</v>
      </c>
      <c r="C92" s="327">
        <f>'B) D RI'!S93</f>
        <v>75</v>
      </c>
      <c r="D92" s="161">
        <f>'B) D RI'!AR93</f>
        <v>1001</v>
      </c>
      <c r="E92" s="325">
        <f>'D) Ecrêtage'!M91</f>
        <v>28895.172466666667</v>
      </c>
      <c r="F92" s="329">
        <f>'E) Fact soc'!G97</f>
        <v>508335.96908175765</v>
      </c>
      <c r="G92" s="326">
        <f>'H) Péréquation directe'!I102</f>
        <v>86147.288542431314</v>
      </c>
      <c r="H92" s="329">
        <f>+'I) Dépenses thématiques'!O91</f>
        <v>-72480.696296507391</v>
      </c>
      <c r="I92" s="326">
        <f>'K) Plafonnement aide'!J91</f>
        <v>0</v>
      </c>
      <c r="J92" s="329">
        <f>'J) Plafonnement effort'!I91</f>
        <v>0</v>
      </c>
      <c r="K92" s="326">
        <f>+'L) Plafonnement taux'!Q92</f>
        <v>0</v>
      </c>
      <c r="L92" s="324">
        <f t="shared" si="2"/>
        <v>522002.56132768153</v>
      </c>
      <c r="M92" s="233">
        <f>'M) Police'!O92</f>
        <v>88947.691071805981</v>
      </c>
      <c r="N92" s="233">
        <f t="shared" si="3"/>
        <v>610950.25239948754</v>
      </c>
      <c r="P92" s="470"/>
      <c r="R92" s="332"/>
    </row>
    <row r="93" spans="1:18" s="162" customFormat="1" x14ac:dyDescent="0.25">
      <c r="A93" s="159">
        <f>'B) D RI'!A94</f>
        <v>5540</v>
      </c>
      <c r="B93" s="160" t="str">
        <f>'B) D RI'!B94</f>
        <v>Montilliez</v>
      </c>
      <c r="C93" s="327">
        <f>'B) D RI'!S94</f>
        <v>74</v>
      </c>
      <c r="D93" s="161">
        <f>'B) D RI'!AR94</f>
        <v>1781</v>
      </c>
      <c r="E93" s="325">
        <f>'D) Ecrêtage'!M92</f>
        <v>59583.392972972964</v>
      </c>
      <c r="F93" s="329">
        <f>'E) Fact soc'!G98</f>
        <v>971882.71162086877</v>
      </c>
      <c r="G93" s="326">
        <f>'H) Péréquation directe'!I103</f>
        <v>308529.73818376265</v>
      </c>
      <c r="H93" s="329">
        <f>+'I) Dépenses thématiques'!O92</f>
        <v>-591593.71248312655</v>
      </c>
      <c r="I93" s="326">
        <f>'K) Plafonnement aide'!J92</f>
        <v>0</v>
      </c>
      <c r="J93" s="329">
        <f>'J) Plafonnement effort'!I92</f>
        <v>0</v>
      </c>
      <c r="K93" s="326">
        <f>+'L) Plafonnement taux'!Q93</f>
        <v>0</v>
      </c>
      <c r="L93" s="324">
        <f>F93+G93+H93+I93+J93+K93</f>
        <v>688818.73732150497</v>
      </c>
      <c r="M93" s="233">
        <f>'M) Police'!O93</f>
        <v>184634.15319213818</v>
      </c>
      <c r="N93" s="233">
        <f t="shared" si="3"/>
        <v>873452.89051364316</v>
      </c>
      <c r="P93" s="470"/>
      <c r="R93" s="332"/>
    </row>
    <row r="94" spans="1:18" s="162" customFormat="1" x14ac:dyDescent="0.25">
      <c r="A94" s="159">
        <f>'B) D RI'!A95</f>
        <v>5541</v>
      </c>
      <c r="B94" s="160" t="str">
        <f>'B) D RI'!B95</f>
        <v>Goumoëns</v>
      </c>
      <c r="C94" s="327">
        <f>'B) D RI'!S95</f>
        <v>77</v>
      </c>
      <c r="D94" s="161">
        <f>'B) D RI'!AR95</f>
        <v>1119</v>
      </c>
      <c r="E94" s="325">
        <f>'D) Ecrêtage'!M93</f>
        <v>36064.061558441557</v>
      </c>
      <c r="F94" s="329">
        <f>'E) Fact soc'!G99</f>
        <v>857298.51543233497</v>
      </c>
      <c r="G94" s="326">
        <f>'H) Péréquation directe'!I104</f>
        <v>204976.64975837752</v>
      </c>
      <c r="H94" s="329">
        <f>+'I) Dépenses thématiques'!O93</f>
        <v>-67870.582474144539</v>
      </c>
      <c r="I94" s="326">
        <f>'K) Plafonnement aide'!J93</f>
        <v>0</v>
      </c>
      <c r="J94" s="329">
        <f>'J) Plafonnement effort'!I93</f>
        <v>0</v>
      </c>
      <c r="K94" s="326">
        <f>+'L) Plafonnement taux'!Q94</f>
        <v>0</v>
      </c>
      <c r="L94" s="324">
        <f>F94+G94+H94+I94+J94+K94</f>
        <v>994404.58271656802</v>
      </c>
      <c r="M94" s="233">
        <f>'M) Police'!O94</f>
        <v>111635.93108519302</v>
      </c>
      <c r="N94" s="233">
        <f t="shared" si="3"/>
        <v>1106040.513801761</v>
      </c>
      <c r="P94" s="470"/>
      <c r="R94" s="332"/>
    </row>
    <row r="95" spans="1:18" s="162" customFormat="1" x14ac:dyDescent="0.25">
      <c r="A95" s="159">
        <f>'B) D RI'!A96</f>
        <v>5551</v>
      </c>
      <c r="B95" s="160" t="str">
        <f>'B) D RI'!B96</f>
        <v>Bonvillars</v>
      </c>
      <c r="C95" s="327">
        <f>'B) D RI'!S96</f>
        <v>55</v>
      </c>
      <c r="D95" s="161">
        <f>'B) D RI'!AR96</f>
        <v>505</v>
      </c>
      <c r="E95" s="325">
        <f>'D) Ecrêtage'!M94</f>
        <v>23195.066545454545</v>
      </c>
      <c r="F95" s="329">
        <f>'E) Fact soc'!G100</f>
        <v>382344.40658126521</v>
      </c>
      <c r="G95" s="326">
        <f>'H) Péréquation directe'!I105</f>
        <v>389824.84129132476</v>
      </c>
      <c r="H95" s="329">
        <f>+'I) Dépenses thématiques'!O94</f>
        <v>-45352.234490767514</v>
      </c>
      <c r="I95" s="326">
        <f>'K) Plafonnement aide'!J94</f>
        <v>0</v>
      </c>
      <c r="J95" s="329">
        <f>'J) Plafonnement effort'!I94</f>
        <v>0</v>
      </c>
      <c r="K95" s="326">
        <f>+'L) Plafonnement taux'!Q95</f>
        <v>0</v>
      </c>
      <c r="L95" s="324">
        <f t="shared" si="2"/>
        <v>726817.0133818225</v>
      </c>
      <c r="M95" s="233">
        <f>'M) Police'!O95</f>
        <v>70716.984685376112</v>
      </c>
      <c r="N95" s="233">
        <f t="shared" si="3"/>
        <v>797533.99806719855</v>
      </c>
      <c r="P95" s="470"/>
      <c r="R95" s="332"/>
    </row>
    <row r="96" spans="1:18" s="162" customFormat="1" x14ac:dyDescent="0.25">
      <c r="A96" s="159">
        <f>'B) D RI'!A97</f>
        <v>5552</v>
      </c>
      <c r="B96" s="160" t="str">
        <f>'B) D RI'!B97</f>
        <v>Bullet</v>
      </c>
      <c r="C96" s="327">
        <f>'B) D RI'!S97</f>
        <v>73</v>
      </c>
      <c r="D96" s="161">
        <f>'B) D RI'!AR97</f>
        <v>655</v>
      </c>
      <c r="E96" s="325">
        <f>'D) Ecrêtage'!M95</f>
        <v>17788.954109589042</v>
      </c>
      <c r="F96" s="329">
        <f>'E) Fact soc'!G101</f>
        <v>310384.760243333</v>
      </c>
      <c r="G96" s="326">
        <f>'H) Péréquation directe'!I106</f>
        <v>24107.152844342869</v>
      </c>
      <c r="H96" s="329">
        <f>+'I) Dépenses thématiques'!O95</f>
        <v>-193854.6409963553</v>
      </c>
      <c r="I96" s="326">
        <f>'K) Plafonnement aide'!J95</f>
        <v>0</v>
      </c>
      <c r="J96" s="329">
        <f>'J) Plafonnement effort'!I95</f>
        <v>0</v>
      </c>
      <c r="K96" s="326">
        <f>+'L) Plafonnement taux'!Q96</f>
        <v>0</v>
      </c>
      <c r="L96" s="324">
        <f t="shared" si="2"/>
        <v>140637.27209132057</v>
      </c>
      <c r="M96" s="233">
        <f>'M) Police'!O96</f>
        <v>54606.385277027242</v>
      </c>
      <c r="N96" s="233">
        <f t="shared" si="3"/>
        <v>195243.65736834781</v>
      </c>
      <c r="P96" s="470"/>
      <c r="R96" s="332"/>
    </row>
    <row r="97" spans="1:18" s="162" customFormat="1" x14ac:dyDescent="0.25">
      <c r="A97" s="159">
        <f>'B) D RI'!A98</f>
        <v>5553</v>
      </c>
      <c r="B97" s="160" t="str">
        <f>'B) D RI'!B98</f>
        <v>Champagne</v>
      </c>
      <c r="C97" s="327">
        <f>'B) D RI'!S98</f>
        <v>65</v>
      </c>
      <c r="D97" s="161">
        <f>'B) D RI'!AR98</f>
        <v>1034</v>
      </c>
      <c r="E97" s="325">
        <f>'D) Ecrêtage'!M96</f>
        <v>38605.988461538451</v>
      </c>
      <c r="F97" s="329">
        <f>'E) Fact soc'!G102</f>
        <v>696054.00553579291</v>
      </c>
      <c r="G97" s="326">
        <f>'H) Péréquation directe'!I107</f>
        <v>486993.12919969606</v>
      </c>
      <c r="H97" s="329">
        <f>+'I) Dépenses thématiques'!O96</f>
        <v>-270668.43574767938</v>
      </c>
      <c r="I97" s="326">
        <f>'K) Plafonnement aide'!J96</f>
        <v>0</v>
      </c>
      <c r="J97" s="329">
        <f>'J) Plafonnement effort'!I96</f>
        <v>0</v>
      </c>
      <c r="K97" s="326">
        <f>+'L) Plafonnement taux'!Q97</f>
        <v>0</v>
      </c>
      <c r="L97" s="324">
        <f t="shared" si="2"/>
        <v>912378.69898780971</v>
      </c>
      <c r="M97" s="233">
        <f>'M) Police'!O97</f>
        <v>117519.87902881976</v>
      </c>
      <c r="N97" s="233">
        <f t="shared" si="3"/>
        <v>1029898.5780166294</v>
      </c>
      <c r="P97" s="470"/>
      <c r="R97" s="332"/>
    </row>
    <row r="98" spans="1:18" s="162" customFormat="1" x14ac:dyDescent="0.25">
      <c r="A98" s="159">
        <f>'B) D RI'!A99</f>
        <v>5554</v>
      </c>
      <c r="B98" s="160" t="str">
        <f>'B) D RI'!B99</f>
        <v>Concise</v>
      </c>
      <c r="C98" s="327">
        <f>'B) D RI'!S99</f>
        <v>75</v>
      </c>
      <c r="D98" s="161">
        <f>'B) D RI'!AR99</f>
        <v>995</v>
      </c>
      <c r="E98" s="325">
        <f>'D) Ecrêtage'!M97</f>
        <v>29879.816133333334</v>
      </c>
      <c r="F98" s="329">
        <f>'E) Fact soc'!G103</f>
        <v>578180.48759965913</v>
      </c>
      <c r="G98" s="326">
        <f>'H) Péréquation directe'!I108</f>
        <v>133713.56391504698</v>
      </c>
      <c r="H98" s="329">
        <f>+'I) Dépenses thématiques'!O97</f>
        <v>-122590.07829059155</v>
      </c>
      <c r="I98" s="326">
        <f>'K) Plafonnement aide'!J97</f>
        <v>0</v>
      </c>
      <c r="J98" s="329">
        <f>'J) Plafonnement effort'!I97</f>
        <v>0</v>
      </c>
      <c r="K98" s="326">
        <f>+'L) Plafonnement taux'!Q98</f>
        <v>0</v>
      </c>
      <c r="L98" s="324">
        <f t="shared" si="2"/>
        <v>589303.97322411451</v>
      </c>
      <c r="M98" s="233">
        <f>'M) Police'!O98</f>
        <v>92184.656861734446</v>
      </c>
      <c r="N98" s="233">
        <f t="shared" si="3"/>
        <v>681488.63008584897</v>
      </c>
      <c r="P98" s="470"/>
      <c r="R98" s="332"/>
    </row>
    <row r="99" spans="1:18" s="162" customFormat="1" x14ac:dyDescent="0.25">
      <c r="A99" s="159">
        <f>'B) D RI'!A100</f>
        <v>5555</v>
      </c>
      <c r="B99" s="160" t="str">
        <f>'B) D RI'!B100</f>
        <v>Corcelles-près-Concise</v>
      </c>
      <c r="C99" s="327">
        <f>'B) D RI'!S100</f>
        <v>71</v>
      </c>
      <c r="D99" s="161">
        <f>'B) D RI'!AR100</f>
        <v>401</v>
      </c>
      <c r="E99" s="325">
        <f>'D) Ecrêtage'!M98</f>
        <v>13019.29676056338</v>
      </c>
      <c r="F99" s="329">
        <f>'E) Fact soc'!G104</f>
        <v>236907.72776799268</v>
      </c>
      <c r="G99" s="326">
        <f>'H) Péréquation directe'!I109</f>
        <v>105974.62715915963</v>
      </c>
      <c r="H99" s="329">
        <f>+'I) Dépenses thématiques'!O98</f>
        <v>-144128.16699762997</v>
      </c>
      <c r="I99" s="326">
        <f>'K) Plafonnement aide'!J98</f>
        <v>0</v>
      </c>
      <c r="J99" s="329">
        <f>'J) Plafonnement effort'!I98</f>
        <v>0</v>
      </c>
      <c r="K99" s="326">
        <f>+'L) Plafonnement taux'!Q99</f>
        <v>0</v>
      </c>
      <c r="L99" s="324">
        <f t="shared" si="2"/>
        <v>198754.1879295223</v>
      </c>
      <c r="M99" s="233">
        <f>'M) Police'!O99</f>
        <v>39802.444002671517</v>
      </c>
      <c r="N99" s="233">
        <f t="shared" si="3"/>
        <v>238556.63193219382</v>
      </c>
      <c r="P99" s="470"/>
      <c r="R99" s="332"/>
    </row>
    <row r="100" spans="1:18" s="162" customFormat="1" x14ac:dyDescent="0.25">
      <c r="A100" s="159">
        <f>'B) D RI'!A101</f>
        <v>5556</v>
      </c>
      <c r="B100" s="160" t="str">
        <f>'B) D RI'!B101</f>
        <v>Fiez</v>
      </c>
      <c r="C100" s="327">
        <f>'B) D RI'!S101</f>
        <v>69</v>
      </c>
      <c r="D100" s="161">
        <f>'B) D RI'!AR101</f>
        <v>447</v>
      </c>
      <c r="E100" s="325">
        <f>'D) Ecrêtage'!M99</f>
        <v>12683.231642512079</v>
      </c>
      <c r="F100" s="329">
        <f>'E) Fact soc'!G105</f>
        <v>233715.54761505467</v>
      </c>
      <c r="G100" s="326">
        <f>'H) Péréquation directe'!I110</f>
        <v>55081.155884761538</v>
      </c>
      <c r="H100" s="329">
        <f>+'I) Dépenses thématiques'!O99</f>
        <v>-31608.090779365895</v>
      </c>
      <c r="I100" s="326">
        <f>'K) Plafonnement aide'!J99</f>
        <v>0</v>
      </c>
      <c r="J100" s="329">
        <f>'J) Plafonnement effort'!I99</f>
        <v>0</v>
      </c>
      <c r="K100" s="326">
        <f>+'L) Plafonnement taux'!Q100</f>
        <v>0</v>
      </c>
      <c r="L100" s="324">
        <f t="shared" si="2"/>
        <v>257188.61272045036</v>
      </c>
      <c r="M100" s="233">
        <f>'M) Police'!O100</f>
        <v>39119.291287799562</v>
      </c>
      <c r="N100" s="233">
        <f t="shared" si="3"/>
        <v>296307.90400824993</v>
      </c>
      <c r="P100" s="470"/>
      <c r="R100" s="332"/>
    </row>
    <row r="101" spans="1:18" s="162" customFormat="1" x14ac:dyDescent="0.25">
      <c r="A101" s="159">
        <f>'B) D RI'!A102</f>
        <v>5557</v>
      </c>
      <c r="B101" s="160" t="str">
        <f>'B) D RI'!B102</f>
        <v>Fontaines-sur-Grandson</v>
      </c>
      <c r="C101" s="327">
        <f>'B) D RI'!S102</f>
        <v>69</v>
      </c>
      <c r="D101" s="161">
        <f>'B) D RI'!AR102</f>
        <v>218</v>
      </c>
      <c r="E101" s="325">
        <f>'D) Ecrêtage'!M100</f>
        <v>5551.0404347826088</v>
      </c>
      <c r="F101" s="329">
        <f>'E) Fact soc'!G106</f>
        <v>102647.4664359577</v>
      </c>
      <c r="G101" s="326">
        <f>'H) Péréquation directe'!I111</f>
        <v>2825.2737453208247</v>
      </c>
      <c r="H101" s="329">
        <f>+'I) Dépenses thématiques'!O100</f>
        <v>-53208.864568890116</v>
      </c>
      <c r="I101" s="326">
        <f>'K) Plafonnement aide'!J100</f>
        <v>0</v>
      </c>
      <c r="J101" s="329">
        <f>'J) Plafonnement effort'!I100</f>
        <v>0</v>
      </c>
      <c r="K101" s="326">
        <f>+'L) Plafonnement taux'!Q101</f>
        <v>0</v>
      </c>
      <c r="L101" s="324">
        <f t="shared" si="2"/>
        <v>52263.875612388409</v>
      </c>
      <c r="M101" s="233">
        <f>'M) Police'!O101</f>
        <v>16901.684612485005</v>
      </c>
      <c r="N101" s="233">
        <f t="shared" si="3"/>
        <v>69165.560224873421</v>
      </c>
      <c r="P101" s="470"/>
      <c r="R101" s="332"/>
    </row>
    <row r="102" spans="1:18" s="162" customFormat="1" x14ac:dyDescent="0.25">
      <c r="A102" s="159">
        <f>'B) D RI'!A103</f>
        <v>5559</v>
      </c>
      <c r="B102" s="160" t="str">
        <f>'B) D RI'!B103</f>
        <v>Giez</v>
      </c>
      <c r="C102" s="327">
        <f>'B) D RI'!S103</f>
        <v>66</v>
      </c>
      <c r="D102" s="161">
        <f>'B) D RI'!AR103</f>
        <v>412</v>
      </c>
      <c r="E102" s="325">
        <f>'D) Ecrêtage'!M101</f>
        <v>20477.299090909091</v>
      </c>
      <c r="F102" s="329">
        <f>'E) Fact soc'!G107</f>
        <v>415748.15193441528</v>
      </c>
      <c r="G102" s="326">
        <f>'H) Péréquation directe'!I112</f>
        <v>347528.54768942366</v>
      </c>
      <c r="H102" s="329">
        <f>+'I) Dépenses thématiques'!O101</f>
        <v>-7060.1854431448101</v>
      </c>
      <c r="I102" s="326">
        <f>'K) Plafonnement aide'!J101</f>
        <v>0</v>
      </c>
      <c r="J102" s="329">
        <f>'J) Plafonnement effort'!I101</f>
        <v>0</v>
      </c>
      <c r="K102" s="326">
        <f>+'L) Plafonnement taux'!Q102</f>
        <v>0</v>
      </c>
      <c r="L102" s="324">
        <f t="shared" si="2"/>
        <v>756216.51418069424</v>
      </c>
      <c r="M102" s="233">
        <f>'M) Police'!O102</f>
        <v>60779.652230518419</v>
      </c>
      <c r="N102" s="233">
        <f t="shared" si="3"/>
        <v>816996.16641121265</v>
      </c>
      <c r="P102" s="470"/>
      <c r="R102" s="332"/>
    </row>
    <row r="103" spans="1:18" s="162" customFormat="1" x14ac:dyDescent="0.25">
      <c r="A103" s="159">
        <f>'B) D RI'!A104</f>
        <v>5560</v>
      </c>
      <c r="B103" s="160" t="str">
        <f>'B) D RI'!B104</f>
        <v>Grandevent</v>
      </c>
      <c r="C103" s="327">
        <f>'B) D RI'!S104</f>
        <v>68</v>
      </c>
      <c r="D103" s="161">
        <f>'B) D RI'!AR104</f>
        <v>238</v>
      </c>
      <c r="E103" s="325">
        <f>'D) Ecrêtage'!M102</f>
        <v>7465.4854411764709</v>
      </c>
      <c r="F103" s="329">
        <f>'E) Fact soc'!G108</f>
        <v>130904.6902604054</v>
      </c>
      <c r="G103" s="326">
        <f>'H) Péréquation directe'!I113</f>
        <v>58089.94457713193</v>
      </c>
      <c r="H103" s="329">
        <f>+'I) Dépenses thématiques'!O102</f>
        <v>-25969.295200956774</v>
      </c>
      <c r="I103" s="326">
        <f>'K) Plafonnement aide'!J102</f>
        <v>0</v>
      </c>
      <c r="J103" s="329">
        <f>'J) Plafonnement effort'!I102</f>
        <v>0</v>
      </c>
      <c r="K103" s="326">
        <f>+'L) Plafonnement taux'!Q103</f>
        <v>0</v>
      </c>
      <c r="L103" s="324">
        <f t="shared" si="2"/>
        <v>163025.33963658055</v>
      </c>
      <c r="M103" s="233">
        <f>'M) Police'!O103</f>
        <v>23009.962420005842</v>
      </c>
      <c r="N103" s="233">
        <f t="shared" si="3"/>
        <v>186035.3020565864</v>
      </c>
      <c r="P103" s="470"/>
      <c r="R103" s="332"/>
    </row>
    <row r="104" spans="1:18" s="162" customFormat="1" x14ac:dyDescent="0.25">
      <c r="A104" s="159">
        <f>'B) D RI'!A105</f>
        <v>5561</v>
      </c>
      <c r="B104" s="160" t="str">
        <f>'B) D RI'!B105</f>
        <v>Grandson</v>
      </c>
      <c r="C104" s="327">
        <f>'B) D RI'!S105</f>
        <v>69</v>
      </c>
      <c r="D104" s="161">
        <f>'B) D RI'!AR105</f>
        <v>3360</v>
      </c>
      <c r="E104" s="325">
        <f>'D) Ecrêtage'!M103</f>
        <v>124296.34985507248</v>
      </c>
      <c r="F104" s="329">
        <f>'E) Fact soc'!G109</f>
        <v>2302842.3672370119</v>
      </c>
      <c r="G104" s="326">
        <f>'H) Péréquation directe'!I114</f>
        <v>867752.39481649175</v>
      </c>
      <c r="H104" s="329">
        <f>+'I) Dépenses thématiques'!O103</f>
        <v>-721763.2731385642</v>
      </c>
      <c r="I104" s="326">
        <f>'K) Plafonnement aide'!J103</f>
        <v>0</v>
      </c>
      <c r="J104" s="329">
        <f>'J) Plafonnement effort'!I103</f>
        <v>0</v>
      </c>
      <c r="K104" s="326">
        <f>+'L) Plafonnement taux'!Q104</f>
        <v>0</v>
      </c>
      <c r="L104" s="324">
        <f t="shared" si="2"/>
        <v>2448831.4889149396</v>
      </c>
      <c r="M104" s="233">
        <f>'M) Police'!O104</f>
        <v>385673.78885800566</v>
      </c>
      <c r="N104" s="233">
        <f t="shared" si="3"/>
        <v>2834505.2777729454</v>
      </c>
      <c r="P104" s="470"/>
      <c r="R104" s="332"/>
    </row>
    <row r="105" spans="1:18" s="162" customFormat="1" x14ac:dyDescent="0.25">
      <c r="A105" s="159">
        <f>'B) D RI'!A106</f>
        <v>5562</v>
      </c>
      <c r="B105" s="160" t="str">
        <f>'B) D RI'!B106</f>
        <v>Mauborget</v>
      </c>
      <c r="C105" s="327">
        <f>'B) D RI'!S106</f>
        <v>70</v>
      </c>
      <c r="D105" s="161">
        <f>'B) D RI'!AR106</f>
        <v>122</v>
      </c>
      <c r="E105" s="325">
        <f>'D) Ecrêtage'!M104</f>
        <v>5288.8125476190471</v>
      </c>
      <c r="F105" s="329">
        <f>'E) Fact soc'!G110</f>
        <v>94476.520709423581</v>
      </c>
      <c r="G105" s="326">
        <f>'H) Péréquation directe'!I115</f>
        <v>84137.121259121006</v>
      </c>
      <c r="H105" s="329">
        <f>+'I) Dépenses thématiques'!O104</f>
        <v>-14400.534328738189</v>
      </c>
      <c r="I105" s="326">
        <f>'K) Plafonnement aide'!J104</f>
        <v>0</v>
      </c>
      <c r="J105" s="329">
        <f>'J) Plafonnement effort'!I104</f>
        <v>0</v>
      </c>
      <c r="K105" s="326">
        <f>+'L) Plafonnement taux'!Q105</f>
        <v>0</v>
      </c>
      <c r="L105" s="324">
        <f t="shared" si="2"/>
        <v>164213.10763980637</v>
      </c>
      <c r="M105" s="233">
        <f>'M) Police'!O105</f>
        <v>16263.560143515138</v>
      </c>
      <c r="N105" s="233">
        <f t="shared" si="3"/>
        <v>180476.66778332152</v>
      </c>
      <c r="P105" s="470"/>
      <c r="R105" s="332"/>
    </row>
    <row r="106" spans="1:18" s="162" customFormat="1" x14ac:dyDescent="0.25">
      <c r="A106" s="159">
        <f>'B) D RI'!A107</f>
        <v>5563</v>
      </c>
      <c r="B106" s="160" t="str">
        <f>'B) D RI'!B107</f>
        <v>Mutrux</v>
      </c>
      <c r="C106" s="327">
        <f>'B) D RI'!S107</f>
        <v>78.5</v>
      </c>
      <c r="D106" s="161">
        <f>'B) D RI'!AR107</f>
        <v>158</v>
      </c>
      <c r="E106" s="325">
        <f>'D) Ecrêtage'!M105</f>
        <v>3325.060127388535</v>
      </c>
      <c r="F106" s="329">
        <f>'E) Fact soc'!G111</f>
        <v>54091.415504555254</v>
      </c>
      <c r="G106" s="326">
        <f>'H) Péréquation directe'!I116</f>
        <v>-45513.149519904407</v>
      </c>
      <c r="H106" s="329">
        <f>+'I) Dépenses thématiques'!O105</f>
        <v>-27617.465905372184</v>
      </c>
      <c r="I106" s="326">
        <f>'K) Plafonnement aide'!J105</f>
        <v>0</v>
      </c>
      <c r="J106" s="329">
        <f>'J) Plafonnement effort'!I105</f>
        <v>0</v>
      </c>
      <c r="K106" s="326">
        <f>+'L) Plafonnement taux'!Q106</f>
        <v>0</v>
      </c>
      <c r="L106" s="324">
        <f t="shared" si="2"/>
        <v>-19039.199920721338</v>
      </c>
      <c r="M106" s="233">
        <f>'M) Police'!O106</f>
        <v>10236.49509153185</v>
      </c>
      <c r="N106" s="233">
        <f t="shared" si="3"/>
        <v>-8802.704829189488</v>
      </c>
      <c r="P106" s="470"/>
      <c r="R106" s="332"/>
    </row>
    <row r="107" spans="1:18" s="162" customFormat="1" x14ac:dyDescent="0.25">
      <c r="A107" s="159">
        <f>'B) D RI'!A108</f>
        <v>5564</v>
      </c>
      <c r="B107" s="160" t="str">
        <f>'B) D RI'!B108</f>
        <v>Novalles</v>
      </c>
      <c r="C107" s="327">
        <f>'B) D RI'!S108</f>
        <v>76</v>
      </c>
      <c r="D107" s="161">
        <f>'B) D RI'!AR108</f>
        <v>101</v>
      </c>
      <c r="E107" s="325">
        <f>'D) Ecrêtage'!M106</f>
        <v>2879.4712828947363</v>
      </c>
      <c r="F107" s="329">
        <f>'E) Fact soc'!G112</f>
        <v>55823.213473270596</v>
      </c>
      <c r="G107" s="326">
        <f>'H) Péréquation directe'!I117</f>
        <v>6226.7388100456446</v>
      </c>
      <c r="H107" s="329">
        <f>+'I) Dépenses thématiques'!O106</f>
        <v>-10992.205231353295</v>
      </c>
      <c r="I107" s="326">
        <f>'K) Plafonnement aide'!J106</f>
        <v>0</v>
      </c>
      <c r="J107" s="329">
        <f>'J) Plafonnement effort'!I106</f>
        <v>0</v>
      </c>
      <c r="K107" s="326">
        <f>+'L) Plafonnement taux'!Q107</f>
        <v>0</v>
      </c>
      <c r="L107" s="324">
        <f t="shared" si="2"/>
        <v>51057.747051962942</v>
      </c>
      <c r="M107" s="233">
        <f>'M) Police'!O107</f>
        <v>8991.5617847181475</v>
      </c>
      <c r="N107" s="233">
        <f t="shared" si="3"/>
        <v>60049.308836681092</v>
      </c>
      <c r="P107" s="470"/>
      <c r="R107" s="332"/>
    </row>
    <row r="108" spans="1:18" s="162" customFormat="1" x14ac:dyDescent="0.25">
      <c r="A108" s="159">
        <f>'B) D RI'!A109</f>
        <v>5565</v>
      </c>
      <c r="B108" s="160" t="str">
        <f>'B) D RI'!B109</f>
        <v>Onnens</v>
      </c>
      <c r="C108" s="327">
        <f>'B) D RI'!S109</f>
        <v>65</v>
      </c>
      <c r="D108" s="161">
        <f>'B) D RI'!AR109</f>
        <v>494</v>
      </c>
      <c r="E108" s="325">
        <f>'D) Ecrêtage'!M107</f>
        <v>21859.350153846153</v>
      </c>
      <c r="F108" s="329">
        <f>'E) Fact soc'!G113</f>
        <v>361664.56521130796</v>
      </c>
      <c r="G108" s="326">
        <f>'H) Péréquation directe'!I118</f>
        <v>358828.39456597721</v>
      </c>
      <c r="H108" s="329">
        <f>+'I) Dépenses thématiques'!O107</f>
        <v>-80869.682454027119</v>
      </c>
      <c r="I108" s="326">
        <f>'K) Plafonnement aide'!J107</f>
        <v>0</v>
      </c>
      <c r="J108" s="329">
        <f>'J) Plafonnement effort'!I107</f>
        <v>0</v>
      </c>
      <c r="K108" s="326">
        <f>+'L) Plafonnement taux'!Q108</f>
        <v>0</v>
      </c>
      <c r="L108" s="324">
        <f t="shared" si="2"/>
        <v>639623.27732325799</v>
      </c>
      <c r="M108" s="233">
        <f>'M) Police'!O108</f>
        <v>65806.0431732422</v>
      </c>
      <c r="N108" s="233">
        <f t="shared" si="3"/>
        <v>705429.32049650024</v>
      </c>
      <c r="P108" s="470"/>
      <c r="R108" s="332"/>
    </row>
    <row r="109" spans="1:18" s="162" customFormat="1" x14ac:dyDescent="0.25">
      <c r="A109" s="159">
        <f>'B) D RI'!A110</f>
        <v>5566</v>
      </c>
      <c r="B109" s="160" t="str">
        <f>'B) D RI'!B110</f>
        <v>Provence</v>
      </c>
      <c r="C109" s="327">
        <f>'B) D RI'!S110</f>
        <v>81</v>
      </c>
      <c r="D109" s="161">
        <f>'B) D RI'!AR110</f>
        <v>373</v>
      </c>
      <c r="E109" s="325">
        <f>'D) Ecrêtage'!M108</f>
        <v>8283.9104526748961</v>
      </c>
      <c r="F109" s="329">
        <f>'E) Fact soc'!G114</f>
        <v>166862.38309871434</v>
      </c>
      <c r="G109" s="326">
        <f>'H) Péréquation directe'!I119</f>
        <v>-102074.70278485841</v>
      </c>
      <c r="H109" s="329">
        <f>+'I) Dépenses thématiques'!O108</f>
        <v>-113628.50075522125</v>
      </c>
      <c r="I109" s="326">
        <f>'K) Plafonnement aide'!J108</f>
        <v>0</v>
      </c>
      <c r="J109" s="329">
        <f>'J) Plafonnement effort'!I108</f>
        <v>0</v>
      </c>
      <c r="K109" s="326">
        <f>+'L) Plafonnement taux'!Q109</f>
        <v>0</v>
      </c>
      <c r="L109" s="324">
        <f t="shared" si="2"/>
        <v>-48840.820441365315</v>
      </c>
      <c r="M109" s="233">
        <f>'M) Police'!O109</f>
        <v>25503.753023805926</v>
      </c>
      <c r="N109" s="233">
        <f t="shared" si="3"/>
        <v>-23337.067417559389</v>
      </c>
      <c r="P109" s="470"/>
      <c r="R109" s="332"/>
    </row>
    <row r="110" spans="1:18" s="162" customFormat="1" x14ac:dyDescent="0.25">
      <c r="A110" s="159">
        <f>'B) D RI'!A111</f>
        <v>5568</v>
      </c>
      <c r="B110" s="160" t="str">
        <f>'B) D RI'!B111</f>
        <v>Sainte-Croix</v>
      </c>
      <c r="C110" s="327">
        <f>'B) D RI'!S111</f>
        <v>70</v>
      </c>
      <c r="D110" s="161">
        <f>'B) D RI'!AR111</f>
        <v>4845</v>
      </c>
      <c r="E110" s="325">
        <f>'D) Ecrêtage'!M109</f>
        <v>103146.8182857143</v>
      </c>
      <c r="F110" s="329">
        <f>'E) Fact soc'!G115</f>
        <v>2314939.634079393</v>
      </c>
      <c r="G110" s="326">
        <f>'H) Péréquation directe'!I120</f>
        <v>-2003670.0807293935</v>
      </c>
      <c r="H110" s="329">
        <f>+'I) Dépenses thématiques'!O109</f>
        <v>-981022.35655254906</v>
      </c>
      <c r="I110" s="326">
        <f>'K) Plafonnement aide'!J109</f>
        <v>0</v>
      </c>
      <c r="J110" s="329">
        <f>'J) Plafonnement effort'!I109</f>
        <v>0</v>
      </c>
      <c r="K110" s="326">
        <f>+'L) Plafonnement taux'!Q110</f>
        <v>0</v>
      </c>
      <c r="L110" s="324">
        <f t="shared" si="2"/>
        <v>-669752.80320254958</v>
      </c>
      <c r="M110" s="233">
        <f>'M) Police'!O110</f>
        <v>316414.62372875318</v>
      </c>
      <c r="N110" s="233">
        <f t="shared" si="3"/>
        <v>-353338.17947379639</v>
      </c>
      <c r="P110" s="470"/>
      <c r="R110" s="332"/>
    </row>
    <row r="111" spans="1:18" s="162" customFormat="1" x14ac:dyDescent="0.25">
      <c r="A111" s="159">
        <f>'B) D RI'!A112</f>
        <v>5571</v>
      </c>
      <c r="B111" s="160" t="str">
        <f>'B) D RI'!B112</f>
        <v>Tévenon</v>
      </c>
      <c r="C111" s="327">
        <f>'B) D RI'!S112</f>
        <v>73</v>
      </c>
      <c r="D111" s="161">
        <f>'B) D RI'!AR112</f>
        <v>877</v>
      </c>
      <c r="E111" s="325">
        <f>'D) Ecrêtage'!M110</f>
        <v>22505.207716894973</v>
      </c>
      <c r="F111" s="329">
        <f>'E) Fact soc'!G116</f>
        <v>413947.87758212717</v>
      </c>
      <c r="G111" s="326">
        <f>'H) Péréquation directe'!I121</f>
        <v>-20422.89465069893</v>
      </c>
      <c r="H111" s="329">
        <f>+'I) Dépenses thématiques'!O110</f>
        <v>-108132.19986921511</v>
      </c>
      <c r="I111" s="326">
        <f>'K) Plafonnement aide'!J110</f>
        <v>0</v>
      </c>
      <c r="J111" s="329">
        <f>'J) Plafonnement effort'!I110</f>
        <v>0</v>
      </c>
      <c r="K111" s="326">
        <f>+'L) Plafonnement taux'!Q111</f>
        <v>0</v>
      </c>
      <c r="L111" s="324">
        <f t="shared" si="2"/>
        <v>285392.7830622131</v>
      </c>
      <c r="M111" s="233">
        <f>'M) Police'!O111</f>
        <v>68633.046551764113</v>
      </c>
      <c r="N111" s="233">
        <f t="shared" si="3"/>
        <v>354025.82961397723</v>
      </c>
      <c r="P111" s="470"/>
      <c r="R111" s="332"/>
    </row>
    <row r="112" spans="1:18" s="162" customFormat="1" x14ac:dyDescent="0.25">
      <c r="A112" s="159">
        <f>'B) D RI'!A113</f>
        <v>5581</v>
      </c>
      <c r="B112" s="160" t="str">
        <f>'B) D RI'!B113</f>
        <v>Belmont-sur-Lausanne</v>
      </c>
      <c r="C112" s="327">
        <f>'B) D RI'!S113</f>
        <v>69.5</v>
      </c>
      <c r="D112" s="161">
        <f>'B) D RI'!AR113</f>
        <v>3732</v>
      </c>
      <c r="E112" s="325">
        <f>'D) Ecrêtage'!M111</f>
        <v>187970.76781774583</v>
      </c>
      <c r="F112" s="329">
        <f>'E) Fact soc'!G117</f>
        <v>3402402.5828547454</v>
      </c>
      <c r="G112" s="326">
        <f>'H) Péréquation directe'!I122</f>
        <v>2403114.8900825344</v>
      </c>
      <c r="H112" s="329">
        <f>+'I) Dépenses thématiques'!O111</f>
        <v>-703440.42298812955</v>
      </c>
      <c r="I112" s="326">
        <f>'K) Plafonnement aide'!J111</f>
        <v>0</v>
      </c>
      <c r="J112" s="329">
        <f>'J) Plafonnement effort'!I111</f>
        <v>0</v>
      </c>
      <c r="K112" s="326">
        <f>+'L) Plafonnement taux'!Q112</f>
        <v>0</v>
      </c>
      <c r="L112" s="324">
        <f t="shared" si="2"/>
        <v>5102077.0499491505</v>
      </c>
      <c r="M112" s="233">
        <f>'M) Police'!O112</f>
        <v>233734.0245878592</v>
      </c>
      <c r="N112" s="233">
        <f t="shared" si="3"/>
        <v>5335811.0745370099</v>
      </c>
      <c r="P112" s="470"/>
      <c r="R112" s="332"/>
    </row>
    <row r="113" spans="1:18" s="162" customFormat="1" x14ac:dyDescent="0.25">
      <c r="A113" s="159">
        <f>'B) D RI'!A114</f>
        <v>5582</v>
      </c>
      <c r="B113" s="160" t="str">
        <f>'B) D RI'!B114</f>
        <v>Cheseaux-sur-Lausanne</v>
      </c>
      <c r="C113" s="327">
        <f>'B) D RI'!S114</f>
        <v>74.5</v>
      </c>
      <c r="D113" s="161">
        <f>'B) D RI'!AR114</f>
        <v>4338</v>
      </c>
      <c r="E113" s="325">
        <f>'D) Ecrêtage'!M112</f>
        <v>177854.9614765101</v>
      </c>
      <c r="F113" s="329">
        <f>'E) Fact soc'!G118</f>
        <v>3009985.984790151</v>
      </c>
      <c r="G113" s="326">
        <f>'H) Péréquation directe'!I123</f>
        <v>1519935.3749171938</v>
      </c>
      <c r="H113" s="329">
        <f>+'I) Dépenses thématiques'!O112</f>
        <v>-220319.53611907075</v>
      </c>
      <c r="I113" s="326">
        <f>'K) Plafonnement aide'!J112</f>
        <v>0</v>
      </c>
      <c r="J113" s="329">
        <f>'J) Plafonnement effort'!I112</f>
        <v>0</v>
      </c>
      <c r="K113" s="326">
        <f>+'L) Plafonnement taux'!Q113</f>
        <v>0</v>
      </c>
      <c r="L113" s="324">
        <f t="shared" si="2"/>
        <v>4309601.8235882735</v>
      </c>
      <c r="M113" s="233">
        <f>'M) Police'!O113</f>
        <v>550454.20774536754</v>
      </c>
      <c r="N113" s="233">
        <f t="shared" si="3"/>
        <v>4860056.0313336411</v>
      </c>
      <c r="P113" s="470"/>
      <c r="R113" s="332"/>
    </row>
    <row r="114" spans="1:18" s="162" customFormat="1" x14ac:dyDescent="0.25">
      <c r="A114" s="159">
        <f>'B) D RI'!A115</f>
        <v>5583</v>
      </c>
      <c r="B114" s="160" t="str">
        <f>'B) D RI'!B115</f>
        <v>Crissier</v>
      </c>
      <c r="C114" s="327">
        <f>'B) D RI'!S115</f>
        <v>65</v>
      </c>
      <c r="D114" s="161">
        <f>'B) D RI'!AR115</f>
        <v>7905</v>
      </c>
      <c r="E114" s="325">
        <f>'D) Ecrêtage'!M113</f>
        <v>343062.59507692308</v>
      </c>
      <c r="F114" s="329">
        <f>'E) Fact soc'!G119</f>
        <v>7140797.8733274527</v>
      </c>
      <c r="G114" s="326">
        <f>'H) Péréquation directe'!I124</f>
        <v>2751572.2294834605</v>
      </c>
      <c r="H114" s="329">
        <f>+'I) Dépenses thématiques'!O113</f>
        <v>-1955866.2061591723</v>
      </c>
      <c r="I114" s="326">
        <f>'K) Plafonnement aide'!J113</f>
        <v>0</v>
      </c>
      <c r="J114" s="329">
        <f>'J) Plafonnement effort'!I113</f>
        <v>0</v>
      </c>
      <c r="K114" s="326">
        <f>+'L) Plafonnement taux'!Q114</f>
        <v>0</v>
      </c>
      <c r="L114" s="324">
        <f t="shared" si="2"/>
        <v>7936503.8966517411</v>
      </c>
      <c r="M114" s="233">
        <f>'M) Police'!O114</f>
        <v>426584.42035322805</v>
      </c>
      <c r="N114" s="233">
        <f t="shared" si="3"/>
        <v>8363088.3170049693</v>
      </c>
      <c r="P114" s="470"/>
      <c r="R114" s="332"/>
    </row>
    <row r="115" spans="1:18" s="162" customFormat="1" x14ac:dyDescent="0.25">
      <c r="A115" s="159">
        <f>'B) D RI'!A116</f>
        <v>5584</v>
      </c>
      <c r="B115" s="160" t="str">
        <f>'B) D RI'!B116</f>
        <v>Epalinges</v>
      </c>
      <c r="C115" s="327">
        <f>'B) D RI'!S116</f>
        <v>66</v>
      </c>
      <c r="D115" s="161">
        <f>'B) D RI'!AR116</f>
        <v>9624</v>
      </c>
      <c r="E115" s="325">
        <f>'D) Ecrêtage'!M114</f>
        <v>468635.24666666664</v>
      </c>
      <c r="F115" s="329">
        <f>'E) Fact soc'!G120</f>
        <v>10686723.640535511</v>
      </c>
      <c r="G115" s="326">
        <f>'H) Péréquation directe'!I125</f>
        <v>4169695.8683256768</v>
      </c>
      <c r="H115" s="329">
        <f>+'I) Dépenses thématiques'!O114</f>
        <v>-3091895.286197776</v>
      </c>
      <c r="I115" s="326">
        <f>'K) Plafonnement aide'!J114</f>
        <v>0</v>
      </c>
      <c r="J115" s="329">
        <f>'J) Plafonnement effort'!I114</f>
        <v>0</v>
      </c>
      <c r="K115" s="326">
        <f>+'L) Plafonnement taux'!Q115</f>
        <v>0</v>
      </c>
      <c r="L115" s="324">
        <f t="shared" si="2"/>
        <v>11764524.222663412</v>
      </c>
      <c r="M115" s="233">
        <f>'M) Police'!O115</f>
        <v>1407705.7083999347</v>
      </c>
      <c r="N115" s="233">
        <f t="shared" si="3"/>
        <v>13172229.931063347</v>
      </c>
      <c r="P115" s="470"/>
      <c r="R115" s="332"/>
    </row>
    <row r="116" spans="1:18" s="162" customFormat="1" x14ac:dyDescent="0.25">
      <c r="A116" s="159">
        <f>'B) D RI'!A117</f>
        <v>5585</v>
      </c>
      <c r="B116" s="160" t="str">
        <f>'B) D RI'!B117</f>
        <v>Jouxtens-Mézery</v>
      </c>
      <c r="C116" s="327">
        <f>'B) D RI'!S117</f>
        <v>53</v>
      </c>
      <c r="D116" s="161">
        <f>'B) D RI'!AR117</f>
        <v>1471</v>
      </c>
      <c r="E116" s="325">
        <f>'D) Ecrêtage'!M115</f>
        <v>185821.49079664846</v>
      </c>
      <c r="F116" s="329">
        <f>'E) Fact soc'!G121</f>
        <v>6838772.0254295766</v>
      </c>
      <c r="G116" s="326">
        <f>'H) Péréquation directe'!I126</f>
        <v>3262562.087794641</v>
      </c>
      <c r="H116" s="329">
        <f>+'I) Dépenses thématiques'!O115</f>
        <v>0</v>
      </c>
      <c r="I116" s="326">
        <f>'K) Plafonnement aide'!J115</f>
        <v>0</v>
      </c>
      <c r="J116" s="329">
        <f>'J) Plafonnement effort'!I115</f>
        <v>-93535.305677048047</v>
      </c>
      <c r="K116" s="326">
        <f>+'L) Plafonnement taux'!Q116</f>
        <v>0</v>
      </c>
      <c r="L116" s="324">
        <f t="shared" si="2"/>
        <v>10007798.807547169</v>
      </c>
      <c r="M116" s="233">
        <f>'M) Police'!O116</f>
        <v>357156.75364339678</v>
      </c>
      <c r="N116" s="233">
        <f t="shared" si="3"/>
        <v>10364955.561190566</v>
      </c>
      <c r="P116" s="470"/>
      <c r="R116" s="332"/>
    </row>
    <row r="117" spans="1:18" s="162" customFormat="1" x14ac:dyDescent="0.25">
      <c r="A117" s="159">
        <f>'B) D RI'!A118</f>
        <v>5586</v>
      </c>
      <c r="B117" s="160" t="str">
        <f>'B) D RI'!B118</f>
        <v>Lausanne</v>
      </c>
      <c r="C117" s="327">
        <f>'B) D RI'!S118</f>
        <v>79</v>
      </c>
      <c r="D117" s="161">
        <f>'B) D RI'!AR118</f>
        <v>139720</v>
      </c>
      <c r="E117" s="325">
        <f>'D) Ecrêtage'!M116</f>
        <v>5998569.406244725</v>
      </c>
      <c r="F117" s="329">
        <f>'E) Fact soc'!G122</f>
        <v>110479719.5812521</v>
      </c>
      <c r="G117" s="326">
        <f>'H) Péréquation directe'!I127</f>
        <v>-34079039.429843143</v>
      </c>
      <c r="H117" s="329">
        <f>+'I) Dépenses thématiques'!O116</f>
        <v>-47102764.179358549</v>
      </c>
      <c r="I117" s="326">
        <f>'K) Plafonnement aide'!J116</f>
        <v>0</v>
      </c>
      <c r="J117" s="329">
        <f>'J) Plafonnement effort'!I116</f>
        <v>0</v>
      </c>
      <c r="K117" s="326">
        <f>+'L) Plafonnement taux'!Q117</f>
        <v>0</v>
      </c>
      <c r="L117" s="324">
        <f t="shared" ref="L117:L167" si="4">F117+G117+H117+I117+J117+K117</f>
        <v>29297915.972050406</v>
      </c>
      <c r="M117" s="233">
        <f>'M) Police'!O117</f>
        <v>7458977.7196133723</v>
      </c>
      <c r="N117" s="233">
        <f t="shared" si="3"/>
        <v>36756893.691663779</v>
      </c>
      <c r="P117" s="470"/>
      <c r="R117" s="332"/>
    </row>
    <row r="118" spans="1:18" s="162" customFormat="1" x14ac:dyDescent="0.25">
      <c r="A118" s="159">
        <f>'B) D RI'!A119</f>
        <v>5587</v>
      </c>
      <c r="B118" s="160" t="str">
        <f>'B) D RI'!B119</f>
        <v>Le Mont-sur-Lausanne</v>
      </c>
      <c r="C118" s="327">
        <f>'B) D RI'!S119</f>
        <v>75</v>
      </c>
      <c r="D118" s="161">
        <f>'B) D RI'!AR119</f>
        <v>8516</v>
      </c>
      <c r="E118" s="325">
        <f>'D) Ecrêtage'!M117</f>
        <v>426789.42020000005</v>
      </c>
      <c r="F118" s="329">
        <f>'E) Fact soc'!G123</f>
        <v>7235477.1323313424</v>
      </c>
      <c r="G118" s="326">
        <f>'H) Péréquation directe'!I128</f>
        <v>4195379.1859635673</v>
      </c>
      <c r="H118" s="329">
        <f>+'I) Dépenses thématiques'!O117</f>
        <v>-2162265.7535399222</v>
      </c>
      <c r="I118" s="326">
        <f>'K) Plafonnement aide'!J117</f>
        <v>0</v>
      </c>
      <c r="J118" s="329">
        <f>'J) Plafonnement effort'!I117</f>
        <v>0</v>
      </c>
      <c r="K118" s="326">
        <f>+'L) Plafonnement taux'!Q118</f>
        <v>0</v>
      </c>
      <c r="L118" s="324">
        <f t="shared" si="4"/>
        <v>9268590.5647549871</v>
      </c>
      <c r="M118" s="233">
        <f>'M) Police'!O118</f>
        <v>1260693.4961105315</v>
      </c>
      <c r="N118" s="233">
        <f t="shared" si="3"/>
        <v>10529284.060865518</v>
      </c>
      <c r="P118" s="470"/>
      <c r="R118" s="332"/>
    </row>
    <row r="119" spans="1:18" s="162" customFormat="1" x14ac:dyDescent="0.25">
      <c r="A119" s="159">
        <f>'B) D RI'!A120</f>
        <v>5588</v>
      </c>
      <c r="B119" s="160" t="str">
        <f>'B) D RI'!B120</f>
        <v>Paudex</v>
      </c>
      <c r="C119" s="327">
        <f>'B) D RI'!S120</f>
        <v>61.5</v>
      </c>
      <c r="D119" s="161">
        <f>'B) D RI'!AR120</f>
        <v>1507</v>
      </c>
      <c r="E119" s="325">
        <f>'D) Ecrêtage'!M118</f>
        <v>115234.85166339125</v>
      </c>
      <c r="F119" s="329">
        <f>'E) Fact soc'!G124</f>
        <v>2918344.8335107453</v>
      </c>
      <c r="G119" s="326">
        <f>'H) Péréquation directe'!I129</f>
        <v>1910143.9653228053</v>
      </c>
      <c r="H119" s="329">
        <f>+'I) Dépenses thématiques'!O118</f>
        <v>0</v>
      </c>
      <c r="I119" s="326">
        <f>'K) Plafonnement aide'!J118</f>
        <v>0</v>
      </c>
      <c r="J119" s="329">
        <f>'J) Plafonnement effort'!I118</f>
        <v>0</v>
      </c>
      <c r="K119" s="326">
        <f>+'L) Plafonnement taux'!Q119</f>
        <v>0</v>
      </c>
      <c r="L119" s="324">
        <f t="shared" si="4"/>
        <v>4828488.7988335509</v>
      </c>
      <c r="M119" s="233">
        <f>'M) Police'!O119</f>
        <v>143289.86344400409</v>
      </c>
      <c r="N119" s="233">
        <f t="shared" si="3"/>
        <v>4971778.6622775551</v>
      </c>
      <c r="P119" s="470"/>
      <c r="R119" s="332"/>
    </row>
    <row r="120" spans="1:18" s="162" customFormat="1" x14ac:dyDescent="0.25">
      <c r="A120" s="159">
        <f>'B) D RI'!A121</f>
        <v>5589</v>
      </c>
      <c r="B120" s="160" t="str">
        <f>'B) D RI'!B121</f>
        <v>Prilly</v>
      </c>
      <c r="C120" s="327">
        <f>'B) D RI'!S121</f>
        <v>73.5</v>
      </c>
      <c r="D120" s="161">
        <f>'B) D RI'!AR121</f>
        <v>12392</v>
      </c>
      <c r="E120" s="325">
        <f>'D) Ecrêtage'!M119</f>
        <v>426033.15632653062</v>
      </c>
      <c r="F120" s="329">
        <f>'E) Fact soc'!G125</f>
        <v>7472473.0049135014</v>
      </c>
      <c r="G120" s="326">
        <f>'H) Péréquation directe'!I130</f>
        <v>-1887608.2130897287</v>
      </c>
      <c r="H120" s="329">
        <f>+'I) Dépenses thématiques'!O119</f>
        <v>-2210964.5775570688</v>
      </c>
      <c r="I120" s="326">
        <f>'K) Plafonnement aide'!J119</f>
        <v>0</v>
      </c>
      <c r="J120" s="329">
        <f>'J) Plafonnement effort'!I119</f>
        <v>0</v>
      </c>
      <c r="K120" s="326">
        <f>+'L) Plafonnement taux'!Q120</f>
        <v>0</v>
      </c>
      <c r="L120" s="324">
        <f t="shared" si="4"/>
        <v>3373900.2142667039</v>
      </c>
      <c r="M120" s="233">
        <f>'M) Police'!O120</f>
        <v>529754.94749597774</v>
      </c>
      <c r="N120" s="233">
        <f t="shared" si="3"/>
        <v>3903655.1617626818</v>
      </c>
      <c r="P120" s="470"/>
      <c r="R120" s="332"/>
    </row>
    <row r="121" spans="1:18" s="162" customFormat="1" x14ac:dyDescent="0.25">
      <c r="A121" s="159">
        <f>'B) D RI'!A122</f>
        <v>5590</v>
      </c>
      <c r="B121" s="160" t="str">
        <f>'B) D RI'!B122</f>
        <v>Pully</v>
      </c>
      <c r="C121" s="327">
        <f>'B) D RI'!S122</f>
        <v>61</v>
      </c>
      <c r="D121" s="161">
        <f>'B) D RI'!AR122</f>
        <v>18336</v>
      </c>
      <c r="E121" s="325">
        <f>'D) Ecrêtage'!M120</f>
        <v>1328575.6928938658</v>
      </c>
      <c r="F121" s="329">
        <f>'E) Fact soc'!G126</f>
        <v>35691411.196599394</v>
      </c>
      <c r="G121" s="326">
        <f>'H) Péréquation directe'!I131</f>
        <v>11978713.650449116</v>
      </c>
      <c r="H121" s="329">
        <f>+'I) Dépenses thématiques'!O120</f>
        <v>-2433068.5735620004</v>
      </c>
      <c r="I121" s="326">
        <f>'K) Plafonnement aide'!J120</f>
        <v>0</v>
      </c>
      <c r="J121" s="329">
        <f>'J) Plafonnement effort'!I120</f>
        <v>0</v>
      </c>
      <c r="K121" s="326">
        <f>+'L) Plafonnement taux'!Q121</f>
        <v>0</v>
      </c>
      <c r="L121" s="324">
        <f t="shared" si="4"/>
        <v>45237056.273486502</v>
      </c>
      <c r="M121" s="233">
        <f>'M) Police'!O121</f>
        <v>1652029.9793145296</v>
      </c>
      <c r="N121" s="233">
        <f t="shared" si="3"/>
        <v>46889086.252801031</v>
      </c>
      <c r="P121" s="470"/>
      <c r="R121" s="332"/>
    </row>
    <row r="122" spans="1:18" s="162" customFormat="1" x14ac:dyDescent="0.25">
      <c r="A122" s="159">
        <f>'B) D RI'!A123</f>
        <v>5591</v>
      </c>
      <c r="B122" s="160" t="str">
        <f>'B) D RI'!B123</f>
        <v>Renens</v>
      </c>
      <c r="C122" s="327">
        <f>'B) D RI'!S123</f>
        <v>78.5</v>
      </c>
      <c r="D122" s="161">
        <f>'B) D RI'!AR123</f>
        <v>20968</v>
      </c>
      <c r="E122" s="325">
        <f>'D) Ecrêtage'!M121</f>
        <v>580334.81221110106</v>
      </c>
      <c r="F122" s="329">
        <f>'E) Fact soc'!G127</f>
        <v>11478932.40415002</v>
      </c>
      <c r="G122" s="326">
        <f>'H) Péréquation directe'!I132</f>
        <v>-13903512.385702508</v>
      </c>
      <c r="H122" s="329">
        <f>+'I) Dépenses thématiques'!O121</f>
        <v>-5235249.1589589044</v>
      </c>
      <c r="I122" s="326">
        <f>'K) Plafonnement aide'!J121</f>
        <v>0</v>
      </c>
      <c r="J122" s="329">
        <f>'J) Plafonnement effort'!I121</f>
        <v>0</v>
      </c>
      <c r="K122" s="326">
        <f>+'L) Plafonnement taux'!Q122</f>
        <v>0</v>
      </c>
      <c r="L122" s="324">
        <f t="shared" si="4"/>
        <v>-7659829.1405113917</v>
      </c>
      <c r="M122" s="233">
        <f>'M) Police'!O122</f>
        <v>721622.79721099453</v>
      </c>
      <c r="N122" s="233">
        <f t="shared" si="3"/>
        <v>-6938206.3433003975</v>
      </c>
      <c r="P122" s="470"/>
      <c r="R122" s="332"/>
    </row>
    <row r="123" spans="1:18" s="162" customFormat="1" x14ac:dyDescent="0.25">
      <c r="A123" s="159">
        <f>'B) D RI'!A124</f>
        <v>5592</v>
      </c>
      <c r="B123" s="160" t="str">
        <f>'B) D RI'!B124</f>
        <v>Romanel-sur-Lausanne</v>
      </c>
      <c r="C123" s="327">
        <f>'B) D RI'!S124</f>
        <v>70</v>
      </c>
      <c r="D123" s="161">
        <f>'B) D RI'!AR124</f>
        <v>3311</v>
      </c>
      <c r="E123" s="325">
        <f>'D) Ecrêtage'!M122</f>
        <v>113924.20114285716</v>
      </c>
      <c r="F123" s="329">
        <f>'E) Fact soc'!G128</f>
        <v>1921951.6449832679</v>
      </c>
      <c r="G123" s="326">
        <f>'H) Péréquation directe'!I133</f>
        <v>521565.14659169549</v>
      </c>
      <c r="H123" s="329">
        <f>+'I) Dépenses thématiques'!O122</f>
        <v>-216038.19877346087</v>
      </c>
      <c r="I123" s="326">
        <f>'K) Plafonnement aide'!J122</f>
        <v>0</v>
      </c>
      <c r="J123" s="329">
        <f>'J) Plafonnement effort'!I122</f>
        <v>0</v>
      </c>
      <c r="K123" s="326">
        <f>+'L) Plafonnement taux'!Q123</f>
        <v>0</v>
      </c>
      <c r="L123" s="324">
        <f t="shared" si="4"/>
        <v>2227478.5928015024</v>
      </c>
      <c r="M123" s="233">
        <f>'M) Police'!O123</f>
        <v>346742.3749750834</v>
      </c>
      <c r="N123" s="233">
        <f t="shared" si="3"/>
        <v>2574220.9677765858</v>
      </c>
      <c r="P123" s="470"/>
      <c r="R123" s="332"/>
    </row>
    <row r="124" spans="1:18" s="162" customFormat="1" x14ac:dyDescent="0.25">
      <c r="A124" s="159">
        <f>'B) D RI'!A125</f>
        <v>5601</v>
      </c>
      <c r="B124" s="160" t="str">
        <f>'B) D RI'!B125</f>
        <v>Chexbres</v>
      </c>
      <c r="C124" s="327">
        <f>'B) D RI'!S125</f>
        <v>69</v>
      </c>
      <c r="D124" s="161">
        <f>'B) D RI'!AR125</f>
        <v>2238</v>
      </c>
      <c r="E124" s="325">
        <f>'D) Ecrêtage'!M123</f>
        <v>102834.27275362321</v>
      </c>
      <c r="F124" s="329">
        <f>'E) Fact soc'!G129</f>
        <v>1871865.9861869258</v>
      </c>
      <c r="G124" s="326">
        <f>'H) Péréquation directe'!I134</f>
        <v>1419171.4386883713</v>
      </c>
      <c r="H124" s="329">
        <f>+'I) Dépenses thématiques'!O123</f>
        <v>-207983.84274002493</v>
      </c>
      <c r="I124" s="326">
        <f>'K) Plafonnement aide'!J123</f>
        <v>0</v>
      </c>
      <c r="J124" s="329">
        <f>'J) Plafonnement effort'!I123</f>
        <v>0</v>
      </c>
      <c r="K124" s="326">
        <f>+'L) Plafonnement taux'!Q124</f>
        <v>0</v>
      </c>
      <c r="L124" s="324">
        <f t="shared" si="4"/>
        <v>3083053.5821352722</v>
      </c>
      <c r="M124" s="233">
        <f>'M) Police'!O124</f>
        <v>127870.24660970089</v>
      </c>
      <c r="N124" s="233">
        <f t="shared" si="3"/>
        <v>3210923.8287449731</v>
      </c>
      <c r="P124" s="470"/>
      <c r="R124" s="332"/>
    </row>
    <row r="125" spans="1:18" s="162" customFormat="1" x14ac:dyDescent="0.25">
      <c r="A125" s="159">
        <f>'B) D RI'!A126</f>
        <v>5604</v>
      </c>
      <c r="B125" s="160" t="str">
        <f>'B) D RI'!B126</f>
        <v>Forel (Lavaux)</v>
      </c>
      <c r="C125" s="327">
        <f>'B) D RI'!S126</f>
        <v>70</v>
      </c>
      <c r="D125" s="161">
        <f>'B) D RI'!AR126</f>
        <v>2082</v>
      </c>
      <c r="E125" s="325">
        <f>'D) Ecrêtage'!M124</f>
        <v>76415.868285714285</v>
      </c>
      <c r="F125" s="329">
        <f>'E) Fact soc'!G130</f>
        <v>1317869.5561890844</v>
      </c>
      <c r="G125" s="326">
        <f>'H) Péréquation directe'!I135</f>
        <v>633650.15741115191</v>
      </c>
      <c r="H125" s="329">
        <f>+'I) Dépenses thématiques'!O124</f>
        <v>-278844.22969916218</v>
      </c>
      <c r="I125" s="326">
        <f>'K) Plafonnement aide'!J124</f>
        <v>0</v>
      </c>
      <c r="J125" s="329">
        <f>'J) Plafonnement effort'!I124</f>
        <v>0</v>
      </c>
      <c r="K125" s="326">
        <f>+'L) Plafonnement taux'!Q125</f>
        <v>0</v>
      </c>
      <c r="L125" s="324">
        <f t="shared" si="4"/>
        <v>1672675.4839010742</v>
      </c>
      <c r="M125" s="233">
        <f>'M) Police'!O125</f>
        <v>235775.39033882384</v>
      </c>
      <c r="N125" s="233">
        <f t="shared" si="3"/>
        <v>1908450.8742398981</v>
      </c>
      <c r="P125" s="470"/>
      <c r="R125" s="332"/>
    </row>
    <row r="126" spans="1:18" s="162" customFormat="1" x14ac:dyDescent="0.25">
      <c r="A126" s="159">
        <f>'B) D RI'!A127</f>
        <v>5606</v>
      </c>
      <c r="B126" s="160" t="str">
        <f>'B) D RI'!B127</f>
        <v>Lutry</v>
      </c>
      <c r="C126" s="327">
        <f>'B) D RI'!S127</f>
        <v>55.5</v>
      </c>
      <c r="D126" s="161">
        <f>'B) D RI'!AR127</f>
        <v>10285</v>
      </c>
      <c r="E126" s="325">
        <f>'D) Ecrêtage'!M125</f>
        <v>780480.77736579673</v>
      </c>
      <c r="F126" s="329">
        <f>'E) Fact soc'!G131</f>
        <v>21119454.091036242</v>
      </c>
      <c r="G126" s="326">
        <f>'H) Péréquation directe'!I136</f>
        <v>9527665.1151290387</v>
      </c>
      <c r="H126" s="329">
        <f>+'I) Dépenses thématiques'!O125</f>
        <v>-2110985.5434092632</v>
      </c>
      <c r="I126" s="326">
        <f>'K) Plafonnement aide'!J125</f>
        <v>0</v>
      </c>
      <c r="J126" s="329">
        <f>'J) Plafonnement effort'!I125</f>
        <v>0</v>
      </c>
      <c r="K126" s="326">
        <f>+'L) Plafonnement taux'!Q126</f>
        <v>0</v>
      </c>
      <c r="L126" s="324">
        <f t="shared" si="4"/>
        <v>28536133.662756018</v>
      </c>
      <c r="M126" s="233">
        <f>'M) Police'!O126</f>
        <v>970496.18579015206</v>
      </c>
      <c r="N126" s="233">
        <f t="shared" si="3"/>
        <v>29506629.84854617</v>
      </c>
      <c r="P126" s="470"/>
      <c r="R126" s="332"/>
    </row>
    <row r="127" spans="1:18" s="162" customFormat="1" x14ac:dyDescent="0.25">
      <c r="A127" s="159">
        <f>'B) D RI'!A128</f>
        <v>5607</v>
      </c>
      <c r="B127" s="160" t="str">
        <f>'B) D RI'!B128</f>
        <v>Puidoux</v>
      </c>
      <c r="C127" s="327">
        <f>'B) D RI'!S128</f>
        <v>70</v>
      </c>
      <c r="D127" s="161">
        <f>'B) D RI'!AR128</f>
        <v>2880</v>
      </c>
      <c r="E127" s="325">
        <f>'D) Ecrêtage'!M126</f>
        <v>111751.15780124225</v>
      </c>
      <c r="F127" s="329">
        <f>'E) Fact soc'!G132</f>
        <v>2059974.6147459976</v>
      </c>
      <c r="G127" s="326">
        <f>'H) Péréquation directe'!I137</f>
        <v>1013180.5132930586</v>
      </c>
      <c r="H127" s="329">
        <f>+'I) Dépenses thématiques'!O126</f>
        <v>-688044.73580370843</v>
      </c>
      <c r="I127" s="326">
        <f>'K) Plafonnement aide'!J126</f>
        <v>0</v>
      </c>
      <c r="J127" s="329">
        <f>'J) Plafonnement effort'!I126</f>
        <v>0</v>
      </c>
      <c r="K127" s="326">
        <f>+'L) Plafonnement taux'!Q127</f>
        <v>0</v>
      </c>
      <c r="L127" s="324">
        <f t="shared" si="4"/>
        <v>2385110.392235348</v>
      </c>
      <c r="M127" s="233">
        <f>'M) Police'!O127</f>
        <v>138958.03144541587</v>
      </c>
      <c r="N127" s="233">
        <f t="shared" si="3"/>
        <v>2524068.4236807637</v>
      </c>
      <c r="P127" s="470"/>
      <c r="R127" s="332"/>
    </row>
    <row r="128" spans="1:18" s="162" customFormat="1" x14ac:dyDescent="0.25">
      <c r="A128" s="159">
        <f>'B) D RI'!A129</f>
        <v>5609</v>
      </c>
      <c r="B128" s="160" t="str">
        <f>'B) D RI'!B129</f>
        <v>Rivaz</v>
      </c>
      <c r="C128" s="327">
        <f>'B) D RI'!S129</f>
        <v>63.5</v>
      </c>
      <c r="D128" s="161">
        <f>'B) D RI'!AR129</f>
        <v>358</v>
      </c>
      <c r="E128" s="325">
        <f>'D) Ecrêtage'!M127</f>
        <v>13518.908661417323</v>
      </c>
      <c r="F128" s="329">
        <f>'E) Fact soc'!G133</f>
        <v>207586.41618621236</v>
      </c>
      <c r="G128" s="326">
        <f>'H) Péréquation directe'!I138</f>
        <v>179000.90776438391</v>
      </c>
      <c r="H128" s="329">
        <f>+'I) Dépenses thématiques'!O127</f>
        <v>-26916.021711094698</v>
      </c>
      <c r="I128" s="326">
        <f>'K) Plafonnement aide'!J127</f>
        <v>0</v>
      </c>
      <c r="J128" s="329">
        <f>'J) Plafonnement effort'!I127</f>
        <v>0</v>
      </c>
      <c r="K128" s="326">
        <f>+'L) Plafonnement taux'!Q128</f>
        <v>0</v>
      </c>
      <c r="L128" s="324">
        <f t="shared" si="4"/>
        <v>359671.30223950156</v>
      </c>
      <c r="M128" s="233">
        <f>'M) Police'!O128</f>
        <v>16810.214514484884</v>
      </c>
      <c r="N128" s="233">
        <f t="shared" si="3"/>
        <v>376481.51675398642</v>
      </c>
      <c r="P128" s="470"/>
      <c r="R128" s="332"/>
    </row>
    <row r="129" spans="1:18" s="162" customFormat="1" x14ac:dyDescent="0.25">
      <c r="A129" s="159">
        <f>'B) D RI'!A130</f>
        <v>5610</v>
      </c>
      <c r="B129" s="160" t="str">
        <f>'B) D RI'!B130</f>
        <v>St-Saphorin (Lavaux)</v>
      </c>
      <c r="C129" s="327">
        <f>'B) D RI'!S130</f>
        <v>70</v>
      </c>
      <c r="D129" s="161">
        <f>'B) D RI'!AR130</f>
        <v>391</v>
      </c>
      <c r="E129" s="325">
        <f>'D) Ecrêtage'!M128</f>
        <v>21494.070428571435</v>
      </c>
      <c r="F129" s="329">
        <f>'E) Fact soc'!G134</f>
        <v>333443.07840950589</v>
      </c>
      <c r="G129" s="326">
        <f>'H) Péréquation directe'!I139</f>
        <v>368926.1434282824</v>
      </c>
      <c r="H129" s="329">
        <f>+'I) Dépenses thématiques'!O128</f>
        <v>-22675.940517242103</v>
      </c>
      <c r="I129" s="326">
        <f>'K) Plafonnement aide'!J128</f>
        <v>0</v>
      </c>
      <c r="J129" s="329">
        <f>'J) Plafonnement effort'!I128</f>
        <v>0</v>
      </c>
      <c r="K129" s="326">
        <f>+'L) Plafonnement taux'!Q129</f>
        <v>0</v>
      </c>
      <c r="L129" s="324">
        <f t="shared" si="4"/>
        <v>679693.28132054629</v>
      </c>
      <c r="M129" s="233">
        <f>'M) Police'!O129</f>
        <v>26727.004652744734</v>
      </c>
      <c r="N129" s="233">
        <f t="shared" si="3"/>
        <v>706420.28597329103</v>
      </c>
      <c r="P129" s="470"/>
      <c r="R129" s="332"/>
    </row>
    <row r="130" spans="1:18" s="162" customFormat="1" x14ac:dyDescent="0.25">
      <c r="A130" s="159">
        <f>'B) D RI'!A131</f>
        <v>5611</v>
      </c>
      <c r="B130" s="160" t="str">
        <f>'B) D RI'!B131</f>
        <v>Savigny</v>
      </c>
      <c r="C130" s="327">
        <f>'B) D RI'!S131</f>
        <v>69</v>
      </c>
      <c r="D130" s="161">
        <f>'B) D RI'!AR131</f>
        <v>3353</v>
      </c>
      <c r="E130" s="325">
        <f>'D) Ecrêtage'!M129</f>
        <v>137747.50487922705</v>
      </c>
      <c r="F130" s="329">
        <f>'E) Fact soc'!G135</f>
        <v>2856709.6186237587</v>
      </c>
      <c r="G130" s="326">
        <f>'H) Péréquation directe'!I140</f>
        <v>1386784.3361211393</v>
      </c>
      <c r="H130" s="329">
        <f>+'I) Dépenses thématiques'!O129</f>
        <v>-385801.99347773986</v>
      </c>
      <c r="I130" s="326">
        <f>'K) Plafonnement aide'!J129</f>
        <v>0</v>
      </c>
      <c r="J130" s="329">
        <f>'J) Plafonnement effort'!I129</f>
        <v>0</v>
      </c>
      <c r="K130" s="326">
        <f>+'L) Plafonnement taux'!Q130</f>
        <v>0</v>
      </c>
      <c r="L130" s="324">
        <f t="shared" si="4"/>
        <v>3857691.9612671579</v>
      </c>
      <c r="M130" s="233">
        <f>'M) Police'!O130</f>
        <v>171283.43447303801</v>
      </c>
      <c r="N130" s="233">
        <f t="shared" si="3"/>
        <v>4028975.3957401961</v>
      </c>
      <c r="P130" s="470"/>
      <c r="R130" s="332"/>
    </row>
    <row r="131" spans="1:18" s="162" customFormat="1" x14ac:dyDescent="0.25">
      <c r="A131" s="159">
        <f>'B) D RI'!A132</f>
        <v>5613</v>
      </c>
      <c r="B131" s="160" t="str">
        <f>'B) D RI'!B132</f>
        <v>Bourg-en-Lavaux</v>
      </c>
      <c r="C131" s="327">
        <f>'B) D RI'!S132</f>
        <v>61</v>
      </c>
      <c r="D131" s="161">
        <f>'B) D RI'!AR132</f>
        <v>5367</v>
      </c>
      <c r="E131" s="325">
        <f>'D) Ecrêtage'!M130</f>
        <v>293991.54098360648</v>
      </c>
      <c r="F131" s="329">
        <f>'E) Fact soc'!G136</f>
        <v>5392500.8544032006</v>
      </c>
      <c r="G131" s="326">
        <f>'H) Péréquation directe'!I141</f>
        <v>3562193.2948614089</v>
      </c>
      <c r="H131" s="329">
        <f>+'I) Dépenses thématiques'!O130</f>
        <v>-67406.107374736268</v>
      </c>
      <c r="I131" s="326">
        <f>'K) Plafonnement aide'!J130</f>
        <v>0</v>
      </c>
      <c r="J131" s="329">
        <f>'J) Plafonnement effort'!I130</f>
        <v>0</v>
      </c>
      <c r="K131" s="326">
        <f>+'L) Plafonnement taux'!Q131</f>
        <v>0</v>
      </c>
      <c r="L131" s="324">
        <f t="shared" si="4"/>
        <v>8887288.0418898724</v>
      </c>
      <c r="M131" s="233">
        <f>'M) Police'!O131</f>
        <v>365566.55519708747</v>
      </c>
      <c r="N131" s="233">
        <f t="shared" si="3"/>
        <v>9252854.5970869604</v>
      </c>
      <c r="P131" s="470"/>
      <c r="R131" s="332"/>
    </row>
    <row r="132" spans="1:18" s="162" customFormat="1" x14ac:dyDescent="0.25">
      <c r="A132" s="159">
        <f>'B) D RI'!A133</f>
        <v>5621</v>
      </c>
      <c r="B132" s="160" t="str">
        <f>'B) D RI'!B133</f>
        <v>Aclens</v>
      </c>
      <c r="C132" s="327">
        <f>'B) D RI'!S133</f>
        <v>62</v>
      </c>
      <c r="D132" s="161">
        <f>'B) D RI'!AR133</f>
        <v>535</v>
      </c>
      <c r="E132" s="325">
        <f>'D) Ecrêtage'!M131</f>
        <v>37690.385795317372</v>
      </c>
      <c r="F132" s="329">
        <f>'E) Fact soc'!G137</f>
        <v>1038143.3396381473</v>
      </c>
      <c r="G132" s="326">
        <f>'H) Péréquation directe'!I142</f>
        <v>661968.81247467978</v>
      </c>
      <c r="H132" s="329">
        <f>+'I) Dépenses thématiques'!O131</f>
        <v>-31769.281885211603</v>
      </c>
      <c r="I132" s="326">
        <f>'K) Plafonnement aide'!J131</f>
        <v>0</v>
      </c>
      <c r="J132" s="329">
        <f>'J) Plafonnement effort'!I131</f>
        <v>0</v>
      </c>
      <c r="K132" s="326">
        <f>+'L) Plafonnement taux'!Q132</f>
        <v>0</v>
      </c>
      <c r="L132" s="324">
        <f t="shared" si="4"/>
        <v>1668342.8702276156</v>
      </c>
      <c r="M132" s="233">
        <f>'M) Police'!O132</f>
        <v>92727.083262799773</v>
      </c>
      <c r="N132" s="233">
        <f t="shared" si="3"/>
        <v>1761069.9534904154</v>
      </c>
      <c r="P132" s="470"/>
      <c r="R132" s="332"/>
    </row>
    <row r="133" spans="1:18" s="162" customFormat="1" x14ac:dyDescent="0.25">
      <c r="A133" s="159">
        <f>'B) D RI'!A134</f>
        <v>5622</v>
      </c>
      <c r="B133" s="160" t="str">
        <f>'B) D RI'!B134</f>
        <v>Bremblens</v>
      </c>
      <c r="C133" s="327">
        <f>'B) D RI'!S134</f>
        <v>66</v>
      </c>
      <c r="D133" s="161">
        <f>'B) D RI'!AR134</f>
        <v>548</v>
      </c>
      <c r="E133" s="325">
        <f>'D) Ecrêtage'!M132</f>
        <v>25350.281363636361</v>
      </c>
      <c r="F133" s="329">
        <f>'E) Fact soc'!G138</f>
        <v>503492.42602582183</v>
      </c>
      <c r="G133" s="326">
        <f>'H) Péréquation directe'!I143</f>
        <v>426438.08749459899</v>
      </c>
      <c r="H133" s="329">
        <f>+'I) Dépenses thématiques'!O132</f>
        <v>-5170.9573923188827</v>
      </c>
      <c r="I133" s="326">
        <f>'K) Plafonnement aide'!J132</f>
        <v>0</v>
      </c>
      <c r="J133" s="329">
        <f>'J) Plafonnement effort'!I132</f>
        <v>0</v>
      </c>
      <c r="K133" s="326">
        <f>+'L) Plafonnement taux'!Q133</f>
        <v>0</v>
      </c>
      <c r="L133" s="324">
        <f t="shared" si="4"/>
        <v>924759.55612810189</v>
      </c>
      <c r="M133" s="233">
        <f>'M) Police'!O133</f>
        <v>77847.778944275546</v>
      </c>
      <c r="N133" s="233">
        <f t="shared" si="3"/>
        <v>1002607.3350723775</v>
      </c>
      <c r="P133" s="470"/>
      <c r="R133" s="332"/>
    </row>
    <row r="134" spans="1:18" s="162" customFormat="1" x14ac:dyDescent="0.25">
      <c r="A134" s="159">
        <f>'B) D RI'!A135</f>
        <v>5623</v>
      </c>
      <c r="B134" s="160" t="str">
        <f>'B) D RI'!B135</f>
        <v>Buchillon</v>
      </c>
      <c r="C134" s="327">
        <f>'B) D RI'!S135</f>
        <v>53</v>
      </c>
      <c r="D134" s="161">
        <f>'B) D RI'!AR135</f>
        <v>650</v>
      </c>
      <c r="E134" s="325">
        <f>'D) Ecrêtage'!M133</f>
        <v>95555.278269668168</v>
      </c>
      <c r="F134" s="329">
        <f>'E) Fact soc'!G139</f>
        <v>3949023.0559674012</v>
      </c>
      <c r="G134" s="326">
        <f>'H) Péréquation directe'!I144</f>
        <v>1748835.0569776727</v>
      </c>
      <c r="H134" s="329">
        <f>+'I) Dépenses thématiques'!O133</f>
        <v>0</v>
      </c>
      <c r="I134" s="326">
        <f>'K) Plafonnement aide'!J133</f>
        <v>0</v>
      </c>
      <c r="J134" s="329">
        <f>'J) Plafonnement effort'!I133</f>
        <v>-372615.44124696043</v>
      </c>
      <c r="K134" s="326">
        <f>+'L) Plafonnement taux'!Q134</f>
        <v>0</v>
      </c>
      <c r="L134" s="324">
        <f t="shared" si="4"/>
        <v>5325242.6716981139</v>
      </c>
      <c r="M134" s="233">
        <f>'M) Police'!O134</f>
        <v>118819.11224748321</v>
      </c>
      <c r="N134" s="233">
        <f t="shared" si="3"/>
        <v>5444061.7839455968</v>
      </c>
      <c r="P134" s="470"/>
      <c r="R134" s="332"/>
    </row>
    <row r="135" spans="1:18" s="162" customFormat="1" x14ac:dyDescent="0.25">
      <c r="A135" s="159">
        <f>'B) D RI'!A136</f>
        <v>5624</v>
      </c>
      <c r="B135" s="160" t="str">
        <f>'B) D RI'!B136</f>
        <v>Bussigny</v>
      </c>
      <c r="C135" s="327">
        <f>'B) D RI'!S136</f>
        <v>63</v>
      </c>
      <c r="D135" s="161">
        <f>'B) D RI'!AR136</f>
        <v>8759</v>
      </c>
      <c r="E135" s="325">
        <f>'D) Ecrêtage'!M134</f>
        <v>383784.23111111118</v>
      </c>
      <c r="F135" s="329">
        <f>'E) Fact soc'!G140</f>
        <v>7252605.1112402212</v>
      </c>
      <c r="G135" s="326">
        <f>'H) Péréquation directe'!I145</f>
        <v>3061276.78064036</v>
      </c>
      <c r="H135" s="329">
        <f>+'I) Dépenses thématiques'!O134</f>
        <v>-1069781.2155593676</v>
      </c>
      <c r="I135" s="326">
        <f>'K) Plafonnement aide'!J134</f>
        <v>0</v>
      </c>
      <c r="J135" s="329">
        <f>'J) Plafonnement effort'!I134</f>
        <v>0</v>
      </c>
      <c r="K135" s="326">
        <f>+'L) Plafonnement taux'!Q135</f>
        <v>0</v>
      </c>
      <c r="L135" s="324">
        <f t="shared" si="4"/>
        <v>9244100.6763212141</v>
      </c>
      <c r="M135" s="233">
        <f>'M) Police'!O135</f>
        <v>477220.12285406236</v>
      </c>
      <c r="N135" s="233">
        <f t="shared" ref="N135:N193" si="5">L135+M135</f>
        <v>9721320.7991752774</v>
      </c>
      <c r="P135" s="470"/>
      <c r="R135" s="332"/>
    </row>
    <row r="136" spans="1:18" s="162" customFormat="1" x14ac:dyDescent="0.25">
      <c r="A136" s="159">
        <f>'B) D RI'!A137</f>
        <v>5625</v>
      </c>
      <c r="B136" s="160" t="str">
        <f>'B) D RI'!B137</f>
        <v>Bussy-Chardonney</v>
      </c>
      <c r="C136" s="327">
        <f>'B) D RI'!S137</f>
        <v>78</v>
      </c>
      <c r="D136" s="161">
        <f>'B) D RI'!AR137</f>
        <v>376</v>
      </c>
      <c r="E136" s="325">
        <f>'D) Ecrêtage'!M135</f>
        <v>13516.350747863249</v>
      </c>
      <c r="F136" s="329">
        <f>'E) Fact soc'!G141</f>
        <v>263574.41611392424</v>
      </c>
      <c r="G136" s="326">
        <f>'H) Péréquation directe'!I146</f>
        <v>136208.93733834528</v>
      </c>
      <c r="H136" s="329">
        <f>+'I) Dépenses thématiques'!O135</f>
        <v>-62006.345208349267</v>
      </c>
      <c r="I136" s="326">
        <f>'K) Plafonnement aide'!J135</f>
        <v>0</v>
      </c>
      <c r="J136" s="329">
        <f>'J) Plafonnement effort'!I135</f>
        <v>0</v>
      </c>
      <c r="K136" s="326">
        <f>+'L) Plafonnement taux'!Q136</f>
        <v>0</v>
      </c>
      <c r="L136" s="324">
        <f t="shared" si="4"/>
        <v>337777.00824392022</v>
      </c>
      <c r="M136" s="233">
        <f>'M) Police'!O136</f>
        <v>41291.140263000736</v>
      </c>
      <c r="N136" s="233">
        <f t="shared" si="5"/>
        <v>379068.14850692096</v>
      </c>
      <c r="P136" s="470"/>
      <c r="R136" s="332"/>
    </row>
    <row r="137" spans="1:18" s="162" customFormat="1" x14ac:dyDescent="0.25">
      <c r="A137" s="159">
        <f>'B) D RI'!A138</f>
        <v>5627</v>
      </c>
      <c r="B137" s="160" t="str">
        <f>'B) D RI'!B138</f>
        <v>Chavannes-près-Renens</v>
      </c>
      <c r="C137" s="327">
        <f>'B) D RI'!S138</f>
        <v>79</v>
      </c>
      <c r="D137" s="161">
        <f>'B) D RI'!AR138</f>
        <v>7741</v>
      </c>
      <c r="E137" s="325">
        <f>'D) Ecrêtage'!M136</f>
        <v>182156.43953586498</v>
      </c>
      <c r="F137" s="329">
        <f>'E) Fact soc'!G142</f>
        <v>3310375.6673193788</v>
      </c>
      <c r="G137" s="326">
        <f>'H) Péréquation directe'!I147</f>
        <v>-4113458.7471883926</v>
      </c>
      <c r="H137" s="329">
        <f>+'I) Dépenses thématiques'!O136</f>
        <v>-1252604.6053190806</v>
      </c>
      <c r="I137" s="326">
        <f>'K) Plafonnement aide'!J136</f>
        <v>0</v>
      </c>
      <c r="J137" s="329">
        <f>'J) Plafonnement effort'!I136</f>
        <v>0</v>
      </c>
      <c r="K137" s="326">
        <f>+'L) Plafonnement taux'!Q137</f>
        <v>0</v>
      </c>
      <c r="L137" s="324">
        <f t="shared" si="4"/>
        <v>-2055687.6851880944</v>
      </c>
      <c r="M137" s="233">
        <f>'M) Police'!O137</f>
        <v>226504.14323249494</v>
      </c>
      <c r="N137" s="233">
        <f t="shared" si="5"/>
        <v>-1829183.5419555996</v>
      </c>
      <c r="P137" s="470"/>
      <c r="R137" s="332"/>
    </row>
    <row r="138" spans="1:18" s="162" customFormat="1" x14ac:dyDescent="0.25">
      <c r="A138" s="159">
        <f>'B) D RI'!A139</f>
        <v>5628</v>
      </c>
      <c r="B138" s="160" t="str">
        <f>'B) D RI'!B139</f>
        <v>Chigny</v>
      </c>
      <c r="C138" s="327">
        <f>'B) D RI'!S139</f>
        <v>62</v>
      </c>
      <c r="D138" s="161">
        <f>'B) D RI'!AR139</f>
        <v>358</v>
      </c>
      <c r="E138" s="325">
        <f>'D) Ecrêtage'!M137</f>
        <v>25716.856589278395</v>
      </c>
      <c r="F138" s="329">
        <f>'E) Fact soc'!G143</f>
        <v>636094.25534406211</v>
      </c>
      <c r="G138" s="326">
        <f>'H) Péréquation directe'!I148</f>
        <v>452377.07115657581</v>
      </c>
      <c r="H138" s="329">
        <f>+'I) Dépenses thématiques'!O137</f>
        <v>0</v>
      </c>
      <c r="I138" s="326">
        <f>'K) Plafonnement aide'!J137</f>
        <v>0</v>
      </c>
      <c r="J138" s="329">
        <f>'J) Plafonnement effort'!I137</f>
        <v>0</v>
      </c>
      <c r="K138" s="326">
        <f>+'L) Plafonnement taux'!Q138</f>
        <v>0</v>
      </c>
      <c r="L138" s="324">
        <f t="shared" si="4"/>
        <v>1088471.3265006379</v>
      </c>
      <c r="M138" s="233">
        <f>'M) Police'!O138</f>
        <v>62665.907295615689</v>
      </c>
      <c r="N138" s="233">
        <f t="shared" si="5"/>
        <v>1151137.2337962536</v>
      </c>
      <c r="P138" s="470"/>
      <c r="R138" s="332"/>
    </row>
    <row r="139" spans="1:18" s="162" customFormat="1" x14ac:dyDescent="0.25">
      <c r="A139" s="159">
        <f>'B) D RI'!A140</f>
        <v>5629</v>
      </c>
      <c r="B139" s="160" t="str">
        <f>'B) D RI'!B140</f>
        <v>Clarmont</v>
      </c>
      <c r="C139" s="327">
        <f>'B) D RI'!S140</f>
        <v>75</v>
      </c>
      <c r="D139" s="161">
        <f>'B) D RI'!AR140</f>
        <v>190</v>
      </c>
      <c r="E139" s="325">
        <f>'D) Ecrêtage'!M138</f>
        <v>6960.0919999999987</v>
      </c>
      <c r="F139" s="329">
        <f>'E) Fact soc'!G144</f>
        <v>131815.70658534818</v>
      </c>
      <c r="G139" s="326">
        <f>'H) Péréquation directe'!I149</f>
        <v>77356.732890704763</v>
      </c>
      <c r="H139" s="329">
        <f>+'I) Dépenses thématiques'!O138</f>
        <v>-38221.397821299128</v>
      </c>
      <c r="I139" s="326">
        <f>'K) Plafonnement aide'!J138</f>
        <v>0</v>
      </c>
      <c r="J139" s="329">
        <f>'J) Plafonnement effort'!I138</f>
        <v>0</v>
      </c>
      <c r="K139" s="326">
        <f>+'L) Plafonnement taux'!Q139</f>
        <v>0</v>
      </c>
      <c r="L139" s="324">
        <f t="shared" si="4"/>
        <v>170951.04165475382</v>
      </c>
      <c r="M139" s="233">
        <f>'M) Police'!O139</f>
        <v>21736.425393302452</v>
      </c>
      <c r="N139" s="233">
        <f t="shared" si="5"/>
        <v>192687.46704805628</v>
      </c>
      <c r="P139" s="470"/>
      <c r="R139" s="332"/>
    </row>
    <row r="140" spans="1:18" s="162" customFormat="1" x14ac:dyDescent="0.25">
      <c r="A140" s="159">
        <f>'B) D RI'!A141</f>
        <v>5631</v>
      </c>
      <c r="B140" s="160" t="str">
        <f>'B) D RI'!B141</f>
        <v>Denens</v>
      </c>
      <c r="C140" s="327">
        <f>'B) D RI'!S141</f>
        <v>70</v>
      </c>
      <c r="D140" s="161">
        <f>'B) D RI'!AR141</f>
        <v>747</v>
      </c>
      <c r="E140" s="325">
        <f>'D) Ecrêtage'!M139</f>
        <v>43469.932701404548</v>
      </c>
      <c r="F140" s="329">
        <f>'E) Fact soc'!G145</f>
        <v>807652.57012702059</v>
      </c>
      <c r="G140" s="326">
        <f>'H) Péréquation directe'!I150</f>
        <v>750493.83283241617</v>
      </c>
      <c r="H140" s="329">
        <f>+'I) Dépenses thématiques'!O139</f>
        <v>0</v>
      </c>
      <c r="I140" s="326">
        <f>'K) Plafonnement aide'!J139</f>
        <v>0</v>
      </c>
      <c r="J140" s="329">
        <f>'J) Plafonnement effort'!I139</f>
        <v>0</v>
      </c>
      <c r="K140" s="326">
        <f>+'L) Plafonnement taux'!Q140</f>
        <v>0</v>
      </c>
      <c r="L140" s="324">
        <f t="shared" si="4"/>
        <v>1558146.4029594366</v>
      </c>
      <c r="M140" s="233">
        <f>'M) Police'!O140</f>
        <v>118086.52081517616</v>
      </c>
      <c r="N140" s="233">
        <f t="shared" si="5"/>
        <v>1676232.9237746128</v>
      </c>
      <c r="P140" s="470"/>
      <c r="R140" s="332"/>
    </row>
    <row r="141" spans="1:18" s="162" customFormat="1" x14ac:dyDescent="0.25">
      <c r="A141" s="159">
        <f>'B) D RI'!A142</f>
        <v>5632</v>
      </c>
      <c r="B141" s="160" t="str">
        <f>'B) D RI'!B142</f>
        <v>Denges</v>
      </c>
      <c r="C141" s="327">
        <f>'B) D RI'!S142</f>
        <v>62</v>
      </c>
      <c r="D141" s="161">
        <f>'B) D RI'!AR142</f>
        <v>1610</v>
      </c>
      <c r="E141" s="325">
        <f>'D) Ecrêtage'!M140</f>
        <v>69010.195161290321</v>
      </c>
      <c r="F141" s="329">
        <f>'E) Fact soc'!G146</f>
        <v>1266253.605525515</v>
      </c>
      <c r="G141" s="326">
        <f>'H) Péréquation directe'!I151</f>
        <v>942672.54664632818</v>
      </c>
      <c r="H141" s="329">
        <f>+'I) Dépenses thématiques'!O140</f>
        <v>-80617.010051816236</v>
      </c>
      <c r="I141" s="326">
        <f>'K) Plafonnement aide'!J140</f>
        <v>0</v>
      </c>
      <c r="J141" s="329">
        <f>'J) Plafonnement effort'!I140</f>
        <v>0</v>
      </c>
      <c r="K141" s="326">
        <f>+'L) Plafonnement taux'!Q141</f>
        <v>0</v>
      </c>
      <c r="L141" s="324">
        <f t="shared" si="4"/>
        <v>2128309.142120027</v>
      </c>
      <c r="M141" s="233">
        <f>'M) Police'!O141</f>
        <v>215361.60887117073</v>
      </c>
      <c r="N141" s="233">
        <f t="shared" si="5"/>
        <v>2343670.7509911978</v>
      </c>
      <c r="P141" s="470"/>
      <c r="R141" s="332"/>
    </row>
    <row r="142" spans="1:18" s="162" customFormat="1" x14ac:dyDescent="0.25">
      <c r="A142" s="159">
        <f>'B) D RI'!A143</f>
        <v>5633</v>
      </c>
      <c r="B142" s="160" t="str">
        <f>'B) D RI'!B143</f>
        <v>Echandens</v>
      </c>
      <c r="C142" s="327">
        <f>'B) D RI'!S143</f>
        <v>62</v>
      </c>
      <c r="D142" s="161">
        <f>'B) D RI'!AR143</f>
        <v>2789</v>
      </c>
      <c r="E142" s="325">
        <f>'D) Ecrêtage'!M141</f>
        <v>138978.74822580643</v>
      </c>
      <c r="F142" s="329">
        <f>'E) Fact soc'!G147</f>
        <v>2233699.6101071974</v>
      </c>
      <c r="G142" s="326">
        <f>'H) Péréquation directe'!I152</f>
        <v>1912586.9533985597</v>
      </c>
      <c r="H142" s="329">
        <f>+'I) Dépenses thématiques'!O141</f>
        <v>-487475.56530342851</v>
      </c>
      <c r="I142" s="326">
        <f>'K) Plafonnement aide'!J141</f>
        <v>0</v>
      </c>
      <c r="J142" s="329">
        <f>'J) Plafonnement effort'!I141</f>
        <v>0</v>
      </c>
      <c r="K142" s="326">
        <f>+'L) Plafonnement taux'!Q142</f>
        <v>0</v>
      </c>
      <c r="L142" s="324">
        <f t="shared" si="4"/>
        <v>3658810.9982023286</v>
      </c>
      <c r="M142" s="233">
        <f>'M) Police'!O142</f>
        <v>411889.69192787202</v>
      </c>
      <c r="N142" s="233">
        <f t="shared" si="5"/>
        <v>4070700.6901302007</v>
      </c>
      <c r="P142" s="470"/>
      <c r="R142" s="332"/>
    </row>
    <row r="143" spans="1:18" s="162" customFormat="1" x14ac:dyDescent="0.25">
      <c r="A143" s="159">
        <f>'B) D RI'!A144</f>
        <v>5634</v>
      </c>
      <c r="B143" s="160" t="str">
        <f>'B) D RI'!B144</f>
        <v>Echichens</v>
      </c>
      <c r="C143" s="327">
        <f>'B) D RI'!S144</f>
        <v>68</v>
      </c>
      <c r="D143" s="161">
        <f>'B) D RI'!AR144</f>
        <v>3050</v>
      </c>
      <c r="E143" s="325">
        <f>'D) Ecrêtage'!M142</f>
        <v>172606.73271860249</v>
      </c>
      <c r="F143" s="329">
        <f>'E) Fact soc'!G148</f>
        <v>3123866.1895712726</v>
      </c>
      <c r="G143" s="326">
        <f>'H) Péréquation directe'!I153</f>
        <v>2452141.4655856867</v>
      </c>
      <c r="H143" s="329">
        <f>+'I) Dépenses thématiques'!O142</f>
        <v>0</v>
      </c>
      <c r="I143" s="326">
        <f>'K) Plafonnement aide'!J142</f>
        <v>0</v>
      </c>
      <c r="J143" s="329">
        <f>'J) Plafonnement effort'!I142</f>
        <v>0</v>
      </c>
      <c r="K143" s="326">
        <f>+'L) Plafonnement taux'!Q143</f>
        <v>0</v>
      </c>
      <c r="L143" s="324">
        <f t="shared" si="4"/>
        <v>5576007.6551569588</v>
      </c>
      <c r="M143" s="233">
        <f>'M) Police'!O143</f>
        <v>476077.85015930491</v>
      </c>
      <c r="N143" s="233">
        <f t="shared" si="5"/>
        <v>6052085.505316264</v>
      </c>
      <c r="P143" s="470"/>
      <c r="R143" s="332"/>
    </row>
    <row r="144" spans="1:18" s="162" customFormat="1" x14ac:dyDescent="0.25">
      <c r="A144" s="159">
        <f>'B) D RI'!A145</f>
        <v>5635</v>
      </c>
      <c r="B144" s="160" t="str">
        <f>'B) D RI'!B145</f>
        <v>Ecublens</v>
      </c>
      <c r="C144" s="327">
        <f>'B) D RI'!S145</f>
        <v>64</v>
      </c>
      <c r="D144" s="161">
        <f>'B) D RI'!AR145</f>
        <v>12939</v>
      </c>
      <c r="E144" s="325">
        <f>'D) Ecrêtage'!M143</f>
        <v>437106.29065104178</v>
      </c>
      <c r="F144" s="329">
        <f>'E) Fact soc'!G149</f>
        <v>7769258.7631792072</v>
      </c>
      <c r="G144" s="326">
        <f>'H) Péréquation directe'!I154</f>
        <v>-1758071.5116443615</v>
      </c>
      <c r="H144" s="329">
        <f>+'I) Dépenses thématiques'!O143</f>
        <v>-2752220.9366350491</v>
      </c>
      <c r="I144" s="326">
        <f>'K) Plafonnement aide'!J143</f>
        <v>0</v>
      </c>
      <c r="J144" s="329">
        <f>'J) Plafonnement effort'!I143</f>
        <v>0</v>
      </c>
      <c r="K144" s="326">
        <f>+'L) Plafonnement taux'!Q144</f>
        <v>0</v>
      </c>
      <c r="L144" s="324">
        <f t="shared" si="4"/>
        <v>3258966.3148997966</v>
      </c>
      <c r="M144" s="233">
        <f>'M) Police'!O144</f>
        <v>543523.94083742867</v>
      </c>
      <c r="N144" s="233">
        <f t="shared" si="5"/>
        <v>3802490.2557372255</v>
      </c>
      <c r="P144" s="470"/>
      <c r="R144" s="332"/>
    </row>
    <row r="145" spans="1:18" s="162" customFormat="1" x14ac:dyDescent="0.25">
      <c r="A145" s="159">
        <f>'B) D RI'!A146</f>
        <v>5636</v>
      </c>
      <c r="B145" s="160" t="str">
        <f>'B) D RI'!B146</f>
        <v>Etoy</v>
      </c>
      <c r="C145" s="327">
        <f>'B) D RI'!S146</f>
        <v>61</v>
      </c>
      <c r="D145" s="161">
        <f>'B) D RI'!AR146</f>
        <v>2905</v>
      </c>
      <c r="E145" s="325">
        <f>'D) Ecrêtage'!M144</f>
        <v>183083.99333260235</v>
      </c>
      <c r="F145" s="329">
        <f>'E) Fact soc'!G150</f>
        <v>4314838.4070368819</v>
      </c>
      <c r="G145" s="326">
        <f>'H) Péréquation directe'!I155</f>
        <v>2709205.5773848933</v>
      </c>
      <c r="H145" s="329">
        <f>+'I) Dépenses thématiques'!O144</f>
        <v>0</v>
      </c>
      <c r="I145" s="326">
        <f>'K) Plafonnement aide'!J144</f>
        <v>0</v>
      </c>
      <c r="J145" s="329">
        <f>'J) Plafonnement effort'!I144</f>
        <v>0</v>
      </c>
      <c r="K145" s="326">
        <f>+'L) Plafonnement taux'!Q145</f>
        <v>0</v>
      </c>
      <c r="L145" s="324">
        <f t="shared" si="4"/>
        <v>7024043.9844217747</v>
      </c>
      <c r="M145" s="233">
        <f>'M) Police'!O145</f>
        <v>476676.38556811673</v>
      </c>
      <c r="N145" s="233">
        <f t="shared" si="5"/>
        <v>7500720.3699898915</v>
      </c>
      <c r="P145" s="470"/>
      <c r="R145" s="332"/>
    </row>
    <row r="146" spans="1:18" s="162" customFormat="1" x14ac:dyDescent="0.25">
      <c r="A146" s="159">
        <f>'B) D RI'!A147</f>
        <v>5637</v>
      </c>
      <c r="B146" s="160" t="str">
        <f>'B) D RI'!B147</f>
        <v>Lavigny</v>
      </c>
      <c r="C146" s="327">
        <f>'B) D RI'!S147</f>
        <v>74.5</v>
      </c>
      <c r="D146" s="161">
        <f>'B) D RI'!AR147</f>
        <v>999</v>
      </c>
      <c r="E146" s="325">
        <f>'D) Ecrêtage'!M145</f>
        <v>35857.018299776282</v>
      </c>
      <c r="F146" s="329">
        <f>'E) Fact soc'!G151</f>
        <v>660722.2461632567</v>
      </c>
      <c r="G146" s="326">
        <f>'H) Péréquation directe'!I156</f>
        <v>378945.95496993209</v>
      </c>
      <c r="H146" s="329">
        <f>+'I) Dépenses thématiques'!O145</f>
        <v>-195665.90816792278</v>
      </c>
      <c r="I146" s="326">
        <f>'K) Plafonnement aide'!J145</f>
        <v>0</v>
      </c>
      <c r="J146" s="329">
        <f>'J) Plafonnement effort'!I145</f>
        <v>0</v>
      </c>
      <c r="K146" s="326">
        <f>+'L) Plafonnement taux'!Q146</f>
        <v>0</v>
      </c>
      <c r="L146" s="324">
        <f t="shared" si="4"/>
        <v>844002.29296526604</v>
      </c>
      <c r="M146" s="233">
        <f>'M) Police'!O146</f>
        <v>111121.09077268283</v>
      </c>
      <c r="N146" s="233">
        <f t="shared" si="5"/>
        <v>955123.38373794884</v>
      </c>
      <c r="P146" s="470"/>
      <c r="R146" s="332"/>
    </row>
    <row r="147" spans="1:18" s="162" customFormat="1" x14ac:dyDescent="0.25">
      <c r="A147" s="159">
        <f>'B) D RI'!A148</f>
        <v>5638</v>
      </c>
      <c r="B147" s="160" t="str">
        <f>'B) D RI'!B148</f>
        <v>Lonay</v>
      </c>
      <c r="C147" s="327">
        <f>'B) D RI'!S148</f>
        <v>55</v>
      </c>
      <c r="D147" s="161">
        <f>'B) D RI'!AR148</f>
        <v>2593</v>
      </c>
      <c r="E147" s="325">
        <f>'D) Ecrêtage'!M146</f>
        <v>163818.58469948487</v>
      </c>
      <c r="F147" s="329">
        <f>'E) Fact soc'!G152</f>
        <v>4122069.2522953604</v>
      </c>
      <c r="G147" s="326">
        <f>'H) Péréquation directe'!I157</f>
        <v>2452611.9549875832</v>
      </c>
      <c r="H147" s="329">
        <f>+'I) Dépenses thématiques'!O146</f>
        <v>-317955.3837310223</v>
      </c>
      <c r="I147" s="326">
        <f>'K) Plafonnement aide'!J146</f>
        <v>0</v>
      </c>
      <c r="J147" s="329">
        <f>'J) Plafonnement effort'!I146</f>
        <v>0</v>
      </c>
      <c r="K147" s="326">
        <f>+'L) Plafonnement taux'!Q147</f>
        <v>0</v>
      </c>
      <c r="L147" s="324">
        <f t="shared" si="4"/>
        <v>6256725.8235519212</v>
      </c>
      <c r="M147" s="233">
        <f>'M) Police'!O147</f>
        <v>425975.74799204373</v>
      </c>
      <c r="N147" s="233">
        <f t="shared" si="5"/>
        <v>6682701.5715439646</v>
      </c>
      <c r="P147" s="470"/>
      <c r="R147" s="332"/>
    </row>
    <row r="148" spans="1:18" s="162" customFormat="1" x14ac:dyDescent="0.25">
      <c r="A148" s="159">
        <f>'B) D RI'!A149</f>
        <v>5639</v>
      </c>
      <c r="B148" s="160" t="str">
        <f>'B) D RI'!B149</f>
        <v>Lully</v>
      </c>
      <c r="C148" s="327">
        <f>'B) D RI'!S149</f>
        <v>61</v>
      </c>
      <c r="D148" s="161">
        <f>'B) D RI'!AR149</f>
        <v>790</v>
      </c>
      <c r="E148" s="325">
        <f>'D) Ecrêtage'!M147</f>
        <v>46238.537920854986</v>
      </c>
      <c r="F148" s="329">
        <f>'E) Fact soc'!G153</f>
        <v>843525.58371613582</v>
      </c>
      <c r="G148" s="326">
        <f>'H) Péréquation directe'!I158</f>
        <v>798750.06645133637</v>
      </c>
      <c r="H148" s="329">
        <f>+'I) Dépenses thématiques'!O147</f>
        <v>0</v>
      </c>
      <c r="I148" s="326">
        <f>'K) Plafonnement aide'!J147</f>
        <v>0</v>
      </c>
      <c r="J148" s="329">
        <f>'J) Plafonnement effort'!I147</f>
        <v>0</v>
      </c>
      <c r="K148" s="326">
        <f>+'L) Plafonnement taux'!Q148</f>
        <v>0</v>
      </c>
      <c r="L148" s="324">
        <f t="shared" si="4"/>
        <v>1642275.6501674722</v>
      </c>
      <c r="M148" s="233">
        <f>'M) Police'!O148</f>
        <v>125215.16264830995</v>
      </c>
      <c r="N148" s="233">
        <f t="shared" si="5"/>
        <v>1767490.8128157821</v>
      </c>
      <c r="P148" s="470"/>
      <c r="R148" s="332"/>
    </row>
    <row r="149" spans="1:18" s="162" customFormat="1" x14ac:dyDescent="0.25">
      <c r="A149" s="159">
        <f>'B) D RI'!A150</f>
        <v>5640</v>
      </c>
      <c r="B149" s="160" t="str">
        <f>'B) D RI'!B150</f>
        <v>Lussy-sur-Morges</v>
      </c>
      <c r="C149" s="327">
        <f>'B) D RI'!S150</f>
        <v>66</v>
      </c>
      <c r="D149" s="161">
        <f>'B) D RI'!AR150</f>
        <v>687</v>
      </c>
      <c r="E149" s="325">
        <f>'D) Ecrêtage'!M148</f>
        <v>50080.591536998734</v>
      </c>
      <c r="F149" s="329">
        <f>'E) Fact soc'!G154</f>
        <v>1290035.2927365596</v>
      </c>
      <c r="G149" s="326">
        <f>'H) Péréquation directe'!I159</f>
        <v>881967.12833071453</v>
      </c>
      <c r="H149" s="329">
        <f>+'I) Dépenses thématiques'!O148</f>
        <v>0</v>
      </c>
      <c r="I149" s="326">
        <f>'K) Plafonnement aide'!J148</f>
        <v>0</v>
      </c>
      <c r="J149" s="329">
        <f>'J) Plafonnement effort'!I148</f>
        <v>0</v>
      </c>
      <c r="K149" s="326">
        <f>+'L) Plafonnement taux'!Q149</f>
        <v>0</v>
      </c>
      <c r="L149" s="324">
        <f t="shared" si="4"/>
        <v>2172002.4210672742</v>
      </c>
      <c r="M149" s="233">
        <f>'M) Police'!O149</f>
        <v>62273.184014617327</v>
      </c>
      <c r="N149" s="233">
        <f t="shared" si="5"/>
        <v>2234275.6050818916</v>
      </c>
      <c r="P149" s="470"/>
      <c r="R149" s="332"/>
    </row>
    <row r="150" spans="1:18" s="162" customFormat="1" x14ac:dyDescent="0.25">
      <c r="A150" s="159">
        <f>'B) D RI'!A151</f>
        <v>5642</v>
      </c>
      <c r="B150" s="160" t="str">
        <f>'B) D RI'!B151</f>
        <v>Morges</v>
      </c>
      <c r="C150" s="327">
        <f>'B) D RI'!S151</f>
        <v>68.5</v>
      </c>
      <c r="D150" s="161">
        <f>'B) D RI'!AR151</f>
        <v>15725</v>
      </c>
      <c r="E150" s="325">
        <f>'D) Ecrêtage'!M149</f>
        <v>759222.5945985401</v>
      </c>
      <c r="F150" s="329">
        <f>'E) Fact soc'!G155</f>
        <v>14814467.863221817</v>
      </c>
      <c r="G150" s="326">
        <f>'H) Péréquation directe'!I160</f>
        <v>3910406.2806570772</v>
      </c>
      <c r="H150" s="329">
        <f>+'I) Dépenses thématiques'!O149</f>
        <v>-1257508.4632998616</v>
      </c>
      <c r="I150" s="326">
        <f>'K) Plafonnement aide'!J149</f>
        <v>0</v>
      </c>
      <c r="J150" s="329">
        <f>'J) Plafonnement effort'!I149</f>
        <v>0</v>
      </c>
      <c r="K150" s="326">
        <f>+'L) Plafonnement taux'!Q150</f>
        <v>0</v>
      </c>
      <c r="L150" s="324">
        <f t="shared" si="4"/>
        <v>17467365.680579029</v>
      </c>
      <c r="M150" s="233">
        <f>'M) Police'!O150</f>
        <v>944062.49787526939</v>
      </c>
      <c r="N150" s="233">
        <f t="shared" si="5"/>
        <v>18411428.178454299</v>
      </c>
      <c r="P150" s="470"/>
      <c r="R150" s="332"/>
    </row>
    <row r="151" spans="1:18" s="162" customFormat="1" x14ac:dyDescent="0.25">
      <c r="A151" s="159">
        <f>'B) D RI'!A152</f>
        <v>5643</v>
      </c>
      <c r="B151" s="160" t="str">
        <f>'B) D RI'!B152</f>
        <v>Préverenges</v>
      </c>
      <c r="C151" s="327">
        <f>'B) D RI'!S152</f>
        <v>64</v>
      </c>
      <c r="D151" s="161">
        <f>'B) D RI'!AR152</f>
        <v>5298</v>
      </c>
      <c r="E151" s="325">
        <f>'D) Ecrêtage'!M150</f>
        <v>260053.614375</v>
      </c>
      <c r="F151" s="329">
        <f>'E) Fact soc'!G156</f>
        <v>4073580.3331436566</v>
      </c>
      <c r="G151" s="326">
        <f>'H) Péréquation directe'!I161</f>
        <v>2959363.4548633592</v>
      </c>
      <c r="H151" s="329">
        <f>+'I) Dépenses thématiques'!O150</f>
        <v>0</v>
      </c>
      <c r="I151" s="326">
        <f>'K) Plafonnement aide'!J150</f>
        <v>0</v>
      </c>
      <c r="J151" s="329">
        <f>'J) Plafonnement effort'!I150</f>
        <v>0</v>
      </c>
      <c r="K151" s="326">
        <f>+'L) Plafonnement taux'!Q151</f>
        <v>0</v>
      </c>
      <c r="L151" s="324">
        <f t="shared" si="4"/>
        <v>7032943.7880070154</v>
      </c>
      <c r="M151" s="233">
        <f>'M) Police'!O151</f>
        <v>323366.12018004165</v>
      </c>
      <c r="N151" s="233">
        <f t="shared" si="5"/>
        <v>7356309.9081870569</v>
      </c>
      <c r="P151" s="470"/>
      <c r="R151" s="332"/>
    </row>
    <row r="152" spans="1:18" s="162" customFormat="1" x14ac:dyDescent="0.25">
      <c r="A152" s="159">
        <f>'B) D RI'!A153</f>
        <v>5644</v>
      </c>
      <c r="B152" s="160" t="str">
        <f>'B) D RI'!B153</f>
        <v>Reverolle</v>
      </c>
      <c r="C152" s="327">
        <f>'B) D RI'!S153</f>
        <v>76</v>
      </c>
      <c r="D152" s="161">
        <f>'B) D RI'!AR153</f>
        <v>399</v>
      </c>
      <c r="E152" s="325">
        <f>'D) Ecrêtage'!M151</f>
        <v>13341.614868421055</v>
      </c>
      <c r="F152" s="329">
        <f>'E) Fact soc'!G157</f>
        <v>238373.68412990691</v>
      </c>
      <c r="G152" s="326">
        <f>'H) Péréquation directe'!I162</f>
        <v>107011.12738569459</v>
      </c>
      <c r="H152" s="329">
        <f>+'I) Dépenses thématiques'!O151</f>
        <v>-52664.866572688283</v>
      </c>
      <c r="I152" s="326">
        <f>'K) Plafonnement aide'!J151</f>
        <v>0</v>
      </c>
      <c r="J152" s="329">
        <f>'J) Plafonnement effort'!I151</f>
        <v>0</v>
      </c>
      <c r="K152" s="326">
        <f>+'L) Plafonnement taux'!Q152</f>
        <v>0</v>
      </c>
      <c r="L152" s="324">
        <f t="shared" si="4"/>
        <v>292719.94494291319</v>
      </c>
      <c r="M152" s="233">
        <f>'M) Police'!O152</f>
        <v>41249.23792759858</v>
      </c>
      <c r="N152" s="233">
        <f t="shared" si="5"/>
        <v>333969.18287051178</v>
      </c>
      <c r="P152" s="470"/>
      <c r="R152" s="332"/>
    </row>
    <row r="153" spans="1:18" s="162" customFormat="1" x14ac:dyDescent="0.25">
      <c r="A153" s="159">
        <f>'B) D RI'!A154</f>
        <v>5645</v>
      </c>
      <c r="B153" s="160" t="str">
        <f>'B) D RI'!B154</f>
        <v>Romanel-sur-Morges</v>
      </c>
      <c r="C153" s="327">
        <f>'B) D RI'!S154</f>
        <v>56</v>
      </c>
      <c r="D153" s="161">
        <f>'B) D RI'!AR154</f>
        <v>458</v>
      </c>
      <c r="E153" s="325">
        <f>'D) Ecrêtage'!M152</f>
        <v>26400.132083680532</v>
      </c>
      <c r="F153" s="329">
        <f>'E) Fact soc'!G158</f>
        <v>484161.02166412631</v>
      </c>
      <c r="G153" s="326">
        <f>'H) Péréquation directe'!I163</f>
        <v>455356.63343186962</v>
      </c>
      <c r="H153" s="329">
        <f>+'I) Dépenses thématiques'!O152</f>
        <v>-2217.9340869585867</v>
      </c>
      <c r="I153" s="326">
        <f>'K) Plafonnement aide'!J152</f>
        <v>0</v>
      </c>
      <c r="J153" s="329">
        <f>'J) Plafonnement effort'!I152</f>
        <v>0</v>
      </c>
      <c r="K153" s="326">
        <f>+'L) Plafonnement taux'!Q153</f>
        <v>0</v>
      </c>
      <c r="L153" s="324">
        <f t="shared" si="4"/>
        <v>937299.72100903722</v>
      </c>
      <c r="M153" s="233">
        <f>'M) Police'!O153</f>
        <v>72087.610686800312</v>
      </c>
      <c r="N153" s="233">
        <f t="shared" si="5"/>
        <v>1009387.3316958376</v>
      </c>
      <c r="P153" s="470"/>
      <c r="R153" s="332"/>
    </row>
    <row r="154" spans="1:18" s="162" customFormat="1" x14ac:dyDescent="0.25">
      <c r="A154" s="159">
        <f>'B) D RI'!A155</f>
        <v>5646</v>
      </c>
      <c r="B154" s="160" t="str">
        <f>'B) D RI'!B155</f>
        <v>Saint-Prex</v>
      </c>
      <c r="C154" s="327">
        <f>'B) D RI'!S155</f>
        <v>55</v>
      </c>
      <c r="D154" s="161">
        <f>'B) D RI'!AR155</f>
        <v>5684</v>
      </c>
      <c r="E154" s="325">
        <f>'D) Ecrêtage'!M153</f>
        <v>465295.81777053984</v>
      </c>
      <c r="F154" s="329">
        <f>'E) Fact soc'!G159</f>
        <v>12021312.389473176</v>
      </c>
      <c r="G154" s="326">
        <f>'H) Péréquation directe'!I164</f>
        <v>6623773.7365378998</v>
      </c>
      <c r="H154" s="329">
        <f>+'I) Dépenses thématiques'!O153</f>
        <v>0</v>
      </c>
      <c r="I154" s="326">
        <f>'K) Plafonnement aide'!J153</f>
        <v>0</v>
      </c>
      <c r="J154" s="329">
        <f>'J) Plafonnement effort'!I153</f>
        <v>0</v>
      </c>
      <c r="K154" s="326">
        <f>+'L) Plafonnement taux'!Q154</f>
        <v>0</v>
      </c>
      <c r="L154" s="324">
        <f t="shared" si="4"/>
        <v>18645086.126011074</v>
      </c>
      <c r="M154" s="233">
        <f>'M) Police'!O154</f>
        <v>578576.47427846538</v>
      </c>
      <c r="N154" s="233">
        <f t="shared" si="5"/>
        <v>19223662.600289539</v>
      </c>
      <c r="P154" s="470"/>
      <c r="R154" s="332"/>
    </row>
    <row r="155" spans="1:18" s="162" customFormat="1" x14ac:dyDescent="0.25">
      <c r="A155" s="159">
        <f>'B) D RI'!A156</f>
        <v>5648</v>
      </c>
      <c r="B155" s="160" t="str">
        <f>'B) D RI'!B156</f>
        <v>Saint-Sulpice</v>
      </c>
      <c r="C155" s="327">
        <f>'B) D RI'!S156</f>
        <v>55</v>
      </c>
      <c r="D155" s="161">
        <f>'B) D RI'!AR156</f>
        <v>4669</v>
      </c>
      <c r="E155" s="325">
        <f>'D) Ecrêtage'!M154</f>
        <v>272390.15842991677</v>
      </c>
      <c r="F155" s="329">
        <f>'E) Fact soc'!G160</f>
        <v>5656073.3299701884</v>
      </c>
      <c r="G155" s="326">
        <f>'H) Péréquation directe'!I165</f>
        <v>3537481.5286081382</v>
      </c>
      <c r="H155" s="329">
        <f>+'I) Dépenses thématiques'!O154</f>
        <v>-475255.16396083485</v>
      </c>
      <c r="I155" s="326">
        <f>'K) Plafonnement aide'!J154</f>
        <v>0</v>
      </c>
      <c r="J155" s="329">
        <f>'J) Plafonnement effort'!I154</f>
        <v>0</v>
      </c>
      <c r="K155" s="326">
        <f>+'L) Plafonnement taux'!Q155</f>
        <v>0</v>
      </c>
      <c r="L155" s="324">
        <f t="shared" si="4"/>
        <v>8718299.6946174912</v>
      </c>
      <c r="M155" s="233">
        <f>'M) Police'!O155</f>
        <v>338706.11226996547</v>
      </c>
      <c r="N155" s="233">
        <f t="shared" si="5"/>
        <v>9057005.8068874571</v>
      </c>
      <c r="P155" s="470"/>
      <c r="R155" s="332"/>
    </row>
    <row r="156" spans="1:18" s="162" customFormat="1" x14ac:dyDescent="0.25">
      <c r="A156" s="159">
        <f>'B) D RI'!A157</f>
        <v>5649</v>
      </c>
      <c r="B156" s="160" t="str">
        <f>'B) D RI'!B157</f>
        <v>Tolochenaz</v>
      </c>
      <c r="C156" s="327">
        <f>'B) D RI'!S157</f>
        <v>65</v>
      </c>
      <c r="D156" s="161">
        <f>'B) D RI'!AR157</f>
        <v>1933</v>
      </c>
      <c r="E156" s="325">
        <f>'D) Ecrêtage'!M155</f>
        <v>129535.13347447779</v>
      </c>
      <c r="F156" s="329">
        <f>'E) Fact soc'!G161</f>
        <v>2689102.8033396099</v>
      </c>
      <c r="G156" s="326">
        <f>'H) Péréquation directe'!I166</f>
        <v>2032632.8414811499</v>
      </c>
      <c r="H156" s="329">
        <f>+'I) Dépenses thématiques'!O155</f>
        <v>0</v>
      </c>
      <c r="I156" s="326">
        <f>'K) Plafonnement aide'!J155</f>
        <v>0</v>
      </c>
      <c r="J156" s="329">
        <f>'J) Plafonnement effort'!I155</f>
        <v>0</v>
      </c>
      <c r="K156" s="326">
        <f>+'L) Plafonnement taux'!Q156</f>
        <v>0</v>
      </c>
      <c r="L156" s="324">
        <f t="shared" si="4"/>
        <v>4721735.64482076</v>
      </c>
      <c r="M156" s="233">
        <f>'M) Police'!O156</f>
        <v>161071.68377303856</v>
      </c>
      <c r="N156" s="233">
        <f t="shared" si="5"/>
        <v>4882807.3285937989</v>
      </c>
      <c r="P156" s="470"/>
      <c r="R156" s="332"/>
    </row>
    <row r="157" spans="1:18" s="162" customFormat="1" x14ac:dyDescent="0.25">
      <c r="A157" s="159">
        <f>'B) D RI'!A158</f>
        <v>5650</v>
      </c>
      <c r="B157" s="160" t="str">
        <f>'B) D RI'!B158</f>
        <v>Vaux-sur-Morges</v>
      </c>
      <c r="C157" s="327">
        <f>'B) D RI'!S158</f>
        <v>56</v>
      </c>
      <c r="D157" s="161">
        <f>'B) D RI'!AR158</f>
        <v>184</v>
      </c>
      <c r="E157" s="325">
        <f>'D) Ecrêtage'!M156</f>
        <v>128605.83258251277</v>
      </c>
      <c r="F157" s="329">
        <f>'E) Fact soc'!G162</f>
        <v>8206256.4475717358</v>
      </c>
      <c r="G157" s="326">
        <f>'H) Péréquation directe'!I167</f>
        <v>2422732.8278865069</v>
      </c>
      <c r="H157" s="329">
        <f>+'I) Dépenses thématiques'!O156</f>
        <v>0</v>
      </c>
      <c r="I157" s="326">
        <f>'K) Plafonnement aide'!J156</f>
        <v>0</v>
      </c>
      <c r="J157" s="329">
        <f>'J) Plafonnement effort'!I156</f>
        <v>-2300587.8620653846</v>
      </c>
      <c r="K157" s="326">
        <f>+'L) Plafonnement taux'!Q157</f>
        <v>0</v>
      </c>
      <c r="L157" s="324">
        <f t="shared" si="4"/>
        <v>8328401.4133928586</v>
      </c>
      <c r="M157" s="233">
        <f>'M) Police'!O157</f>
        <v>175688.75938980133</v>
      </c>
      <c r="N157" s="233">
        <f t="shared" si="5"/>
        <v>8504090.1727826595</v>
      </c>
      <c r="P157" s="470"/>
      <c r="R157" s="332"/>
    </row>
    <row r="158" spans="1:18" s="162" customFormat="1" x14ac:dyDescent="0.25">
      <c r="A158" s="159">
        <f>'B) D RI'!A159</f>
        <v>5651</v>
      </c>
      <c r="B158" s="160" t="str">
        <f>'B) D RI'!B159</f>
        <v>Villars-Sainte-Croix</v>
      </c>
      <c r="C158" s="327">
        <f>'B) D RI'!S159</f>
        <v>59</v>
      </c>
      <c r="D158" s="161">
        <f>'B) D RI'!AR159</f>
        <v>963</v>
      </c>
      <c r="E158" s="325">
        <f>'D) Ecrêtage'!M157</f>
        <v>57258.584311335449</v>
      </c>
      <c r="F158" s="329">
        <f>'E) Fact soc'!G163</f>
        <v>1065873.8950638354</v>
      </c>
      <c r="G158" s="326">
        <f>'H) Péréquation directe'!I168</f>
        <v>990642.99951159093</v>
      </c>
      <c r="H158" s="329">
        <f>+'I) Dépenses thématiques'!O157</f>
        <v>0</v>
      </c>
      <c r="I158" s="326">
        <f>'K) Plafonnement aide'!J157</f>
        <v>0</v>
      </c>
      <c r="J158" s="329">
        <f>'J) Plafonnement effort'!I157</f>
        <v>0</v>
      </c>
      <c r="K158" s="326">
        <f>+'L) Plafonnement taux'!Q158</f>
        <v>0</v>
      </c>
      <c r="L158" s="324">
        <f t="shared" si="4"/>
        <v>2056516.8945754264</v>
      </c>
      <c r="M158" s="233">
        <f>'M) Police'!O158</f>
        <v>71198.726848144564</v>
      </c>
      <c r="N158" s="233">
        <f t="shared" si="5"/>
        <v>2127715.6214235709</v>
      </c>
      <c r="P158" s="470"/>
      <c r="R158" s="332"/>
    </row>
    <row r="159" spans="1:18" s="162" customFormat="1" x14ac:dyDescent="0.25">
      <c r="A159" s="159">
        <f>'B) D RI'!A160</f>
        <v>5652</v>
      </c>
      <c r="B159" s="160" t="str">
        <f>'B) D RI'!B160</f>
        <v>Villars-sous-Yens</v>
      </c>
      <c r="C159" s="327">
        <f>'B) D RI'!S160</f>
        <v>76</v>
      </c>
      <c r="D159" s="161">
        <f>'B) D RI'!AR160</f>
        <v>608</v>
      </c>
      <c r="E159" s="325">
        <f>'D) Ecrêtage'!M158</f>
        <v>29800.949188596489</v>
      </c>
      <c r="F159" s="329">
        <f>'E) Fact soc'!G164</f>
        <v>467761.38795982074</v>
      </c>
      <c r="G159" s="326">
        <f>'H) Péréquation directe'!I169</f>
        <v>504923.87652521412</v>
      </c>
      <c r="H159" s="329">
        <f>+'I) Dépenses thématiques'!O158</f>
        <v>0</v>
      </c>
      <c r="I159" s="326">
        <f>'K) Plafonnement aide'!J158</f>
        <v>0</v>
      </c>
      <c r="J159" s="329">
        <f>'J) Plafonnement effort'!I158</f>
        <v>0</v>
      </c>
      <c r="K159" s="326">
        <f>+'L) Plafonnement taux'!Q159</f>
        <v>0</v>
      </c>
      <c r="L159" s="324">
        <f t="shared" si="4"/>
        <v>972685.26448503486</v>
      </c>
      <c r="M159" s="233">
        <f>'M) Police'!O159</f>
        <v>89174.505847052758</v>
      </c>
      <c r="N159" s="233">
        <f t="shared" si="5"/>
        <v>1061859.7703320875</v>
      </c>
      <c r="P159" s="470"/>
      <c r="R159" s="332"/>
    </row>
    <row r="160" spans="1:18" s="162" customFormat="1" x14ac:dyDescent="0.25">
      <c r="A160" s="159">
        <f>'B) D RI'!A161</f>
        <v>5653</v>
      </c>
      <c r="B160" s="160" t="str">
        <f>'B) D RI'!B161</f>
        <v>Vufflens-le-Château</v>
      </c>
      <c r="C160" s="327">
        <f>'B) D RI'!S161</f>
        <v>55</v>
      </c>
      <c r="D160" s="161">
        <f>'B) D RI'!AR161</f>
        <v>886</v>
      </c>
      <c r="E160" s="325">
        <f>'D) Ecrêtage'!M159</f>
        <v>59637.912560059514</v>
      </c>
      <c r="F160" s="329">
        <f>'E) Fact soc'!G165</f>
        <v>1261877.4711887243</v>
      </c>
      <c r="G160" s="326">
        <f>'H) Péréquation directe'!I170</f>
        <v>1043498.1522243101</v>
      </c>
      <c r="H160" s="329">
        <f>+'I) Dépenses thématiques'!O159</f>
        <v>0</v>
      </c>
      <c r="I160" s="326">
        <f>'K) Plafonnement aide'!J159</f>
        <v>0</v>
      </c>
      <c r="J160" s="329">
        <f>'J) Plafonnement effort'!I159</f>
        <v>0</v>
      </c>
      <c r="K160" s="326">
        <f>+'L) Plafonnement taux'!Q160</f>
        <v>0</v>
      </c>
      <c r="L160" s="324">
        <f t="shared" si="4"/>
        <v>2305375.6234130342</v>
      </c>
      <c r="M160" s="233">
        <f>'M) Police'!O160</f>
        <v>150105.93636545545</v>
      </c>
      <c r="N160" s="233">
        <f t="shared" si="5"/>
        <v>2455481.5597784896</v>
      </c>
      <c r="P160" s="470"/>
      <c r="R160" s="332"/>
    </row>
    <row r="161" spans="1:18" s="162" customFormat="1" x14ac:dyDescent="0.25">
      <c r="A161" s="159">
        <f>'B) D RI'!A162</f>
        <v>5654</v>
      </c>
      <c r="B161" s="160" t="str">
        <f>'B) D RI'!B162</f>
        <v>Vullierens</v>
      </c>
      <c r="C161" s="327">
        <f>'B) D RI'!S162</f>
        <v>76</v>
      </c>
      <c r="D161" s="161">
        <f>'B) D RI'!AR162</f>
        <v>507</v>
      </c>
      <c r="E161" s="325">
        <f>'D) Ecrêtage'!M160</f>
        <v>19280.901315789473</v>
      </c>
      <c r="F161" s="329">
        <f>'E) Fact soc'!G166</f>
        <v>338987.06926388695</v>
      </c>
      <c r="G161" s="326">
        <f>'H) Péréquation directe'!I171</f>
        <v>233550.73476559701</v>
      </c>
      <c r="H161" s="329">
        <f>+'I) Dépenses thématiques'!O160</f>
        <v>0</v>
      </c>
      <c r="I161" s="326">
        <f>'K) Plafonnement aide'!J160</f>
        <v>0</v>
      </c>
      <c r="J161" s="329">
        <f>'J) Plafonnement effort'!I160</f>
        <v>0</v>
      </c>
      <c r="K161" s="326">
        <f>+'L) Plafonnement taux'!Q161</f>
        <v>0</v>
      </c>
      <c r="L161" s="324">
        <f t="shared" si="4"/>
        <v>572537.80402948393</v>
      </c>
      <c r="M161" s="233">
        <f>'M) Police'!O161</f>
        <v>60000.116008502213</v>
      </c>
      <c r="N161" s="233">
        <f t="shared" si="5"/>
        <v>632537.92003798613</v>
      </c>
      <c r="P161" s="470"/>
      <c r="R161" s="332"/>
    </row>
    <row r="162" spans="1:18" s="162" customFormat="1" x14ac:dyDescent="0.25">
      <c r="A162" s="159">
        <f>'B) D RI'!A163</f>
        <v>5655</v>
      </c>
      <c r="B162" s="160" t="str">
        <f>'B) D RI'!B163</f>
        <v>Yens</v>
      </c>
      <c r="C162" s="327">
        <f>'B) D RI'!S163</f>
        <v>73</v>
      </c>
      <c r="D162" s="161">
        <f>'B) D RI'!AR163</f>
        <v>1429</v>
      </c>
      <c r="E162" s="325">
        <f>'D) Ecrêtage'!M161</f>
        <v>85859.778494703729</v>
      </c>
      <c r="F162" s="329">
        <f>'E) Fact soc'!G167</f>
        <v>1612316.3789164606</v>
      </c>
      <c r="G162" s="326">
        <f>'H) Péréquation directe'!I172</f>
        <v>1379837.4994128449</v>
      </c>
      <c r="H162" s="329">
        <f>+'I) Dépenses thématiques'!O161</f>
        <v>0</v>
      </c>
      <c r="I162" s="326">
        <f>'K) Plafonnement aide'!J161</f>
        <v>0</v>
      </c>
      <c r="J162" s="329">
        <f>'J) Plafonnement effort'!I161</f>
        <v>0</v>
      </c>
      <c r="K162" s="326">
        <f>+'L) Plafonnement taux'!Q162</f>
        <v>0</v>
      </c>
      <c r="L162" s="324">
        <f t="shared" si="4"/>
        <v>2992153.8783293054</v>
      </c>
      <c r="M162" s="233">
        <f>'M) Police'!O162</f>
        <v>229258.14665425982</v>
      </c>
      <c r="N162" s="233">
        <f t="shared" si="5"/>
        <v>3221412.0249835653</v>
      </c>
      <c r="P162" s="470"/>
      <c r="R162" s="332"/>
    </row>
    <row r="163" spans="1:18" s="162" customFormat="1" x14ac:dyDescent="0.25">
      <c r="A163" s="159">
        <f>'B) D RI'!A164</f>
        <v>5661</v>
      </c>
      <c r="B163" s="160" t="str">
        <f>'B) D RI'!B164</f>
        <v>Boulens</v>
      </c>
      <c r="C163" s="327">
        <f>'B) D RI'!S164</f>
        <v>79</v>
      </c>
      <c r="D163" s="161">
        <f>'B) D RI'!AR164</f>
        <v>384</v>
      </c>
      <c r="E163" s="325">
        <f>'D) Ecrêtage'!M162</f>
        <v>10339.57164556962</v>
      </c>
      <c r="F163" s="329">
        <f>'E) Fact soc'!G168</f>
        <v>166043.79914679646</v>
      </c>
      <c r="G163" s="326">
        <f>'H) Péréquation directe'!I173</f>
        <v>-14671.891542425175</v>
      </c>
      <c r="H163" s="329">
        <f>+'I) Dépenses thématiques'!O162</f>
        <v>-13461.065741439419</v>
      </c>
      <c r="I163" s="326">
        <f>'K) Plafonnement aide'!J162</f>
        <v>0</v>
      </c>
      <c r="J163" s="329">
        <f>'J) Plafonnement effort'!I162</f>
        <v>0</v>
      </c>
      <c r="K163" s="326">
        <f>+'L) Plafonnement taux'!Q163</f>
        <v>0</v>
      </c>
      <c r="L163" s="324">
        <f t="shared" si="4"/>
        <v>137910.84186293188</v>
      </c>
      <c r="M163" s="233">
        <f>'M) Police'!O163</f>
        <v>32231.829300183967</v>
      </c>
      <c r="N163" s="233">
        <f t="shared" si="5"/>
        <v>170142.67116311585</v>
      </c>
      <c r="P163" s="470"/>
      <c r="R163" s="332"/>
    </row>
    <row r="164" spans="1:18" s="162" customFormat="1" x14ac:dyDescent="0.25">
      <c r="A164" s="159">
        <f>'B) D RI'!A165</f>
        <v>5663</v>
      </c>
      <c r="B164" s="160" t="str">
        <f>'B) D RI'!B165</f>
        <v>Bussy-sur-Moudon</v>
      </c>
      <c r="C164" s="327">
        <f>'B) D RI'!S165</f>
        <v>80</v>
      </c>
      <c r="D164" s="161">
        <f>'B) D RI'!AR165</f>
        <v>214</v>
      </c>
      <c r="E164" s="325">
        <f>'D) Ecrêtage'!M163</f>
        <v>5294.5642500000013</v>
      </c>
      <c r="F164" s="329">
        <f>'E) Fact soc'!G169</f>
        <v>84719.264404549074</v>
      </c>
      <c r="G164" s="326">
        <f>'H) Péréquation directe'!I174</f>
        <v>-31383.236271259957</v>
      </c>
      <c r="H164" s="329">
        <f>+'I) Dépenses thématiques'!O163</f>
        <v>-63805.084298378992</v>
      </c>
      <c r="I164" s="326">
        <f>'K) Plafonnement aide'!J163</f>
        <v>0</v>
      </c>
      <c r="J164" s="329">
        <f>'J) Plafonnement effort'!I163</f>
        <v>0</v>
      </c>
      <c r="K164" s="326">
        <f>+'L) Plafonnement taux'!Q164</f>
        <v>0</v>
      </c>
      <c r="L164" s="324">
        <f t="shared" si="4"/>
        <v>-10469.056165089874</v>
      </c>
      <c r="M164" s="233">
        <f>'M) Police'!O164</f>
        <v>16403.74311638889</v>
      </c>
      <c r="N164" s="233">
        <f t="shared" si="5"/>
        <v>5934.6869512990161</v>
      </c>
      <c r="P164" s="470"/>
      <c r="R164" s="332"/>
    </row>
    <row r="165" spans="1:18" s="162" customFormat="1" x14ac:dyDescent="0.25">
      <c r="A165" s="159">
        <f>'B) D RI'!A166</f>
        <v>5665</v>
      </c>
      <c r="B165" s="160" t="str">
        <f>'B) D RI'!B166</f>
        <v>Chavannes-sur-Moudon</v>
      </c>
      <c r="C165" s="327">
        <f>'B) D RI'!S166</f>
        <v>73</v>
      </c>
      <c r="D165" s="161">
        <f>'B) D RI'!AR166</f>
        <v>216</v>
      </c>
      <c r="E165" s="325">
        <f>'D) Ecrêtage'!M164</f>
        <v>4618.4299999999994</v>
      </c>
      <c r="F165" s="329">
        <f>'E) Fact soc'!G170</f>
        <v>77184.68099710028</v>
      </c>
      <c r="G165" s="326">
        <f>'H) Péréquation directe'!I175</f>
        <v>-42136.726136773766</v>
      </c>
      <c r="H165" s="329">
        <f>+'I) Dépenses thématiques'!O164</f>
        <v>-9350.4813001923339</v>
      </c>
      <c r="I165" s="326">
        <f>'K) Plafonnement aide'!J164</f>
        <v>0</v>
      </c>
      <c r="J165" s="329">
        <f>'J) Plafonnement effort'!I164</f>
        <v>0</v>
      </c>
      <c r="K165" s="326">
        <f>+'L) Plafonnement taux'!Q165</f>
        <v>0</v>
      </c>
      <c r="L165" s="324">
        <f t="shared" si="4"/>
        <v>25697.473560134182</v>
      </c>
      <c r="M165" s="233">
        <f>'M) Police'!O165</f>
        <v>14314.531450363193</v>
      </c>
      <c r="N165" s="233">
        <f t="shared" si="5"/>
        <v>40012.005010497378</v>
      </c>
      <c r="P165" s="470"/>
      <c r="R165" s="332"/>
    </row>
    <row r="166" spans="1:18" s="162" customFormat="1" x14ac:dyDescent="0.25">
      <c r="A166" s="159">
        <f>'B) D RI'!A167</f>
        <v>5669</v>
      </c>
      <c r="B166" s="160" t="str">
        <f>'B) D RI'!B167</f>
        <v>Curtilles</v>
      </c>
      <c r="C166" s="327">
        <f>'B) D RI'!S167</f>
        <v>75</v>
      </c>
      <c r="D166" s="161">
        <f>'B) D RI'!AR167</f>
        <v>313</v>
      </c>
      <c r="E166" s="325">
        <f>'D) Ecrêtage'!M165</f>
        <v>7795.8649333333315</v>
      </c>
      <c r="F166" s="329">
        <f>'E) Fact soc'!G171</f>
        <v>125178.15348946799</v>
      </c>
      <c r="G166" s="326">
        <f>'H) Péréquation directe'!I176</f>
        <v>-24184.004112151713</v>
      </c>
      <c r="H166" s="329">
        <f>+'I) Dépenses thématiques'!O165</f>
        <v>-17150.395837805048</v>
      </c>
      <c r="I166" s="326">
        <f>'K) Plafonnement aide'!J165</f>
        <v>0</v>
      </c>
      <c r="J166" s="329">
        <f>'J) Plafonnement effort'!I165</f>
        <v>0</v>
      </c>
      <c r="K166" s="326">
        <f>+'L) Plafonnement taux'!Q166</f>
        <v>0</v>
      </c>
      <c r="L166" s="324">
        <f t="shared" si="4"/>
        <v>83843.753539511235</v>
      </c>
      <c r="M166" s="233">
        <f>'M) Police'!O166</f>
        <v>24032.8676653984</v>
      </c>
      <c r="N166" s="233">
        <f t="shared" si="5"/>
        <v>107876.62120490964</v>
      </c>
      <c r="P166" s="470"/>
      <c r="R166" s="332"/>
    </row>
    <row r="167" spans="1:18" s="162" customFormat="1" x14ac:dyDescent="0.25">
      <c r="A167" s="159">
        <f>'B) D RI'!A168</f>
        <v>5671</v>
      </c>
      <c r="B167" s="160" t="str">
        <f>'B) D RI'!B168</f>
        <v>Dompierre</v>
      </c>
      <c r="C167" s="327">
        <f>'B) D RI'!S168</f>
        <v>80</v>
      </c>
      <c r="D167" s="161">
        <f>'B) D RI'!AR168</f>
        <v>239</v>
      </c>
      <c r="E167" s="325">
        <f>'D) Ecrêtage'!M166</f>
        <v>6158.8938749999998</v>
      </c>
      <c r="F167" s="329">
        <f>'E) Fact soc'!G172</f>
        <v>107355.22693352932</v>
      </c>
      <c r="G167" s="326">
        <f>'H) Péréquation directe'!I177</f>
        <v>-24138.115558300051</v>
      </c>
      <c r="H167" s="329">
        <f>+'I) Dépenses thématiques'!O166</f>
        <v>-63591.539126021024</v>
      </c>
      <c r="I167" s="326">
        <f>'K) Plafonnement aide'!J166</f>
        <v>0</v>
      </c>
      <c r="J167" s="329">
        <f>'J) Plafonnement effort'!I166</f>
        <v>0</v>
      </c>
      <c r="K167" s="326">
        <f>+'L) Plafonnement taux'!Q167</f>
        <v>0</v>
      </c>
      <c r="L167" s="324">
        <f t="shared" si="4"/>
        <v>19625.57224920825</v>
      </c>
      <c r="M167" s="233">
        <f>'M) Police'!O167</f>
        <v>19154.904942812602</v>
      </c>
      <c r="N167" s="233">
        <f t="shared" si="5"/>
        <v>38780.477192020851</v>
      </c>
      <c r="P167" s="470"/>
      <c r="R167" s="332"/>
    </row>
    <row r="168" spans="1:18" s="162" customFormat="1" x14ac:dyDescent="0.25">
      <c r="A168" s="159">
        <f>'B) D RI'!A169</f>
        <v>5673</v>
      </c>
      <c r="B168" s="160" t="str">
        <f>'B) D RI'!B169</f>
        <v>Hermenches</v>
      </c>
      <c r="C168" s="327">
        <f>'B) D RI'!S169</f>
        <v>75</v>
      </c>
      <c r="D168" s="161">
        <f>'B) D RI'!AR169</f>
        <v>364</v>
      </c>
      <c r="E168" s="325">
        <f>'D) Ecrêtage'!M167</f>
        <v>9293.9345333333331</v>
      </c>
      <c r="F168" s="329">
        <f>'E) Fact soc'!G173</f>
        <v>148872.67982594029</v>
      </c>
      <c r="G168" s="326">
        <f>'H) Péréquation directe'!I178</f>
        <v>-18712.635864042095</v>
      </c>
      <c r="H168" s="329">
        <f>+'I) Dépenses thématiques'!O167</f>
        <v>-169240.93528966341</v>
      </c>
      <c r="I168" s="326">
        <f>'K) Plafonnement aide'!J167</f>
        <v>0</v>
      </c>
      <c r="J168" s="329">
        <f>'J) Plafonnement effort'!I167</f>
        <v>0</v>
      </c>
      <c r="K168" s="326">
        <f>+'L) Plafonnement taux'!Q168</f>
        <v>0</v>
      </c>
      <c r="L168" s="324">
        <f t="shared" ref="L168:L220" si="6">F168+G168+H168+I168+J168+K168</f>
        <v>-39080.891327765217</v>
      </c>
      <c r="M168" s="233">
        <f>'M) Police'!O168</f>
        <v>28895.52630920208</v>
      </c>
      <c r="N168" s="233">
        <f t="shared" si="5"/>
        <v>-10185.365018563138</v>
      </c>
      <c r="P168" s="470"/>
      <c r="R168" s="332"/>
    </row>
    <row r="169" spans="1:18" s="162" customFormat="1" x14ac:dyDescent="0.25">
      <c r="A169" s="159">
        <f>'B) D RI'!A170</f>
        <v>5674</v>
      </c>
      <c r="B169" s="160" t="str">
        <f>'B) D RI'!B170</f>
        <v>Lovatens</v>
      </c>
      <c r="C169" s="327">
        <f>'B) D RI'!S170</f>
        <v>75</v>
      </c>
      <c r="D169" s="161">
        <f>'B) D RI'!AR170</f>
        <v>146</v>
      </c>
      <c r="E169" s="325">
        <f>'D) Ecrêtage'!M168</f>
        <v>3277.031161904762</v>
      </c>
      <c r="F169" s="329">
        <f>'E) Fact soc'!G174</f>
        <v>61508.899221477288</v>
      </c>
      <c r="G169" s="326">
        <f>'H) Péréquation directe'!I179</f>
        <v>-26127.879546662305</v>
      </c>
      <c r="H169" s="329">
        <f>+'I) Dépenses thématiques'!O168</f>
        <v>-16931.921069519067</v>
      </c>
      <c r="I169" s="326">
        <f>'K) Plafonnement aide'!J168</f>
        <v>0</v>
      </c>
      <c r="J169" s="329">
        <f>'J) Plafonnement effort'!I168</f>
        <v>0</v>
      </c>
      <c r="K169" s="326">
        <f>+'L) Plafonnement taux'!Q169</f>
        <v>0</v>
      </c>
      <c r="L169" s="324">
        <f t="shared" si="6"/>
        <v>18449.098605295916</v>
      </c>
      <c r="M169" s="233">
        <f>'M) Police'!O169</f>
        <v>10147.2681142821</v>
      </c>
      <c r="N169" s="233">
        <f t="shared" si="5"/>
        <v>28596.366719578014</v>
      </c>
      <c r="P169" s="470"/>
      <c r="R169" s="332"/>
    </row>
    <row r="170" spans="1:18" s="162" customFormat="1" x14ac:dyDescent="0.25">
      <c r="A170" s="159">
        <f>'B) D RI'!A171</f>
        <v>5675</v>
      </c>
      <c r="B170" s="160" t="str">
        <f>'B) D RI'!B171</f>
        <v>Lucens</v>
      </c>
      <c r="C170" s="327">
        <f>'B) D RI'!S171</f>
        <v>69</v>
      </c>
      <c r="D170" s="161">
        <f>'B) D RI'!AR171</f>
        <v>4199</v>
      </c>
      <c r="E170" s="325">
        <f>'D) Ecrêtage'!M169</f>
        <v>92142.722793148874</v>
      </c>
      <c r="F170" s="329">
        <f>'E) Fact soc'!G175</f>
        <v>1693316.2044166827</v>
      </c>
      <c r="G170" s="326">
        <f>'H) Péréquation directe'!I180</f>
        <v>-1484051.3170877222</v>
      </c>
      <c r="H170" s="329">
        <f>+'I) Dépenses thématiques'!O169</f>
        <v>-420790.41606651933</v>
      </c>
      <c r="I170" s="326">
        <f>'K) Plafonnement aide'!J169</f>
        <v>0</v>
      </c>
      <c r="J170" s="329">
        <f>'J) Plafonnement effort'!I169</f>
        <v>0</v>
      </c>
      <c r="K170" s="326">
        <f>+'L) Plafonnement taux'!Q170</f>
        <v>0</v>
      </c>
      <c r="L170" s="324">
        <f t="shared" ref="L170" si="7">F170+G170+H170+I170+J170+K170</f>
        <v>-211525.52873755887</v>
      </c>
      <c r="M170" s="233">
        <f>'M) Police'!O170</f>
        <v>279167.61040940473</v>
      </c>
      <c r="N170" s="233">
        <f t="shared" ref="N170" si="8">L170+M170</f>
        <v>67642.081671845866</v>
      </c>
      <c r="P170" s="470"/>
      <c r="R170" s="332"/>
    </row>
    <row r="171" spans="1:18" s="162" customFormat="1" x14ac:dyDescent="0.25">
      <c r="A171" s="159">
        <f>'B) D RI'!A172</f>
        <v>5678</v>
      </c>
      <c r="B171" s="160" t="str">
        <f>'B) D RI'!B172</f>
        <v>Moudon</v>
      </c>
      <c r="C171" s="327">
        <f>'B) D RI'!S172</f>
        <v>75</v>
      </c>
      <c r="D171" s="161">
        <f>'B) D RI'!AR172</f>
        <v>6135</v>
      </c>
      <c r="E171" s="325">
        <f>'D) Ecrêtage'!M170</f>
        <v>119798.79359999999</v>
      </c>
      <c r="F171" s="329">
        <f>'E) Fact soc'!G176</f>
        <v>2168276.5612995559</v>
      </c>
      <c r="G171" s="326">
        <f>'H) Péréquation directe'!I181</f>
        <v>-3703198.3605046794</v>
      </c>
      <c r="H171" s="329">
        <f>+'I) Dépenses thématiques'!O170</f>
        <v>-1175253.2451817978</v>
      </c>
      <c r="I171" s="326">
        <f>'K) Plafonnement aide'!J170</f>
        <v>756229.64080512337</v>
      </c>
      <c r="J171" s="329">
        <f>'J) Plafonnement effort'!I170</f>
        <v>0</v>
      </c>
      <c r="K171" s="326">
        <f>+'L) Plafonnement taux'!Q171</f>
        <v>0</v>
      </c>
      <c r="L171" s="324">
        <f t="shared" si="6"/>
        <v>-1953945.4035817981</v>
      </c>
      <c r="M171" s="233">
        <f>'M) Police'!O171</f>
        <v>364563.69796867098</v>
      </c>
      <c r="N171" s="233">
        <f t="shared" si="5"/>
        <v>-1589381.705613127</v>
      </c>
      <c r="P171" s="470"/>
      <c r="R171" s="332"/>
    </row>
    <row r="172" spans="1:18" s="162" customFormat="1" x14ac:dyDescent="0.25">
      <c r="A172" s="159">
        <f>'B) D RI'!A173</f>
        <v>5680</v>
      </c>
      <c r="B172" s="160" t="str">
        <f>'B) D RI'!B173</f>
        <v>Ogens</v>
      </c>
      <c r="C172" s="327">
        <f>'B) D RI'!S173</f>
        <v>78</v>
      </c>
      <c r="D172" s="161">
        <f>'B) D RI'!AR173</f>
        <v>299</v>
      </c>
      <c r="E172" s="325">
        <f>'D) Ecrêtage'!M171</f>
        <v>6445.3270940170942</v>
      </c>
      <c r="F172" s="329">
        <f>'E) Fact soc'!G177</f>
        <v>123225.63313279285</v>
      </c>
      <c r="G172" s="326">
        <f>'H) Péréquation directe'!I182</f>
        <v>-77299.946176535435</v>
      </c>
      <c r="H172" s="329">
        <f>+'I) Dépenses thématiques'!O171</f>
        <v>-14077.417443137932</v>
      </c>
      <c r="I172" s="326">
        <f>'K) Plafonnement aide'!J171</f>
        <v>0</v>
      </c>
      <c r="J172" s="329">
        <f>'J) Plafonnement effort'!I171</f>
        <v>0</v>
      </c>
      <c r="K172" s="326">
        <f>+'L) Plafonnement taux'!Q172</f>
        <v>0</v>
      </c>
      <c r="L172" s="324">
        <f t="shared" si="6"/>
        <v>31848.269513119481</v>
      </c>
      <c r="M172" s="233">
        <f>'M) Police'!O172</f>
        <v>19766.879191510478</v>
      </c>
      <c r="N172" s="233">
        <f t="shared" si="5"/>
        <v>51615.148704629959</v>
      </c>
      <c r="P172" s="470"/>
      <c r="R172" s="332"/>
    </row>
    <row r="173" spans="1:18" s="162" customFormat="1" x14ac:dyDescent="0.25">
      <c r="A173" s="159">
        <f>'B) D RI'!A174</f>
        <v>5683</v>
      </c>
      <c r="B173" s="160" t="str">
        <f>'B) D RI'!B174</f>
        <v>Prévonloup</v>
      </c>
      <c r="C173" s="327">
        <f>'B) D RI'!S174</f>
        <v>74</v>
      </c>
      <c r="D173" s="161">
        <f>'B) D RI'!AR174</f>
        <v>184</v>
      </c>
      <c r="E173" s="325">
        <f>'D) Ecrêtage'!M172</f>
        <v>3724.6422972972978</v>
      </c>
      <c r="F173" s="329">
        <f>'E) Fact soc'!G178</f>
        <v>68701.339579917214</v>
      </c>
      <c r="G173" s="326">
        <f>'H) Péréquation directe'!I183</f>
        <v>-46971.610127380001</v>
      </c>
      <c r="H173" s="329">
        <f>+'I) Dépenses thématiques'!O172</f>
        <v>-14533.879827347313</v>
      </c>
      <c r="I173" s="326">
        <f>'K) Plafonnement aide'!J172</f>
        <v>0</v>
      </c>
      <c r="J173" s="329">
        <f>'J) Plafonnement effort'!I172</f>
        <v>0</v>
      </c>
      <c r="K173" s="326">
        <f>+'L) Plafonnement taux'!Q173</f>
        <v>0</v>
      </c>
      <c r="L173" s="324">
        <f t="shared" si="6"/>
        <v>7195.8496251898996</v>
      </c>
      <c r="M173" s="233">
        <f>'M) Police'!O173</f>
        <v>11468.969441255485</v>
      </c>
      <c r="N173" s="233">
        <f t="shared" si="5"/>
        <v>18664.819066445387</v>
      </c>
      <c r="P173" s="470"/>
      <c r="R173" s="332"/>
    </row>
    <row r="174" spans="1:18" s="162" customFormat="1" x14ac:dyDescent="0.25">
      <c r="A174" s="159">
        <f>'B) D RI'!A175</f>
        <v>5684</v>
      </c>
      <c r="B174" s="160" t="str">
        <f>'B) D RI'!B175</f>
        <v>Rossenges</v>
      </c>
      <c r="C174" s="327">
        <f>'B) D RI'!S175</f>
        <v>75</v>
      </c>
      <c r="D174" s="161">
        <f>'B) D RI'!AR175</f>
        <v>65</v>
      </c>
      <c r="E174" s="325">
        <f>'D) Ecrêtage'!M173</f>
        <v>1951.4436666666666</v>
      </c>
      <c r="F174" s="329">
        <f>'E) Fact soc'!G179</f>
        <v>34512.654681023283</v>
      </c>
      <c r="G174" s="326">
        <f>'H) Péréquation directe'!I184</f>
        <v>8714.2299796066145</v>
      </c>
      <c r="H174" s="329">
        <f>+'I) Dépenses thématiques'!O173</f>
        <v>0</v>
      </c>
      <c r="I174" s="326">
        <f>'K) Plafonnement aide'!J173</f>
        <v>0</v>
      </c>
      <c r="J174" s="329">
        <f>'J) Plafonnement effort'!I173</f>
        <v>0</v>
      </c>
      <c r="K174" s="326">
        <f>+'L) Plafonnement taux'!Q174</f>
        <v>0</v>
      </c>
      <c r="L174" s="324">
        <f t="shared" si="6"/>
        <v>43226.884660629898</v>
      </c>
      <c r="M174" s="233">
        <f>'M) Police'!O174</f>
        <v>6114.0317042004172</v>
      </c>
      <c r="N174" s="233">
        <f t="shared" si="5"/>
        <v>49340.916364830315</v>
      </c>
      <c r="P174" s="470"/>
      <c r="R174" s="332"/>
    </row>
    <row r="175" spans="1:18" s="162" customFormat="1" x14ac:dyDescent="0.25">
      <c r="A175" s="159">
        <f>'B) D RI'!A176</f>
        <v>5688</v>
      </c>
      <c r="B175" s="160" t="str">
        <f>'B) D RI'!B176</f>
        <v>Syens</v>
      </c>
      <c r="C175" s="327">
        <f>'B) D RI'!S176</f>
        <v>75.599999999999994</v>
      </c>
      <c r="D175" s="161">
        <f>'B) D RI'!AR176</f>
        <v>159</v>
      </c>
      <c r="E175" s="325">
        <f>'D) Ecrêtage'!M174</f>
        <v>3966.9414021164025</v>
      </c>
      <c r="F175" s="329">
        <f>'E) Fact soc'!G180</f>
        <v>75737.065429302034</v>
      </c>
      <c r="G175" s="326">
        <f>'H) Péréquation directe'!I185</f>
        <v>-13153.945284487621</v>
      </c>
      <c r="H175" s="329">
        <f>+'I) Dépenses thématiques'!O174</f>
        <v>-31698.687541350537</v>
      </c>
      <c r="I175" s="326">
        <f>'K) Plafonnement aide'!J174</f>
        <v>0</v>
      </c>
      <c r="J175" s="329">
        <f>'J) Plafonnement effort'!I174</f>
        <v>0</v>
      </c>
      <c r="K175" s="326">
        <f>+'L) Plafonnement taux'!Q175</f>
        <v>0</v>
      </c>
      <c r="L175" s="324">
        <f t="shared" si="6"/>
        <v>30884.432603463876</v>
      </c>
      <c r="M175" s="233">
        <f>'M) Police'!O175</f>
        <v>12233.028859339809</v>
      </c>
      <c r="N175" s="233">
        <f t="shared" si="5"/>
        <v>43117.461462803687</v>
      </c>
      <c r="P175" s="470"/>
      <c r="R175" s="332"/>
    </row>
    <row r="176" spans="1:18" s="162" customFormat="1" x14ac:dyDescent="0.25">
      <c r="A176" s="159">
        <f>'B) D RI'!A177</f>
        <v>5690</v>
      </c>
      <c r="B176" s="160" t="str">
        <f>'B) D RI'!B177</f>
        <v>Villars-le-Comte</v>
      </c>
      <c r="C176" s="327">
        <f>'B) D RI'!S177</f>
        <v>70</v>
      </c>
      <c r="D176" s="161">
        <f>'B) D RI'!AR177</f>
        <v>132</v>
      </c>
      <c r="E176" s="325">
        <f>'D) Ecrêtage'!M175</f>
        <v>4059.4070238095242</v>
      </c>
      <c r="F176" s="329">
        <f>'E) Fact soc'!G181</f>
        <v>64506.988582704354</v>
      </c>
      <c r="G176" s="326">
        <f>'H) Péréquation directe'!I186</f>
        <v>27119.36932614907</v>
      </c>
      <c r="H176" s="329">
        <f>+'I) Dépenses thématiques'!O175</f>
        <v>0</v>
      </c>
      <c r="I176" s="326">
        <f>'K) Plafonnement aide'!J175</f>
        <v>0</v>
      </c>
      <c r="J176" s="329">
        <f>'J) Plafonnement effort'!I175</f>
        <v>0</v>
      </c>
      <c r="K176" s="326">
        <f>+'L) Plafonnement taux'!Q176</f>
        <v>0</v>
      </c>
      <c r="L176" s="324">
        <f t="shared" si="6"/>
        <v>91626.357908853417</v>
      </c>
      <c r="M176" s="233">
        <f>'M) Police'!O176</f>
        <v>12563.910817963602</v>
      </c>
      <c r="N176" s="233">
        <f t="shared" si="5"/>
        <v>104190.26872681701</v>
      </c>
      <c r="P176" s="470"/>
      <c r="R176" s="332"/>
    </row>
    <row r="177" spans="1:18" s="162" customFormat="1" x14ac:dyDescent="0.25">
      <c r="A177" s="159">
        <f>'B) D RI'!A178</f>
        <v>5692</v>
      </c>
      <c r="B177" s="160" t="str">
        <f>'B) D RI'!B178</f>
        <v>Vucherens</v>
      </c>
      <c r="C177" s="327">
        <f>'B) D RI'!S178</f>
        <v>79</v>
      </c>
      <c r="D177" s="161">
        <f>'B) D RI'!AR178</f>
        <v>577</v>
      </c>
      <c r="E177" s="325">
        <f>'D) Ecrêtage'!M176</f>
        <v>16205.612531645571</v>
      </c>
      <c r="F177" s="329">
        <f>'E) Fact soc'!G182</f>
        <v>315973.93162752211</v>
      </c>
      <c r="G177" s="326">
        <f>'H) Péréquation directe'!I187</f>
        <v>7243.1446300956304</v>
      </c>
      <c r="H177" s="329">
        <f>+'I) Dépenses thématiques'!O176</f>
        <v>-71422.257970634149</v>
      </c>
      <c r="I177" s="326">
        <f>'K) Plafonnement aide'!J176</f>
        <v>0</v>
      </c>
      <c r="J177" s="329">
        <f>'J) Plafonnement effort'!I176</f>
        <v>0</v>
      </c>
      <c r="K177" s="326">
        <f>+'L) Plafonnement taux'!Q177</f>
        <v>0</v>
      </c>
      <c r="L177" s="324">
        <f t="shared" si="6"/>
        <v>251794.81828698359</v>
      </c>
      <c r="M177" s="233">
        <f>'M) Police'!O177</f>
        <v>50271.572168440987</v>
      </c>
      <c r="N177" s="233">
        <f t="shared" si="5"/>
        <v>302066.39045542455</v>
      </c>
      <c r="P177" s="470"/>
      <c r="R177" s="332"/>
    </row>
    <row r="178" spans="1:18" s="162" customFormat="1" x14ac:dyDescent="0.25">
      <c r="A178" s="159">
        <f>'B) D RI'!A179</f>
        <v>5693</v>
      </c>
      <c r="B178" s="160" t="str">
        <f>'B) D RI'!B179</f>
        <v>Montanaire</v>
      </c>
      <c r="C178" s="327">
        <f>'B) D RI'!S179</f>
        <v>72</v>
      </c>
      <c r="D178" s="161">
        <f>'B) D RI'!AR179</f>
        <v>2685</v>
      </c>
      <c r="E178" s="325">
        <f>'D) Ecrêtage'!M177</f>
        <v>69929.896527777775</v>
      </c>
      <c r="F178" s="329">
        <f>'E) Fact soc'!G183</f>
        <v>1192982.5321795845</v>
      </c>
      <c r="G178" s="326">
        <f>'H) Péréquation directe'!I188</f>
        <v>-412671.64256623597</v>
      </c>
      <c r="H178" s="329">
        <f>+'I) Dépenses thématiques'!O177</f>
        <v>-563743.88435663923</v>
      </c>
      <c r="I178" s="326">
        <f>'K) Plafonnement aide'!J177</f>
        <v>0</v>
      </c>
      <c r="J178" s="329">
        <f>'J) Plafonnement effort'!I177</f>
        <v>0</v>
      </c>
      <c r="K178" s="326">
        <f>+'L) Plafonnement taux'!Q178</f>
        <v>0</v>
      </c>
      <c r="L178" s="324">
        <f>F178+G178+H178+I178+J178+K178</f>
        <v>216567.00525670929</v>
      </c>
      <c r="M178" s="233">
        <f>'M) Police'!O178</f>
        <v>216304.49651121564</v>
      </c>
      <c r="N178" s="233">
        <f t="shared" si="5"/>
        <v>432871.50176792493</v>
      </c>
      <c r="P178" s="470"/>
      <c r="R178" s="332"/>
    </row>
    <row r="179" spans="1:18" s="162" customFormat="1" x14ac:dyDescent="0.25">
      <c r="A179" s="159">
        <f>'B) D RI'!A180</f>
        <v>5701</v>
      </c>
      <c r="B179" s="160" t="str">
        <f>'B) D RI'!B180</f>
        <v>Arnex-sur-Nyon</v>
      </c>
      <c r="C179" s="327">
        <f>'B) D RI'!S180</f>
        <v>70</v>
      </c>
      <c r="D179" s="161">
        <f>'B) D RI'!AR180</f>
        <v>235</v>
      </c>
      <c r="E179" s="325">
        <f>'D) Ecrêtage'!M178</f>
        <v>13420.011118625067</v>
      </c>
      <c r="F179" s="329">
        <f>'E) Fact soc'!G184</f>
        <v>282675.570386532</v>
      </c>
      <c r="G179" s="326">
        <f>'H) Péréquation directe'!I189</f>
        <v>231253.77823541252</v>
      </c>
      <c r="H179" s="329">
        <f>+'I) Dépenses thématiques'!O178</f>
        <v>0</v>
      </c>
      <c r="I179" s="326">
        <f>'K) Plafonnement aide'!J178</f>
        <v>0</v>
      </c>
      <c r="J179" s="329">
        <f>'J) Plafonnement effort'!I178</f>
        <v>0</v>
      </c>
      <c r="K179" s="326">
        <f>+'L) Plafonnement taux'!Q179</f>
        <v>0</v>
      </c>
      <c r="L179" s="324">
        <f>F179+G179+H179+I179+J179+K179</f>
        <v>513929.34862194455</v>
      </c>
      <c r="M179" s="233">
        <f>'M) Police'!O179</f>
        <v>36831.622806016312</v>
      </c>
      <c r="N179" s="233">
        <f t="shared" si="5"/>
        <v>550760.9714279609</v>
      </c>
      <c r="P179" s="470"/>
      <c r="R179" s="332"/>
    </row>
    <row r="180" spans="1:18" s="162" customFormat="1" x14ac:dyDescent="0.25">
      <c r="A180" s="159">
        <f>'B) D RI'!A181</f>
        <v>5702</v>
      </c>
      <c r="B180" s="160" t="str">
        <f>'B) D RI'!B181</f>
        <v>Arzier-Le Muids</v>
      </c>
      <c r="C180" s="327">
        <f>'B) D RI'!S181</f>
        <v>64</v>
      </c>
      <c r="D180" s="161">
        <f>'B) D RI'!AR181</f>
        <v>2697</v>
      </c>
      <c r="E180" s="325">
        <f>'D) Ecrêtage'!M179</f>
        <v>171329.69511301353</v>
      </c>
      <c r="F180" s="329">
        <f>'E) Fact soc'!G185</f>
        <v>3788622.0449349219</v>
      </c>
      <c r="G180" s="326">
        <f>'H) Péréquation directe'!I190</f>
        <v>2558819.7069593039</v>
      </c>
      <c r="H180" s="329">
        <f>+'I) Dépenses thématiques'!O179</f>
        <v>-250799.43462582878</v>
      </c>
      <c r="I180" s="326">
        <f>'K) Plafonnement aide'!J179</f>
        <v>0</v>
      </c>
      <c r="J180" s="329">
        <f>'J) Plafonnement effort'!I179</f>
        <v>0</v>
      </c>
      <c r="K180" s="326">
        <f>+'L) Plafonnement taux'!Q180</f>
        <v>0</v>
      </c>
      <c r="L180" s="324">
        <f t="shared" si="6"/>
        <v>6096642.3172683977</v>
      </c>
      <c r="M180" s="233">
        <f>'M) Police'!O180</f>
        <v>444230.47024951363</v>
      </c>
      <c r="N180" s="233">
        <f t="shared" si="5"/>
        <v>6540872.7875179108</v>
      </c>
      <c r="P180" s="470"/>
      <c r="R180" s="332"/>
    </row>
    <row r="181" spans="1:18" s="162" customFormat="1" x14ac:dyDescent="0.25">
      <c r="A181" s="159">
        <f>'B) D RI'!A182</f>
        <v>5703</v>
      </c>
      <c r="B181" s="160" t="str">
        <f>'B) D RI'!B182</f>
        <v>Bassins</v>
      </c>
      <c r="C181" s="327">
        <f>'B) D RI'!S182</f>
        <v>74</v>
      </c>
      <c r="D181" s="161">
        <f>'B) D RI'!AR182</f>
        <v>1347</v>
      </c>
      <c r="E181" s="325">
        <f>'D) Ecrêtage'!M180</f>
        <v>55245.232548262546</v>
      </c>
      <c r="F181" s="329">
        <f>'E) Fact soc'!G186</f>
        <v>1005228.3959755624</v>
      </c>
      <c r="G181" s="326">
        <f>'H) Péréquation directe'!I191</f>
        <v>708808.04754515714</v>
      </c>
      <c r="H181" s="329">
        <f>+'I) Dépenses thématiques'!O180</f>
        <v>-187708.28465300289</v>
      </c>
      <c r="I181" s="326">
        <f>'K) Plafonnement aide'!J180</f>
        <v>0</v>
      </c>
      <c r="J181" s="329">
        <f>'J) Plafonnement effort'!I180</f>
        <v>0</v>
      </c>
      <c r="K181" s="326">
        <f>+'L) Plafonnement taux'!Q181</f>
        <v>0</v>
      </c>
      <c r="L181" s="324">
        <f t="shared" si="6"/>
        <v>1526328.1588677168</v>
      </c>
      <c r="M181" s="233">
        <f>'M) Police'!O181</f>
        <v>170867.87398246245</v>
      </c>
      <c r="N181" s="233">
        <f t="shared" si="5"/>
        <v>1697196.0328501794</v>
      </c>
      <c r="P181" s="470"/>
      <c r="R181" s="332"/>
    </row>
    <row r="182" spans="1:18" s="162" customFormat="1" x14ac:dyDescent="0.25">
      <c r="A182" s="159">
        <f>'B) D RI'!A183</f>
        <v>5704</v>
      </c>
      <c r="B182" s="160" t="str">
        <f>'B) D RI'!B183</f>
        <v>Begnins</v>
      </c>
      <c r="C182" s="327">
        <f>'B) D RI'!S183</f>
        <v>64</v>
      </c>
      <c r="D182" s="161">
        <f>'B) D RI'!AR183</f>
        <v>1952</v>
      </c>
      <c r="E182" s="325">
        <f>'D) Ecrêtage'!M181</f>
        <v>121073.1454283051</v>
      </c>
      <c r="F182" s="329">
        <f>'E) Fact soc'!G187</f>
        <v>2747298.978851926</v>
      </c>
      <c r="G182" s="326">
        <f>'H) Péréquation directe'!I192</f>
        <v>1865369.4434543801</v>
      </c>
      <c r="H182" s="329">
        <f>+'I) Dépenses thématiques'!O181</f>
        <v>0</v>
      </c>
      <c r="I182" s="326">
        <f>'K) Plafonnement aide'!J181</f>
        <v>0</v>
      </c>
      <c r="J182" s="329">
        <f>'J) Plafonnement effort'!I181</f>
        <v>0</v>
      </c>
      <c r="K182" s="326">
        <f>+'L) Plafonnement taux'!Q182</f>
        <v>0</v>
      </c>
      <c r="L182" s="324">
        <f t="shared" si="6"/>
        <v>4612668.4223063067</v>
      </c>
      <c r="M182" s="233">
        <f>'M) Police'!O182</f>
        <v>317876.50808109983</v>
      </c>
      <c r="N182" s="233">
        <f t="shared" si="5"/>
        <v>4930544.9303874066</v>
      </c>
      <c r="P182" s="470"/>
      <c r="R182" s="332"/>
    </row>
    <row r="183" spans="1:18" s="162" customFormat="1" x14ac:dyDescent="0.25">
      <c r="A183" s="159">
        <f>'B) D RI'!A184</f>
        <v>5705</v>
      </c>
      <c r="B183" s="160" t="str">
        <f>'B) D RI'!B184</f>
        <v>Bogis-Bossey</v>
      </c>
      <c r="C183" s="327">
        <f>'B) D RI'!S184</f>
        <v>70</v>
      </c>
      <c r="D183" s="161">
        <f>'B) D RI'!AR184</f>
        <v>867</v>
      </c>
      <c r="E183" s="325">
        <f>'D) Ecrêtage'!M182</f>
        <v>49175.830567814912</v>
      </c>
      <c r="F183" s="329">
        <f>'E) Fact soc'!G188</f>
        <v>927423.95382160798</v>
      </c>
      <c r="G183" s="326">
        <f>'H) Péréquation directe'!I193</f>
        <v>846811.63831432583</v>
      </c>
      <c r="H183" s="329">
        <f>+'I) Dépenses thématiques'!O182</f>
        <v>0</v>
      </c>
      <c r="I183" s="326">
        <f>'K) Plafonnement aide'!J182</f>
        <v>0</v>
      </c>
      <c r="J183" s="329">
        <f>'J) Plafonnement effort'!I182</f>
        <v>0</v>
      </c>
      <c r="K183" s="326">
        <f>+'L) Plafonnement taux'!Q183</f>
        <v>0</v>
      </c>
      <c r="L183" s="324">
        <f t="shared" si="6"/>
        <v>1774235.5921359337</v>
      </c>
      <c r="M183" s="233">
        <f>'M) Police'!O183</f>
        <v>135468.06698532868</v>
      </c>
      <c r="N183" s="233">
        <f t="shared" si="5"/>
        <v>1909703.6591212624</v>
      </c>
      <c r="P183" s="470"/>
      <c r="R183" s="332"/>
    </row>
    <row r="184" spans="1:18" s="162" customFormat="1" x14ac:dyDescent="0.25">
      <c r="A184" s="159">
        <f>'B) D RI'!A185</f>
        <v>5706</v>
      </c>
      <c r="B184" s="160" t="str">
        <f>'B) D RI'!B185</f>
        <v>Borex</v>
      </c>
      <c r="C184" s="327">
        <f>'B) D RI'!S185</f>
        <v>58</v>
      </c>
      <c r="D184" s="161">
        <f>'B) D RI'!AR185</f>
        <v>1140</v>
      </c>
      <c r="E184" s="325">
        <f>'D) Ecrêtage'!M183</f>
        <v>69585.555817171087</v>
      </c>
      <c r="F184" s="329">
        <f>'E) Fact soc'!G189</f>
        <v>1316081.2395999685</v>
      </c>
      <c r="G184" s="326">
        <f>'H) Péréquation directe'!I194</f>
        <v>1171978.76958153</v>
      </c>
      <c r="H184" s="329">
        <f>+'I) Dépenses thématiques'!O183</f>
        <v>0</v>
      </c>
      <c r="I184" s="326">
        <f>'K) Plafonnement aide'!J183</f>
        <v>0</v>
      </c>
      <c r="J184" s="329">
        <f>'J) Plafonnement effort'!I183</f>
        <v>0</v>
      </c>
      <c r="K184" s="326">
        <f>+'L) Plafonnement taux'!Q184</f>
        <v>0</v>
      </c>
      <c r="L184" s="324">
        <f t="shared" si="6"/>
        <v>2488060.0091814985</v>
      </c>
      <c r="M184" s="233">
        <f>'M) Police'!O184</f>
        <v>184248.50542121852</v>
      </c>
      <c r="N184" s="233">
        <f t="shared" si="5"/>
        <v>2672308.514602717</v>
      </c>
      <c r="P184" s="470"/>
      <c r="R184" s="332"/>
    </row>
    <row r="185" spans="1:18" s="162" customFormat="1" x14ac:dyDescent="0.25">
      <c r="A185" s="159">
        <f>'B) D RI'!A186</f>
        <v>5707</v>
      </c>
      <c r="B185" s="160" t="str">
        <f>'B) D RI'!B186</f>
        <v>Chavannes-de-Bogis</v>
      </c>
      <c r="C185" s="327">
        <f>'B) D RI'!S186</f>
        <v>59</v>
      </c>
      <c r="D185" s="161">
        <f>'B) D RI'!AR186</f>
        <v>1281</v>
      </c>
      <c r="E185" s="325">
        <f>'D) Ecrêtage'!M184</f>
        <v>76518.260728975889</v>
      </c>
      <c r="F185" s="329">
        <f>'E) Fact soc'!G190</f>
        <v>1699756.6269108569</v>
      </c>
      <c r="G185" s="326">
        <f>'H) Péréquation directe'!I195</f>
        <v>1254270.6234727127</v>
      </c>
      <c r="H185" s="329">
        <f>+'I) Dépenses thématiques'!O184</f>
        <v>0</v>
      </c>
      <c r="I185" s="326">
        <f>'K) Plafonnement aide'!J184</f>
        <v>0</v>
      </c>
      <c r="J185" s="329">
        <f>'J) Plafonnement effort'!I184</f>
        <v>0</v>
      </c>
      <c r="K185" s="326">
        <f>+'L) Plafonnement taux'!Q185</f>
        <v>0</v>
      </c>
      <c r="L185" s="324">
        <f t="shared" si="6"/>
        <v>2954027.2503835699</v>
      </c>
      <c r="M185" s="233">
        <f>'M) Police'!O185</f>
        <v>204955.67277247593</v>
      </c>
      <c r="N185" s="233">
        <f t="shared" si="5"/>
        <v>3158982.9231560458</v>
      </c>
      <c r="P185" s="470"/>
      <c r="R185" s="332"/>
    </row>
    <row r="186" spans="1:18" s="162" customFormat="1" x14ac:dyDescent="0.25">
      <c r="A186" s="159">
        <f>'B) D RI'!A187</f>
        <v>5708</v>
      </c>
      <c r="B186" s="160" t="str">
        <f>'B) D RI'!B187</f>
        <v>Chavannes-des-Bois</v>
      </c>
      <c r="C186" s="327">
        <f>'B) D RI'!S187</f>
        <v>63</v>
      </c>
      <c r="D186" s="161">
        <f>'B) D RI'!AR187</f>
        <v>964</v>
      </c>
      <c r="E186" s="325">
        <f>'D) Ecrêtage'!M185</f>
        <v>56406.479638173878</v>
      </c>
      <c r="F186" s="329">
        <f>'E) Fact soc'!G191</f>
        <v>1076725.4096088323</v>
      </c>
      <c r="G186" s="326">
        <f>'H) Péréquation directe'!I196</f>
        <v>974368.98984887265</v>
      </c>
      <c r="H186" s="329">
        <f>+'I) Dépenses thématiques'!O185</f>
        <v>0</v>
      </c>
      <c r="I186" s="326">
        <f>'K) Plafonnement aide'!J185</f>
        <v>0</v>
      </c>
      <c r="J186" s="329">
        <f>'J) Plafonnement effort'!I185</f>
        <v>0</v>
      </c>
      <c r="K186" s="326">
        <f>+'L) Plafonnement taux'!Q186</f>
        <v>0</v>
      </c>
      <c r="L186" s="324">
        <f t="shared" si="6"/>
        <v>2051094.399457705</v>
      </c>
      <c r="M186" s="233">
        <f>'M) Police'!O186</f>
        <v>152774.00147751102</v>
      </c>
      <c r="N186" s="233">
        <f t="shared" si="5"/>
        <v>2203868.4009352159</v>
      </c>
      <c r="P186" s="470"/>
      <c r="R186" s="332"/>
    </row>
    <row r="187" spans="1:18" s="162" customFormat="1" x14ac:dyDescent="0.25">
      <c r="A187" s="159">
        <f>'B) D RI'!A188</f>
        <v>5709</v>
      </c>
      <c r="B187" s="160" t="str">
        <f>'B) D RI'!B188</f>
        <v>Chéserex</v>
      </c>
      <c r="C187" s="327">
        <f>'B) D RI'!S188</f>
        <v>57</v>
      </c>
      <c r="D187" s="161">
        <f>'B) D RI'!AR188</f>
        <v>1227</v>
      </c>
      <c r="E187" s="325">
        <f>'D) Ecrêtage'!M186</f>
        <v>100234.2316147745</v>
      </c>
      <c r="F187" s="329">
        <f>'E) Fact soc'!G192</f>
        <v>2626349.1521841721</v>
      </c>
      <c r="G187" s="326">
        <f>'H) Péréquation directe'!I197</f>
        <v>1723313.1215378805</v>
      </c>
      <c r="H187" s="329">
        <f>+'I) Dépenses thématiques'!O186</f>
        <v>0</v>
      </c>
      <c r="I187" s="326">
        <f>'K) Plafonnement aide'!J186</f>
        <v>0</v>
      </c>
      <c r="J187" s="329">
        <f>'J) Plafonnement effort'!I186</f>
        <v>0</v>
      </c>
      <c r="K187" s="326">
        <f>+'L) Plafonnement taux'!Q187</f>
        <v>0</v>
      </c>
      <c r="L187" s="324">
        <f t="shared" si="6"/>
        <v>4349662.2737220526</v>
      </c>
      <c r="M187" s="233">
        <f>'M) Police'!O187</f>
        <v>229816.59837347316</v>
      </c>
      <c r="N187" s="233">
        <f t="shared" si="5"/>
        <v>4579478.8720955253</v>
      </c>
      <c r="P187" s="470"/>
      <c r="R187" s="332"/>
    </row>
    <row r="188" spans="1:18" s="162" customFormat="1" x14ac:dyDescent="0.25">
      <c r="A188" s="159">
        <f>'B) D RI'!A189</f>
        <v>5710</v>
      </c>
      <c r="B188" s="160" t="str">
        <f>'B) D RI'!B189</f>
        <v>Coinsins</v>
      </c>
      <c r="C188" s="327">
        <f>'B) D RI'!S189</f>
        <v>51</v>
      </c>
      <c r="D188" s="161">
        <f>'B) D RI'!AR189</f>
        <v>499</v>
      </c>
      <c r="E188" s="325">
        <f>'D) Ecrêtage'!M187</f>
        <v>95888.763306448789</v>
      </c>
      <c r="F188" s="329">
        <f>'E) Fact soc'!G193</f>
        <v>4379369.0760371648</v>
      </c>
      <c r="G188" s="326">
        <f>'H) Péréquation directe'!I198</f>
        <v>1770249.8672108466</v>
      </c>
      <c r="H188" s="329">
        <f>+'I) Dépenses thématiques'!O187</f>
        <v>0</v>
      </c>
      <c r="I188" s="326">
        <f>'K) Plafonnement aide'!J187</f>
        <v>0</v>
      </c>
      <c r="J188" s="329">
        <f>'J) Plafonnement effort'!I187</f>
        <v>-548147.21971860179</v>
      </c>
      <c r="K188" s="326">
        <f>+'L) Plafonnement taux'!Q188</f>
        <v>0</v>
      </c>
      <c r="L188" s="324">
        <f t="shared" si="6"/>
        <v>5601471.7235294096</v>
      </c>
      <c r="M188" s="233">
        <f>'M) Police'!O188</f>
        <v>162008.45674002674</v>
      </c>
      <c r="N188" s="233">
        <f t="shared" si="5"/>
        <v>5763480.180269436</v>
      </c>
      <c r="P188" s="470"/>
      <c r="R188" s="332"/>
    </row>
    <row r="189" spans="1:18" s="162" customFormat="1" x14ac:dyDescent="0.25">
      <c r="A189" s="159">
        <f>'B) D RI'!A190</f>
        <v>5711</v>
      </c>
      <c r="B189" s="160" t="str">
        <f>'B) D RI'!B190</f>
        <v>Commugny</v>
      </c>
      <c r="C189" s="327">
        <f>'B) D RI'!S190</f>
        <v>57</v>
      </c>
      <c r="D189" s="161">
        <f>'B) D RI'!AR190</f>
        <v>2877</v>
      </c>
      <c r="E189" s="325">
        <f>'D) Ecrêtage'!M188</f>
        <v>252295.00727124591</v>
      </c>
      <c r="F189" s="329">
        <f>'E) Fact soc'!G194</f>
        <v>7306631.6523652263</v>
      </c>
      <c r="G189" s="326">
        <f>'H) Péréquation directe'!I199</f>
        <v>4032715.2721145842</v>
      </c>
      <c r="H189" s="329">
        <f>+'I) Dépenses thématiques'!O188</f>
        <v>0</v>
      </c>
      <c r="I189" s="326">
        <f>'K) Plafonnement aide'!J188</f>
        <v>0</v>
      </c>
      <c r="J189" s="329">
        <f>'J) Plafonnement effort'!I188</f>
        <v>0</v>
      </c>
      <c r="K189" s="326">
        <f>+'L) Plafonnement taux'!Q189</f>
        <v>0</v>
      </c>
      <c r="L189" s="324">
        <f t="shared" si="6"/>
        <v>11339346.924479811</v>
      </c>
      <c r="M189" s="233">
        <f>'M) Police'!O189</f>
        <v>560337.2919485484</v>
      </c>
      <c r="N189" s="233">
        <f t="shared" si="5"/>
        <v>11899684.216428358</v>
      </c>
      <c r="P189" s="470"/>
      <c r="R189" s="332"/>
    </row>
    <row r="190" spans="1:18" s="162" customFormat="1" x14ac:dyDescent="0.25">
      <c r="A190" s="159">
        <f>'B) D RI'!A191</f>
        <v>5712</v>
      </c>
      <c r="B190" s="160" t="str">
        <f>'B) D RI'!B191</f>
        <v>Coppet</v>
      </c>
      <c r="C190" s="327">
        <f>'B) D RI'!S191</f>
        <v>53</v>
      </c>
      <c r="D190" s="161">
        <f>'B) D RI'!AR191</f>
        <v>3126</v>
      </c>
      <c r="E190" s="325">
        <f>'D) Ecrêtage'!M189</f>
        <v>301281.02540606516</v>
      </c>
      <c r="F190" s="329">
        <f>'E) Fact soc'!G195</f>
        <v>10468419.984265693</v>
      </c>
      <c r="G190" s="326">
        <f>'H) Péréquation directe'!I200</f>
        <v>4856593.4780579461</v>
      </c>
      <c r="H190" s="329">
        <f>+'I) Dépenses thématiques'!O189</f>
        <v>0</v>
      </c>
      <c r="I190" s="326">
        <f>'K) Plafonnement aide'!J189</f>
        <v>0</v>
      </c>
      <c r="J190" s="329">
        <f>'J) Plafonnement effort'!I189</f>
        <v>-29043.798172694787</v>
      </c>
      <c r="K190" s="326">
        <f>+'L) Plafonnement taux'!Q190</f>
        <v>0</v>
      </c>
      <c r="L190" s="324">
        <f t="shared" si="6"/>
        <v>15295969.664150944</v>
      </c>
      <c r="M190" s="233">
        <f>'M) Police'!O190</f>
        <v>642593.89263840055</v>
      </c>
      <c r="N190" s="233">
        <f t="shared" si="5"/>
        <v>15938563.556789344</v>
      </c>
      <c r="P190" s="470"/>
      <c r="R190" s="332"/>
    </row>
    <row r="191" spans="1:18" s="162" customFormat="1" x14ac:dyDescent="0.25">
      <c r="A191" s="159">
        <f>'B) D RI'!A192</f>
        <v>5713</v>
      </c>
      <c r="B191" s="160" t="str">
        <f>'B) D RI'!B192</f>
        <v>Crans-près-Céligny</v>
      </c>
      <c r="C191" s="327">
        <f>'B) D RI'!S192</f>
        <v>53</v>
      </c>
      <c r="D191" s="161">
        <f>'B) D RI'!AR192</f>
        <v>2193</v>
      </c>
      <c r="E191" s="325">
        <f>'D) Ecrêtage'!M190</f>
        <v>236338.83782444469</v>
      </c>
      <c r="F191" s="329">
        <f>'E) Fact soc'!G196</f>
        <v>8046927.4115113057</v>
      </c>
      <c r="G191" s="326">
        <f>'H) Péréquation directe'!I201</f>
        <v>3969004.5424049608</v>
      </c>
      <c r="H191" s="329">
        <f>+'I) Dépenses thématiques'!O190</f>
        <v>0</v>
      </c>
      <c r="I191" s="326">
        <f>'K) Plafonnement aide'!J190</f>
        <v>0</v>
      </c>
      <c r="J191" s="329">
        <f>'J) Plafonnement effort'!I190</f>
        <v>0</v>
      </c>
      <c r="K191" s="326">
        <f>+'L) Plafonnement taux'!Q191</f>
        <v>0</v>
      </c>
      <c r="L191" s="324">
        <f t="shared" si="6"/>
        <v>12015931.953916267</v>
      </c>
      <c r="M191" s="233">
        <f>'M) Police'!O191</f>
        <v>293877.75754943589</v>
      </c>
      <c r="N191" s="233">
        <f t="shared" si="5"/>
        <v>12309809.711465703</v>
      </c>
      <c r="P191" s="470"/>
      <c r="R191" s="332"/>
    </row>
    <row r="192" spans="1:18" s="162" customFormat="1" x14ac:dyDescent="0.25">
      <c r="A192" s="159">
        <f>'B) D RI'!A193</f>
        <v>5714</v>
      </c>
      <c r="B192" s="160" t="str">
        <f>'B) D RI'!B193</f>
        <v>Crassier</v>
      </c>
      <c r="C192" s="327">
        <f>'B) D RI'!S193</f>
        <v>64</v>
      </c>
      <c r="D192" s="161">
        <f>'B) D RI'!AR193</f>
        <v>1175</v>
      </c>
      <c r="E192" s="325">
        <f>'D) Ecrêtage'!M191</f>
        <v>74882.292060089618</v>
      </c>
      <c r="F192" s="329">
        <f>'E) Fact soc'!G197</f>
        <v>1530291.1204029568</v>
      </c>
      <c r="G192" s="326">
        <f>'H) Péréquation directe'!I202</f>
        <v>1260280.3802384334</v>
      </c>
      <c r="H192" s="329">
        <f>+'I) Dépenses thématiques'!O191</f>
        <v>0</v>
      </c>
      <c r="I192" s="326">
        <f>'K) Plafonnement aide'!J191</f>
        <v>0</v>
      </c>
      <c r="J192" s="329">
        <f>'J) Plafonnement effort'!I191</f>
        <v>0</v>
      </c>
      <c r="K192" s="326">
        <f>+'L) Plafonnement taux'!Q192</f>
        <v>0</v>
      </c>
      <c r="L192" s="324">
        <f t="shared" si="6"/>
        <v>2790571.5006413902</v>
      </c>
      <c r="M192" s="233">
        <f>'M) Police'!O192</f>
        <v>193835.00938373365</v>
      </c>
      <c r="N192" s="233">
        <f t="shared" si="5"/>
        <v>2984406.5100251241</v>
      </c>
      <c r="P192" s="470"/>
      <c r="R192" s="332"/>
    </row>
    <row r="193" spans="1:18" s="162" customFormat="1" x14ac:dyDescent="0.25">
      <c r="A193" s="159">
        <f>'B) D RI'!A194</f>
        <v>5715</v>
      </c>
      <c r="B193" s="160" t="str">
        <f>'B) D RI'!B194</f>
        <v>Duillier</v>
      </c>
      <c r="C193" s="327">
        <f>'B) D RI'!S194</f>
        <v>66</v>
      </c>
      <c r="D193" s="161">
        <f>'B) D RI'!AR194</f>
        <v>1085</v>
      </c>
      <c r="E193" s="325">
        <f>'D) Ecrêtage'!M192</f>
        <v>74237.315453120289</v>
      </c>
      <c r="F193" s="329">
        <f>'E) Fact soc'!G198</f>
        <v>1805068.9162624711</v>
      </c>
      <c r="G193" s="326">
        <f>'H) Péréquation directe'!I203</f>
        <v>1279506.1533660081</v>
      </c>
      <c r="H193" s="329">
        <f>+'I) Dépenses thématiques'!O192</f>
        <v>0</v>
      </c>
      <c r="I193" s="326">
        <f>'K) Plafonnement aide'!J192</f>
        <v>0</v>
      </c>
      <c r="J193" s="329">
        <f>'J) Plafonnement effort'!I192</f>
        <v>0</v>
      </c>
      <c r="K193" s="326">
        <f>+'L) Plafonnement taux'!Q193</f>
        <v>0</v>
      </c>
      <c r="L193" s="324">
        <f t="shared" si="6"/>
        <v>3084575.069628479</v>
      </c>
      <c r="M193" s="233">
        <f>'M) Police'!O193</f>
        <v>185318.13690859941</v>
      </c>
      <c r="N193" s="233">
        <f t="shared" si="5"/>
        <v>3269893.2065370781</v>
      </c>
      <c r="P193" s="470"/>
      <c r="R193" s="332"/>
    </row>
    <row r="194" spans="1:18" s="162" customFormat="1" x14ac:dyDescent="0.25">
      <c r="A194" s="159">
        <f>'B) D RI'!A195</f>
        <v>5716</v>
      </c>
      <c r="B194" s="160" t="str">
        <f>'B) D RI'!B195</f>
        <v>Eysins</v>
      </c>
      <c r="C194" s="327">
        <f>'B) D RI'!S195</f>
        <v>61</v>
      </c>
      <c r="D194" s="161">
        <f>'B) D RI'!AR195</f>
        <v>1618</v>
      </c>
      <c r="E194" s="325">
        <f>'D) Ecrêtage'!M193</f>
        <v>155930.77890890944</v>
      </c>
      <c r="F194" s="329">
        <f>'E) Fact soc'!G199</f>
        <v>5166085.0135866106</v>
      </c>
      <c r="G194" s="326">
        <f>'H) Péréquation directe'!I204</f>
        <v>2643797.3202319369</v>
      </c>
      <c r="H194" s="329">
        <f>+'I) Dépenses thématiques'!O193</f>
        <v>0</v>
      </c>
      <c r="I194" s="326">
        <f>'K) Plafonnement aide'!J193</f>
        <v>0</v>
      </c>
      <c r="J194" s="329">
        <f>'J) Plafonnement effort'!I193</f>
        <v>0</v>
      </c>
      <c r="K194" s="326">
        <f>+'L) Plafonnement taux'!Q194</f>
        <v>0</v>
      </c>
      <c r="L194" s="324">
        <f t="shared" si="6"/>
        <v>7809882.3338185474</v>
      </c>
      <c r="M194" s="233">
        <f>'M) Police'!O194</f>
        <v>332589.82065942569</v>
      </c>
      <c r="N194" s="233">
        <f t="shared" ref="N194:N254" si="9">L194+M194</f>
        <v>8142472.1544779735</v>
      </c>
      <c r="P194" s="470"/>
      <c r="R194" s="332"/>
    </row>
    <row r="195" spans="1:18" s="162" customFormat="1" x14ac:dyDescent="0.25">
      <c r="A195" s="159">
        <f>'B) D RI'!A196</f>
        <v>5717</v>
      </c>
      <c r="B195" s="160" t="str">
        <f>'B) D RI'!B196</f>
        <v>Founex</v>
      </c>
      <c r="C195" s="327">
        <f>'B) D RI'!S196</f>
        <v>57</v>
      </c>
      <c r="D195" s="161">
        <f>'B) D RI'!AR196</f>
        <v>3790</v>
      </c>
      <c r="E195" s="325">
        <f>'D) Ecrêtage'!M194</f>
        <v>339272.20498613658</v>
      </c>
      <c r="F195" s="329">
        <f>'E) Fact soc'!G200</f>
        <v>9759790.6382162161</v>
      </c>
      <c r="G195" s="326">
        <f>'H) Péréquation directe'!I205</f>
        <v>5246051.9483950334</v>
      </c>
      <c r="H195" s="329">
        <f>+'I) Dépenses thématiques'!O194</f>
        <v>0</v>
      </c>
      <c r="I195" s="326">
        <f>'K) Plafonnement aide'!J194</f>
        <v>0</v>
      </c>
      <c r="J195" s="329">
        <f>'J) Plafonnement effort'!I194</f>
        <v>0</v>
      </c>
      <c r="K195" s="326">
        <f>+'L) Plafonnement taux'!Q195</f>
        <v>0</v>
      </c>
      <c r="L195" s="324">
        <f t="shared" si="6"/>
        <v>15005842.586611249</v>
      </c>
      <c r="M195" s="233">
        <f>'M) Police'!O195</f>
        <v>746752.98143128026</v>
      </c>
      <c r="N195" s="233">
        <f t="shared" si="9"/>
        <v>15752595.568042528</v>
      </c>
      <c r="P195" s="470"/>
      <c r="R195" s="332"/>
    </row>
    <row r="196" spans="1:18" s="162" customFormat="1" x14ac:dyDescent="0.25">
      <c r="A196" s="159">
        <f>'B) D RI'!A197</f>
        <v>5718</v>
      </c>
      <c r="B196" s="160" t="str">
        <f>'B) D RI'!B197</f>
        <v>Genolier</v>
      </c>
      <c r="C196" s="327">
        <f>'B) D RI'!S197</f>
        <v>55</v>
      </c>
      <c r="D196" s="161">
        <f>'B) D RI'!AR197</f>
        <v>1961</v>
      </c>
      <c r="E196" s="325">
        <f>'D) Ecrêtage'!M195</f>
        <v>157719.14560453352</v>
      </c>
      <c r="F196" s="329">
        <f>'E) Fact soc'!G201</f>
        <v>4461485.239250388</v>
      </c>
      <c r="G196" s="326">
        <f>'H) Péréquation directe'!I206</f>
        <v>2557813.7368211509</v>
      </c>
      <c r="H196" s="329">
        <f>+'I) Dépenses thématiques'!O195</f>
        <v>0</v>
      </c>
      <c r="I196" s="326">
        <f>'K) Plafonnement aide'!J195</f>
        <v>0</v>
      </c>
      <c r="J196" s="329">
        <f>'J) Plafonnement effort'!I195</f>
        <v>0</v>
      </c>
      <c r="K196" s="326">
        <f>+'L) Plafonnement taux'!Q196</f>
        <v>0</v>
      </c>
      <c r="L196" s="324">
        <f t="shared" si="6"/>
        <v>7019298.9760715384</v>
      </c>
      <c r="M196" s="233">
        <f>'M) Police'!O196</f>
        <v>364215.8097470231</v>
      </c>
      <c r="N196" s="233">
        <f t="shared" si="9"/>
        <v>7383514.7858185619</v>
      </c>
      <c r="P196" s="470"/>
      <c r="R196" s="332"/>
    </row>
    <row r="197" spans="1:18" s="162" customFormat="1" x14ac:dyDescent="0.25">
      <c r="A197" s="159">
        <f>'B) D RI'!A198</f>
        <v>5719</v>
      </c>
      <c r="B197" s="160" t="str">
        <f>'B) D RI'!B198</f>
        <v>Gingins</v>
      </c>
      <c r="C197" s="327">
        <f>'B) D RI'!S198</f>
        <v>57</v>
      </c>
      <c r="D197" s="161">
        <f>'B) D RI'!AR198</f>
        <v>1226</v>
      </c>
      <c r="E197" s="325">
        <f>'D) Ecrêtage'!M196</f>
        <v>102221.19778455902</v>
      </c>
      <c r="F197" s="329">
        <f>'E) Fact soc'!G202</f>
        <v>2990040.9965730337</v>
      </c>
      <c r="G197" s="326">
        <f>'H) Péréquation directe'!I207</f>
        <v>1761378.1005785265</v>
      </c>
      <c r="H197" s="329">
        <f>+'I) Dépenses thématiques'!O196</f>
        <v>0</v>
      </c>
      <c r="I197" s="326">
        <f>'K) Plafonnement aide'!J196</f>
        <v>0</v>
      </c>
      <c r="J197" s="329">
        <f>'J) Plafonnement effort'!I196</f>
        <v>0</v>
      </c>
      <c r="K197" s="326">
        <f>+'L) Plafonnement taux'!Q197</f>
        <v>0</v>
      </c>
      <c r="L197" s="324">
        <f t="shared" si="6"/>
        <v>4751419.0971515607</v>
      </c>
      <c r="M197" s="233">
        <f>'M) Police'!O197</f>
        <v>232201.58942231804</v>
      </c>
      <c r="N197" s="233">
        <f t="shared" si="9"/>
        <v>4983620.6865738789</v>
      </c>
      <c r="P197" s="470"/>
      <c r="R197" s="332"/>
    </row>
    <row r="198" spans="1:18" s="162" customFormat="1" x14ac:dyDescent="0.25">
      <c r="A198" s="159">
        <f>'B) D RI'!A199</f>
        <v>5720</v>
      </c>
      <c r="B198" s="160" t="str">
        <f>'B) D RI'!B199</f>
        <v>Givrins</v>
      </c>
      <c r="C198" s="327">
        <f>'B) D RI'!S199</f>
        <v>67</v>
      </c>
      <c r="D198" s="161">
        <f>'B) D RI'!AR199</f>
        <v>1033</v>
      </c>
      <c r="E198" s="325">
        <f>'D) Ecrêtage'!M197</f>
        <v>65277.239509463201</v>
      </c>
      <c r="F198" s="329">
        <f>'E) Fact soc'!G203</f>
        <v>1351250.3920992729</v>
      </c>
      <c r="G198" s="326">
        <f>'H) Péréquation directe'!I208</f>
        <v>1127613.3668938002</v>
      </c>
      <c r="H198" s="329">
        <f>+'I) Dépenses thématiques'!O197</f>
        <v>-27076.04991457607</v>
      </c>
      <c r="I198" s="326">
        <f>'K) Plafonnement aide'!J197</f>
        <v>0</v>
      </c>
      <c r="J198" s="329">
        <f>'J) Plafonnement effort'!I197</f>
        <v>0</v>
      </c>
      <c r="K198" s="326">
        <f>+'L) Plafonnement taux'!Q198</f>
        <v>0</v>
      </c>
      <c r="L198" s="324">
        <f t="shared" si="6"/>
        <v>2451787.7090784973</v>
      </c>
      <c r="M198" s="233">
        <f>'M) Police'!O198</f>
        <v>169719.165369333</v>
      </c>
      <c r="N198" s="233">
        <f t="shared" si="9"/>
        <v>2621506.87444783</v>
      </c>
      <c r="P198" s="470"/>
      <c r="R198" s="332"/>
    </row>
    <row r="199" spans="1:18" s="162" customFormat="1" x14ac:dyDescent="0.25">
      <c r="A199" s="159">
        <f>'B) D RI'!A200</f>
        <v>5721</v>
      </c>
      <c r="B199" s="160" t="str">
        <f>'B) D RI'!B200</f>
        <v>Gland</v>
      </c>
      <c r="C199" s="327">
        <f>'B) D RI'!S200</f>
        <v>62.5</v>
      </c>
      <c r="D199" s="161">
        <f>'B) D RI'!AR200</f>
        <v>13101</v>
      </c>
      <c r="E199" s="325">
        <f>'D) Ecrêtage'!M198</f>
        <v>654524.19695999997</v>
      </c>
      <c r="F199" s="329">
        <f>'E) Fact soc'!G204</f>
        <v>11661612.086611005</v>
      </c>
      <c r="G199" s="326">
        <f>'H) Péréquation directe'!I209</f>
        <v>4580661.4174125502</v>
      </c>
      <c r="H199" s="329">
        <f>+'I) Dépenses thématiques'!O198</f>
        <v>0</v>
      </c>
      <c r="I199" s="326">
        <f>'K) Plafonnement aide'!J198</f>
        <v>0</v>
      </c>
      <c r="J199" s="329">
        <f>'J) Plafonnement effort'!I198</f>
        <v>0</v>
      </c>
      <c r="K199" s="326">
        <f>+'L) Plafonnement taux'!Q199</f>
        <v>0</v>
      </c>
      <c r="L199" s="324">
        <f t="shared" si="6"/>
        <v>16242273.504023556</v>
      </c>
      <c r="M199" s="233">
        <f>'M) Police'!O199</f>
        <v>1936902.2305037021</v>
      </c>
      <c r="N199" s="233">
        <f t="shared" si="9"/>
        <v>18179175.734527256</v>
      </c>
      <c r="P199" s="470"/>
      <c r="R199" s="332"/>
    </row>
    <row r="200" spans="1:18" s="162" customFormat="1" x14ac:dyDescent="0.25">
      <c r="A200" s="159">
        <f>'B) D RI'!A201</f>
        <v>5722</v>
      </c>
      <c r="B200" s="160" t="str">
        <f>'B) D RI'!B201</f>
        <v>Grens</v>
      </c>
      <c r="C200" s="327">
        <f>'B) D RI'!S201</f>
        <v>62</v>
      </c>
      <c r="D200" s="161">
        <f>'B) D RI'!AR201</f>
        <v>391</v>
      </c>
      <c r="E200" s="325">
        <f>'D) Ecrêtage'!M199</f>
        <v>22104.870799281129</v>
      </c>
      <c r="F200" s="329">
        <f>'E) Fact soc'!G205</f>
        <v>349658.66661168897</v>
      </c>
      <c r="G200" s="326">
        <f>'H) Péréquation directe'!I210</f>
        <v>380519.96852716996</v>
      </c>
      <c r="H200" s="329">
        <f>+'I) Dépenses thématiques'!O199</f>
        <v>0</v>
      </c>
      <c r="I200" s="326">
        <f>'K) Plafonnement aide'!J199</f>
        <v>0</v>
      </c>
      <c r="J200" s="329">
        <f>'J) Plafonnement effort'!I199</f>
        <v>0</v>
      </c>
      <c r="K200" s="326">
        <f>+'L) Plafonnement taux'!Q200</f>
        <v>0</v>
      </c>
      <c r="L200" s="324">
        <f t="shared" si="6"/>
        <v>730178.63513885892</v>
      </c>
      <c r="M200" s="233">
        <f>'M) Police'!O200</f>
        <v>61003.335239428816</v>
      </c>
      <c r="N200" s="233">
        <f t="shared" si="9"/>
        <v>791181.97037828772</v>
      </c>
      <c r="P200" s="470"/>
      <c r="R200" s="332"/>
    </row>
    <row r="201" spans="1:18" s="162" customFormat="1" x14ac:dyDescent="0.25">
      <c r="A201" s="159">
        <f>'B) D RI'!A202</f>
        <v>5723</v>
      </c>
      <c r="B201" s="160" t="str">
        <f>'B) D RI'!B202</f>
        <v>Mies</v>
      </c>
      <c r="C201" s="327">
        <f>'B) D RI'!S202</f>
        <v>49</v>
      </c>
      <c r="D201" s="161">
        <f>'B) D RI'!AR202</f>
        <v>2075</v>
      </c>
      <c r="E201" s="325">
        <f>'D) Ecrêtage'!M200</f>
        <v>393953.94435869262</v>
      </c>
      <c r="F201" s="329">
        <f>'E) Fact soc'!G206</f>
        <v>18030805.539138153</v>
      </c>
      <c r="G201" s="326">
        <f>'H) Péréquation directe'!I211</f>
        <v>7002012.942405005</v>
      </c>
      <c r="H201" s="329">
        <f>+'I) Dépenses thématiques'!O200</f>
        <v>0</v>
      </c>
      <c r="I201" s="326">
        <f>'K) Plafonnement aide'!J200</f>
        <v>0</v>
      </c>
      <c r="J201" s="329">
        <f>'J) Plafonnement effort'!I200</f>
        <v>-2061297.4978696865</v>
      </c>
      <c r="K201" s="326">
        <f>+'L) Plafonnement taux'!Q201</f>
        <v>0</v>
      </c>
      <c r="L201" s="324">
        <f t="shared" si="6"/>
        <v>22971520.983673472</v>
      </c>
      <c r="M201" s="233">
        <f>'M) Police'!O201</f>
        <v>667736.3678889533</v>
      </c>
      <c r="N201" s="233">
        <f t="shared" si="9"/>
        <v>23639257.351562425</v>
      </c>
      <c r="P201" s="470"/>
      <c r="R201" s="332"/>
    </row>
    <row r="202" spans="1:18" s="162" customFormat="1" x14ac:dyDescent="0.25">
      <c r="A202" s="159">
        <f>'B) D RI'!A203</f>
        <v>5724</v>
      </c>
      <c r="B202" s="160" t="str">
        <f>'B) D RI'!B203</f>
        <v>Nyon</v>
      </c>
      <c r="C202" s="327">
        <f>'B) D RI'!S203</f>
        <v>61</v>
      </c>
      <c r="D202" s="161">
        <f>'B) D RI'!AR203</f>
        <v>21239</v>
      </c>
      <c r="E202" s="325">
        <f>'D) Ecrêtage'!M201</f>
        <v>1309447.4659231247</v>
      </c>
      <c r="F202" s="329">
        <f>'E) Fact soc'!G207</f>
        <v>28447777.397301357</v>
      </c>
      <c r="G202" s="326">
        <f>'H) Péréquation directe'!I212</f>
        <v>8570550.3317793272</v>
      </c>
      <c r="H202" s="329">
        <f>+'I) Dépenses thématiques'!O201</f>
        <v>-589982.1208703483</v>
      </c>
      <c r="I202" s="326">
        <f>'K) Plafonnement aide'!J201</f>
        <v>0</v>
      </c>
      <c r="J202" s="329">
        <f>'J) Plafonnement effort'!I201</f>
        <v>0</v>
      </c>
      <c r="K202" s="326">
        <f>+'L) Plafonnement taux'!Q202</f>
        <v>0</v>
      </c>
      <c r="L202" s="324">
        <f t="shared" si="6"/>
        <v>36428345.608210333</v>
      </c>
      <c r="M202" s="233">
        <f>'M) Police'!O202</f>
        <v>1628244.8050291517</v>
      </c>
      <c r="N202" s="233">
        <f t="shared" si="9"/>
        <v>38056590.413239487</v>
      </c>
      <c r="P202" s="470"/>
      <c r="R202" s="332"/>
    </row>
    <row r="203" spans="1:18" s="162" customFormat="1" x14ac:dyDescent="0.25">
      <c r="A203" s="159">
        <f>'B) D RI'!A204</f>
        <v>5725</v>
      </c>
      <c r="B203" s="160" t="str">
        <f>'B) D RI'!B204</f>
        <v>Prangins</v>
      </c>
      <c r="C203" s="327">
        <f>'B) D RI'!S204</f>
        <v>56</v>
      </c>
      <c r="D203" s="161">
        <f>'B) D RI'!AR204</f>
        <v>4040</v>
      </c>
      <c r="E203" s="325">
        <f>'D) Ecrêtage'!M202</f>
        <v>304511.24195130728</v>
      </c>
      <c r="F203" s="329">
        <f>'E) Fact soc'!G208</f>
        <v>8166049.398237397</v>
      </c>
      <c r="G203" s="326">
        <f>'H) Péréquation directe'!I213</f>
        <v>4461367.1575775007</v>
      </c>
      <c r="H203" s="329">
        <f>+'I) Dépenses thématiques'!O202</f>
        <v>0</v>
      </c>
      <c r="I203" s="326">
        <f>'K) Plafonnement aide'!J202</f>
        <v>0</v>
      </c>
      <c r="J203" s="329">
        <f>'J) Plafonnement effort'!I202</f>
        <v>0</v>
      </c>
      <c r="K203" s="326">
        <f>+'L) Plafonnement taux'!Q203</f>
        <v>0</v>
      </c>
      <c r="L203" s="324">
        <f t="shared" si="6"/>
        <v>12627416.555814898</v>
      </c>
      <c r="M203" s="233">
        <f>'M) Police'!O203</f>
        <v>378647.37660983787</v>
      </c>
      <c r="N203" s="233">
        <f t="shared" si="9"/>
        <v>13006063.932424735</v>
      </c>
      <c r="P203" s="470"/>
      <c r="R203" s="332"/>
    </row>
    <row r="204" spans="1:18" s="162" customFormat="1" x14ac:dyDescent="0.25">
      <c r="A204" s="159">
        <f>'B) D RI'!A205</f>
        <v>5726</v>
      </c>
      <c r="B204" s="160" t="str">
        <f>'B) D RI'!B205</f>
        <v>La Rippe</v>
      </c>
      <c r="C204" s="327">
        <f>'B) D RI'!S205</f>
        <v>65</v>
      </c>
      <c r="D204" s="161">
        <f>'B) D RI'!AR205</f>
        <v>1161</v>
      </c>
      <c r="E204" s="325">
        <f>'D) Ecrêtage'!M203</f>
        <v>59824.020307692314</v>
      </c>
      <c r="F204" s="329">
        <f>'E) Fact soc'!G209</f>
        <v>933596.18264567002</v>
      </c>
      <c r="G204" s="326">
        <f>'H) Péréquation directe'!I214</f>
        <v>979348.89036277577</v>
      </c>
      <c r="H204" s="329">
        <f>+'I) Dépenses thématiques'!O203</f>
        <v>-23037.720314855142</v>
      </c>
      <c r="I204" s="326">
        <f>'K) Plafonnement aide'!J203</f>
        <v>0</v>
      </c>
      <c r="J204" s="329">
        <f>'J) Plafonnement effort'!I203</f>
        <v>0</v>
      </c>
      <c r="K204" s="326">
        <f>+'L) Plafonnement taux'!Q204</f>
        <v>0</v>
      </c>
      <c r="L204" s="324">
        <f t="shared" si="6"/>
        <v>1889907.3526935906</v>
      </c>
      <c r="M204" s="233">
        <f>'M) Police'!O204</f>
        <v>173910.56838676729</v>
      </c>
      <c r="N204" s="233">
        <f t="shared" si="9"/>
        <v>2063817.9210803579</v>
      </c>
      <c r="P204" s="470"/>
      <c r="R204" s="332"/>
    </row>
    <row r="205" spans="1:18" s="162" customFormat="1" x14ac:dyDescent="0.25">
      <c r="A205" s="159">
        <f>'B) D RI'!A206</f>
        <v>5727</v>
      </c>
      <c r="B205" s="160" t="str">
        <f>'B) D RI'!B206</f>
        <v>Saint-Cergue</v>
      </c>
      <c r="C205" s="327">
        <f>'B) D RI'!S206</f>
        <v>66</v>
      </c>
      <c r="D205" s="161">
        <f>'B) D RI'!AR206</f>
        <v>2583</v>
      </c>
      <c r="E205" s="325">
        <f>'D) Ecrêtage'!M204</f>
        <v>84748.014494949501</v>
      </c>
      <c r="F205" s="329">
        <f>'E) Fact soc'!G210</f>
        <v>1550889.5111504458</v>
      </c>
      <c r="G205" s="326">
        <f>'H) Péréquation directe'!I215</f>
        <v>407879.9977439465</v>
      </c>
      <c r="H205" s="329">
        <f>+'I) Dépenses thématiques'!O204</f>
        <v>-264024.93091356504</v>
      </c>
      <c r="I205" s="326">
        <f>'K) Plafonnement aide'!J204</f>
        <v>0</v>
      </c>
      <c r="J205" s="329">
        <f>'J) Plafonnement effort'!I204</f>
        <v>0</v>
      </c>
      <c r="K205" s="326">
        <f>+'L) Plafonnement taux'!Q205</f>
        <v>0</v>
      </c>
      <c r="L205" s="324">
        <f t="shared" si="6"/>
        <v>1694744.5779808273</v>
      </c>
      <c r="M205" s="233">
        <f>'M) Police'!O205</f>
        <v>259476.42693731384</v>
      </c>
      <c r="N205" s="233">
        <f t="shared" si="9"/>
        <v>1954221.0049181411</v>
      </c>
      <c r="P205" s="470"/>
      <c r="R205" s="332"/>
    </row>
    <row r="206" spans="1:18" s="162" customFormat="1" x14ac:dyDescent="0.25">
      <c r="A206" s="159">
        <f>'B) D RI'!A207</f>
        <v>5728</v>
      </c>
      <c r="B206" s="160" t="str">
        <f>'B) D RI'!B207</f>
        <v>Signy-Avenex</v>
      </c>
      <c r="C206" s="327">
        <f>'B) D RI'!S207</f>
        <v>58</v>
      </c>
      <c r="D206" s="161">
        <f>'B) D RI'!AR207</f>
        <v>592</v>
      </c>
      <c r="E206" s="325">
        <f>'D) Ecrêtage'!M205</f>
        <v>42390.339442962628</v>
      </c>
      <c r="F206" s="329">
        <f>'E) Fact soc'!G211</f>
        <v>1054188.8080702499</v>
      </c>
      <c r="G206" s="326">
        <f>'H) Péréquation directe'!I216</f>
        <v>745486.08501486992</v>
      </c>
      <c r="H206" s="329">
        <f>+'I) Dépenses thématiques'!O205</f>
        <v>0</v>
      </c>
      <c r="I206" s="326">
        <f>'K) Plafonnement aide'!J205</f>
        <v>0</v>
      </c>
      <c r="J206" s="329">
        <f>'J) Plafonnement effort'!I205</f>
        <v>0</v>
      </c>
      <c r="K206" s="326">
        <f>+'L) Plafonnement taux'!Q206</f>
        <v>0</v>
      </c>
      <c r="L206" s="324">
        <f t="shared" si="6"/>
        <v>1799674.8930851198</v>
      </c>
      <c r="M206" s="233">
        <f>'M) Police'!O206</f>
        <v>103457.36944402427</v>
      </c>
      <c r="N206" s="233">
        <f t="shared" si="9"/>
        <v>1903132.2625291441</v>
      </c>
      <c r="P206" s="470"/>
      <c r="R206" s="332"/>
    </row>
    <row r="207" spans="1:18" s="162" customFormat="1" x14ac:dyDescent="0.25">
      <c r="A207" s="159">
        <f>'B) D RI'!A208</f>
        <v>5729</v>
      </c>
      <c r="B207" s="160" t="str">
        <f>'B) D RI'!B208</f>
        <v>Tannay</v>
      </c>
      <c r="C207" s="327">
        <f>'B) D RI'!S208</f>
        <v>61</v>
      </c>
      <c r="D207" s="161">
        <f>'B) D RI'!AR208</f>
        <v>1593</v>
      </c>
      <c r="E207" s="325">
        <f>'D) Ecrêtage'!M206</f>
        <v>134523.0821423289</v>
      </c>
      <c r="F207" s="329">
        <f>'E) Fact soc'!G212</f>
        <v>3742112.4734881977</v>
      </c>
      <c r="G207" s="326">
        <f>'H) Péréquation directe'!I217</f>
        <v>2246191.200052781</v>
      </c>
      <c r="H207" s="329">
        <f>+'I) Dépenses thématiques'!O206</f>
        <v>0</v>
      </c>
      <c r="I207" s="326">
        <f>'K) Plafonnement aide'!J206</f>
        <v>0</v>
      </c>
      <c r="J207" s="329">
        <f>'J) Plafonnement effort'!I206</f>
        <v>0</v>
      </c>
      <c r="K207" s="326">
        <f>+'L) Plafonnement taux'!Q207</f>
        <v>0</v>
      </c>
      <c r="L207" s="324">
        <f t="shared" si="6"/>
        <v>5988303.6735409787</v>
      </c>
      <c r="M207" s="233">
        <f>'M) Police'!O207</f>
        <v>303827.19864365947</v>
      </c>
      <c r="N207" s="233">
        <f t="shared" si="9"/>
        <v>6292130.8721846379</v>
      </c>
      <c r="P207" s="470"/>
      <c r="R207" s="332"/>
    </row>
    <row r="208" spans="1:18" s="162" customFormat="1" x14ac:dyDescent="0.25">
      <c r="A208" s="159">
        <f>'B) D RI'!A209</f>
        <v>5730</v>
      </c>
      <c r="B208" s="160" t="str">
        <f>'B) D RI'!B209</f>
        <v>Trélex</v>
      </c>
      <c r="C208" s="327">
        <f>'B) D RI'!S209</f>
        <v>57</v>
      </c>
      <c r="D208" s="161">
        <f>'B) D RI'!AR209</f>
        <v>1408</v>
      </c>
      <c r="E208" s="325">
        <f>'D) Ecrêtage'!M207</f>
        <v>140688.57218471222</v>
      </c>
      <c r="F208" s="329">
        <f>'E) Fact soc'!G213</f>
        <v>4538017.6552034998</v>
      </c>
      <c r="G208" s="326">
        <f>'H) Péréquation directe'!I218</f>
        <v>2427905.4793393151</v>
      </c>
      <c r="H208" s="329">
        <f>+'I) Dépenses thématiques'!O207</f>
        <v>0</v>
      </c>
      <c r="I208" s="326">
        <f>'K) Plafonnement aide'!J207</f>
        <v>0</v>
      </c>
      <c r="J208" s="329">
        <f>'J) Plafonnement effort'!I207</f>
        <v>0</v>
      </c>
      <c r="K208" s="326">
        <f>+'L) Plafonnement taux'!Q208</f>
        <v>0</v>
      </c>
      <c r="L208" s="324">
        <f t="shared" si="6"/>
        <v>6965923.1345428154</v>
      </c>
      <c r="M208" s="233">
        <f>'M) Police'!O208</f>
        <v>295635.39104467572</v>
      </c>
      <c r="N208" s="233">
        <f t="shared" si="9"/>
        <v>7261558.5255874908</v>
      </c>
      <c r="P208" s="470"/>
      <c r="R208" s="332"/>
    </row>
    <row r="209" spans="1:18" s="162" customFormat="1" x14ac:dyDescent="0.25">
      <c r="A209" s="159">
        <f>'B) D RI'!A210</f>
        <v>5731</v>
      </c>
      <c r="B209" s="160" t="str">
        <f>'B) D RI'!B210</f>
        <v>Le Vaud</v>
      </c>
      <c r="C209" s="327">
        <f>'B) D RI'!S210</f>
        <v>75</v>
      </c>
      <c r="D209" s="161">
        <f>'B) D RI'!AR210</f>
        <v>1319</v>
      </c>
      <c r="E209" s="325">
        <f>'D) Ecrêtage'!M208</f>
        <v>52834.667955555553</v>
      </c>
      <c r="F209" s="329">
        <f>'E) Fact soc'!G214</f>
        <v>1144916.0351133551</v>
      </c>
      <c r="G209" s="326">
        <f>'H) Péréquation directe'!I219</f>
        <v>643960.56314784207</v>
      </c>
      <c r="H209" s="329">
        <f>+'I) Dépenses thématiques'!O208</f>
        <v>-108008.02663202514</v>
      </c>
      <c r="I209" s="326">
        <f>'K) Plafonnement aide'!J208</f>
        <v>0</v>
      </c>
      <c r="J209" s="329">
        <f>'J) Plafonnement effort'!I208</f>
        <v>0</v>
      </c>
      <c r="K209" s="326">
        <f>+'L) Plafonnement taux'!Q209</f>
        <v>0</v>
      </c>
      <c r="L209" s="324">
        <f t="shared" si="6"/>
        <v>1680868.571629172</v>
      </c>
      <c r="M209" s="233">
        <f>'M) Police'!O209</f>
        <v>164522.08178631531</v>
      </c>
      <c r="N209" s="233">
        <f t="shared" si="9"/>
        <v>1845390.6534154871</v>
      </c>
      <c r="P209" s="470"/>
      <c r="R209" s="332"/>
    </row>
    <row r="210" spans="1:18" s="162" customFormat="1" x14ac:dyDescent="0.25">
      <c r="A210" s="159">
        <f>'B) D RI'!A211</f>
        <v>5732</v>
      </c>
      <c r="B210" s="160" t="str">
        <f>'B) D RI'!B211</f>
        <v>Vich</v>
      </c>
      <c r="C210" s="327">
        <f>'B) D RI'!S211</f>
        <v>67</v>
      </c>
      <c r="D210" s="161">
        <f>'B) D RI'!AR211</f>
        <v>1039</v>
      </c>
      <c r="E210" s="325">
        <f>'D) Ecrêtage'!M209</f>
        <v>63314.926919915684</v>
      </c>
      <c r="F210" s="329">
        <f>'E) Fact soc'!G215</f>
        <v>1494960.2863021824</v>
      </c>
      <c r="G210" s="326">
        <f>'H) Péréquation directe'!I220</f>
        <v>1088268.1070344981</v>
      </c>
      <c r="H210" s="329">
        <f>+'I) Dépenses thématiques'!O209</f>
        <v>0</v>
      </c>
      <c r="I210" s="326">
        <f>'K) Plafonnement aide'!J209</f>
        <v>0</v>
      </c>
      <c r="J210" s="329">
        <f>'J) Plafonnement effort'!I209</f>
        <v>0</v>
      </c>
      <c r="K210" s="326">
        <f>+'L) Plafonnement taux'!Q210</f>
        <v>0</v>
      </c>
      <c r="L210" s="324">
        <f t="shared" si="6"/>
        <v>2583228.3933366807</v>
      </c>
      <c r="M210" s="233">
        <f>'M) Police'!O210</f>
        <v>167793.43394899668</v>
      </c>
      <c r="N210" s="233">
        <f t="shared" si="9"/>
        <v>2751021.8272856772</v>
      </c>
      <c r="P210" s="470"/>
      <c r="R210" s="332"/>
    </row>
    <row r="211" spans="1:18" s="162" customFormat="1" x14ac:dyDescent="0.25">
      <c r="A211" s="159">
        <f>'B) D RI'!A212</f>
        <v>5741</v>
      </c>
      <c r="B211" s="160" t="str">
        <f>'B) D RI'!B212</f>
        <v>L'Abergement</v>
      </c>
      <c r="C211" s="327">
        <f>'B) D RI'!S212</f>
        <v>81</v>
      </c>
      <c r="D211" s="161">
        <f>'B) D RI'!AR212</f>
        <v>248</v>
      </c>
      <c r="E211" s="325">
        <f>'D) Ecrêtage'!M210</f>
        <v>7464.3302469135806</v>
      </c>
      <c r="F211" s="329">
        <f>'E) Fact soc'!G216</f>
        <v>133029.68850517343</v>
      </c>
      <c r="G211" s="326">
        <f>'H) Péréquation directe'!I221</f>
        <v>20234.115399435657</v>
      </c>
      <c r="H211" s="329">
        <f>+'I) Dépenses thématiques'!O210</f>
        <v>-114291.4450241595</v>
      </c>
      <c r="I211" s="326">
        <f>'K) Plafonnement aide'!J210</f>
        <v>0</v>
      </c>
      <c r="J211" s="329">
        <f>'J) Plafonnement effort'!I210</f>
        <v>0</v>
      </c>
      <c r="K211" s="326">
        <f>+'L) Plafonnement taux'!Q211</f>
        <v>0</v>
      </c>
      <c r="L211" s="324">
        <f t="shared" si="6"/>
        <v>38972.358880449581</v>
      </c>
      <c r="M211" s="233">
        <f>'M) Police'!O211</f>
        <v>23293.702976265424</v>
      </c>
      <c r="N211" s="233">
        <f t="shared" si="9"/>
        <v>62266.061856715009</v>
      </c>
      <c r="P211" s="470"/>
      <c r="R211" s="332"/>
    </row>
    <row r="212" spans="1:18" s="162" customFormat="1" x14ac:dyDescent="0.25">
      <c r="A212" s="159">
        <f>'B) D RI'!A213</f>
        <v>5742</v>
      </c>
      <c r="B212" s="160" t="str">
        <f>'B) D RI'!B213</f>
        <v>Agiez</v>
      </c>
      <c r="C212" s="327">
        <f>'B) D RI'!S213</f>
        <v>76</v>
      </c>
      <c r="D212" s="161">
        <f>'B) D RI'!AR213</f>
        <v>327</v>
      </c>
      <c r="E212" s="325">
        <f>'D) Ecrêtage'!M211</f>
        <v>9132.5030263157914</v>
      </c>
      <c r="F212" s="329">
        <f>'E) Fact soc'!G217</f>
        <v>144610.60535837719</v>
      </c>
      <c r="G212" s="326">
        <f>'H) Péréquation directe'!I222</f>
        <v>12190.448713266436</v>
      </c>
      <c r="H212" s="329">
        <f>+'I) Dépenses thématiques'!O211</f>
        <v>-6164.3331123778271</v>
      </c>
      <c r="I212" s="326">
        <f>'K) Plafonnement aide'!J211</f>
        <v>0</v>
      </c>
      <c r="J212" s="329">
        <f>'J) Plafonnement effort'!I211</f>
        <v>0</v>
      </c>
      <c r="K212" s="326">
        <f>+'L) Plafonnement taux'!Q212</f>
        <v>0</v>
      </c>
      <c r="L212" s="324">
        <f t="shared" si="6"/>
        <v>150636.7209592658</v>
      </c>
      <c r="M212" s="233">
        <f>'M) Police'!O212</f>
        <v>28284.697834972019</v>
      </c>
      <c r="N212" s="233">
        <f t="shared" si="9"/>
        <v>178921.41879423783</v>
      </c>
      <c r="P212" s="470"/>
      <c r="R212" s="332"/>
    </row>
    <row r="213" spans="1:18" s="162" customFormat="1" x14ac:dyDescent="0.25">
      <c r="A213" s="159">
        <f>'B) D RI'!A214</f>
        <v>5743</v>
      </c>
      <c r="B213" s="160" t="str">
        <f>'B) D RI'!B214</f>
        <v>Arnex-sur-Orbe</v>
      </c>
      <c r="C213" s="327">
        <f>'B) D RI'!S214</f>
        <v>73</v>
      </c>
      <c r="D213" s="161">
        <f>'B) D RI'!AR214</f>
        <v>631</v>
      </c>
      <c r="E213" s="325">
        <f>'D) Ecrêtage'!M212</f>
        <v>18362.90517123288</v>
      </c>
      <c r="F213" s="329">
        <f>'E) Fact soc'!G218</f>
        <v>418782.02187126852</v>
      </c>
      <c r="G213" s="326">
        <f>'H) Péréquation directe'!I223</f>
        <v>72423.709637949069</v>
      </c>
      <c r="H213" s="329">
        <f>+'I) Dépenses thématiques'!O212</f>
        <v>-60646.318215425395</v>
      </c>
      <c r="I213" s="326">
        <f>'K) Plafonnement aide'!J212</f>
        <v>0</v>
      </c>
      <c r="J213" s="329">
        <f>'J) Plafonnement effort'!I212</f>
        <v>0</v>
      </c>
      <c r="K213" s="326">
        <f>+'L) Plafonnement taux'!Q213</f>
        <v>0</v>
      </c>
      <c r="L213" s="324">
        <f t="shared" si="6"/>
        <v>430559.41329379217</v>
      </c>
      <c r="M213" s="233">
        <f>'M) Police'!O213</f>
        <v>57265.230139370091</v>
      </c>
      <c r="N213" s="233">
        <f t="shared" si="9"/>
        <v>487824.64343316224</v>
      </c>
      <c r="P213" s="470"/>
      <c r="R213" s="332"/>
    </row>
    <row r="214" spans="1:18" s="162" customFormat="1" x14ac:dyDescent="0.25">
      <c r="A214" s="159">
        <f>'B) D RI'!A215</f>
        <v>5744</v>
      </c>
      <c r="B214" s="160" t="str">
        <f>'B) D RI'!B215</f>
        <v>Ballaigues</v>
      </c>
      <c r="C214" s="327">
        <f>'B) D RI'!S215</f>
        <v>66</v>
      </c>
      <c r="D214" s="161">
        <f>'B) D RI'!AR215</f>
        <v>1075</v>
      </c>
      <c r="E214" s="325">
        <f>'D) Ecrêtage'!M213</f>
        <v>46015.380909090905</v>
      </c>
      <c r="F214" s="329">
        <f>'E) Fact soc'!G219</f>
        <v>1109986.5839636864</v>
      </c>
      <c r="G214" s="326">
        <f>'H) Péréquation directe'!I224</f>
        <v>705328.14037168783</v>
      </c>
      <c r="H214" s="329">
        <f>+'I) Dépenses thématiques'!O213</f>
        <v>-422278.9308853668</v>
      </c>
      <c r="I214" s="326">
        <f>'K) Plafonnement aide'!J213</f>
        <v>0</v>
      </c>
      <c r="J214" s="329">
        <f>'J) Plafonnement effort'!I213</f>
        <v>0</v>
      </c>
      <c r="K214" s="326">
        <f>+'L) Plafonnement taux'!Q214</f>
        <v>0</v>
      </c>
      <c r="L214" s="324">
        <f t="shared" si="6"/>
        <v>1393035.7934500074</v>
      </c>
      <c r="M214" s="233">
        <f>'M) Police'!O214</f>
        <v>143942.66071964966</v>
      </c>
      <c r="N214" s="233">
        <f t="shared" si="9"/>
        <v>1536978.4541696571</v>
      </c>
      <c r="P214" s="470"/>
      <c r="R214" s="332"/>
    </row>
    <row r="215" spans="1:18" s="162" customFormat="1" x14ac:dyDescent="0.25">
      <c r="A215" s="159">
        <f>'B) D RI'!A216</f>
        <v>5745</v>
      </c>
      <c r="B215" s="160" t="str">
        <f>'B) D RI'!B216</f>
        <v>Baulmes</v>
      </c>
      <c r="C215" s="327">
        <f>'B) D RI'!S216</f>
        <v>78</v>
      </c>
      <c r="D215" s="161">
        <f>'B) D RI'!AR216</f>
        <v>1027</v>
      </c>
      <c r="E215" s="325">
        <f>'D) Ecrêtage'!M214</f>
        <v>27038.675769230769</v>
      </c>
      <c r="F215" s="329">
        <f>'E) Fact soc'!G220</f>
        <v>609194.83738188213</v>
      </c>
      <c r="G215" s="326">
        <f>'H) Péréquation directe'!I225</f>
        <v>-60870.397578261152</v>
      </c>
      <c r="H215" s="329">
        <f>+'I) Dépenses thématiques'!O214</f>
        <v>-275887.66819108342</v>
      </c>
      <c r="I215" s="326">
        <f>'K) Plafonnement aide'!J214</f>
        <v>0</v>
      </c>
      <c r="J215" s="329">
        <f>'J) Plafonnement effort'!I214</f>
        <v>0</v>
      </c>
      <c r="K215" s="326">
        <f>+'L) Plafonnement taux'!Q215</f>
        <v>0</v>
      </c>
      <c r="L215" s="324">
        <f t="shared" si="6"/>
        <v>272436.77161253762</v>
      </c>
      <c r="M215" s="233">
        <f>'M) Police'!O215</f>
        <v>84508.473651726934</v>
      </c>
      <c r="N215" s="233">
        <f t="shared" si="9"/>
        <v>356945.24526426452</v>
      </c>
      <c r="P215" s="470"/>
      <c r="R215" s="332"/>
    </row>
    <row r="216" spans="1:18" s="162" customFormat="1" x14ac:dyDescent="0.25">
      <c r="A216" s="159">
        <f>'B) D RI'!A217</f>
        <v>5746</v>
      </c>
      <c r="B216" s="160" t="str">
        <f>'B) D RI'!B217</f>
        <v>Bavois</v>
      </c>
      <c r="C216" s="327">
        <f>'B) D RI'!S217</f>
        <v>73</v>
      </c>
      <c r="D216" s="161">
        <f>'B) D RI'!AR217</f>
        <v>942</v>
      </c>
      <c r="E216" s="325">
        <f>'D) Ecrêtage'!M215</f>
        <v>26753.53392694064</v>
      </c>
      <c r="F216" s="329">
        <f>'E) Fact soc'!G221</f>
        <v>463178.87043621088</v>
      </c>
      <c r="G216" s="326">
        <f>'H) Péréquation directe'!I226</f>
        <v>81633.117330583627</v>
      </c>
      <c r="H216" s="329">
        <f>+'I) Dépenses thématiques'!O215</f>
        <v>-215079.35681218724</v>
      </c>
      <c r="I216" s="326">
        <f>'K) Plafonnement aide'!J215</f>
        <v>0</v>
      </c>
      <c r="J216" s="329">
        <f>'J) Plafonnement effort'!I215</f>
        <v>0</v>
      </c>
      <c r="K216" s="326">
        <f>+'L) Plafonnement taux'!Q216</f>
        <v>0</v>
      </c>
      <c r="L216" s="324">
        <f t="shared" si="6"/>
        <v>329732.63095460727</v>
      </c>
      <c r="M216" s="233">
        <f>'M) Police'!O216</f>
        <v>82109.223473440972</v>
      </c>
      <c r="N216" s="233">
        <f t="shared" si="9"/>
        <v>411841.85442804825</v>
      </c>
      <c r="P216" s="470"/>
      <c r="R216" s="332"/>
    </row>
    <row r="217" spans="1:18" s="162" customFormat="1" x14ac:dyDescent="0.25">
      <c r="A217" s="159">
        <f>'B) D RI'!A218</f>
        <v>5747</v>
      </c>
      <c r="B217" s="160" t="str">
        <f>'B) D RI'!B218</f>
        <v>Bofflens</v>
      </c>
      <c r="C217" s="327">
        <f>'B) D RI'!S218</f>
        <v>69</v>
      </c>
      <c r="D217" s="161">
        <f>'B) D RI'!AR218</f>
        <v>196</v>
      </c>
      <c r="E217" s="325">
        <f>'D) Ecrêtage'!M216</f>
        <v>4985.4308695652171</v>
      </c>
      <c r="F217" s="329">
        <f>'E) Fact soc'!G222</f>
        <v>92454.605021885509</v>
      </c>
      <c r="G217" s="326">
        <f>'H) Péréquation directe'!I227</f>
        <v>2335.0991942442342</v>
      </c>
      <c r="H217" s="329">
        <f>+'I) Dépenses thématiques'!O216</f>
        <v>-35062.934457473741</v>
      </c>
      <c r="I217" s="326">
        <f>'K) Plafonnement aide'!J216</f>
        <v>0</v>
      </c>
      <c r="J217" s="329">
        <f>'J) Plafonnement effort'!I216</f>
        <v>0</v>
      </c>
      <c r="K217" s="326">
        <f>+'L) Plafonnement taux'!Q217</f>
        <v>0</v>
      </c>
      <c r="L217" s="324">
        <f t="shared" si="6"/>
        <v>59726.769758656003</v>
      </c>
      <c r="M217" s="233">
        <f>'M) Police'!O217</f>
        <v>15329.55727995987</v>
      </c>
      <c r="N217" s="233">
        <f t="shared" si="9"/>
        <v>75056.327038615869</v>
      </c>
      <c r="P217" s="470"/>
      <c r="R217" s="332"/>
    </row>
    <row r="218" spans="1:18" s="162" customFormat="1" x14ac:dyDescent="0.25">
      <c r="A218" s="159">
        <f>'B) D RI'!A219</f>
        <v>5748</v>
      </c>
      <c r="B218" s="160" t="str">
        <f>'B) D RI'!B219</f>
        <v>Bretonnières</v>
      </c>
      <c r="C218" s="327">
        <f>'B) D RI'!S219</f>
        <v>72</v>
      </c>
      <c r="D218" s="161">
        <f>'B) D RI'!AR219</f>
        <v>265</v>
      </c>
      <c r="E218" s="325">
        <f>'D) Ecrêtage'!M217</f>
        <v>5553.3427314814826</v>
      </c>
      <c r="F218" s="329">
        <f>'E) Fact soc'!G223</f>
        <v>105009.90655414583</v>
      </c>
      <c r="G218" s="326">
        <f>'H) Péréquation directe'!I228</f>
        <v>-52544.949980647478</v>
      </c>
      <c r="H218" s="329">
        <f>+'I) Dépenses thématiques'!O217</f>
        <v>-50653.605775343036</v>
      </c>
      <c r="I218" s="326">
        <f>'K) Plafonnement aide'!J217</f>
        <v>0</v>
      </c>
      <c r="J218" s="329">
        <f>'J) Plafonnement effort'!I217</f>
        <v>0</v>
      </c>
      <c r="K218" s="326">
        <f>+'L) Plafonnement taux'!Q218</f>
        <v>0</v>
      </c>
      <c r="L218" s="324">
        <f t="shared" si="6"/>
        <v>1811.3507981553121</v>
      </c>
      <c r="M218" s="233">
        <f>'M) Police'!O218</f>
        <v>16961.127521653798</v>
      </c>
      <c r="N218" s="233">
        <f t="shared" si="9"/>
        <v>18772.47831980911</v>
      </c>
      <c r="P218" s="470"/>
      <c r="R218" s="332"/>
    </row>
    <row r="219" spans="1:18" s="162" customFormat="1" x14ac:dyDescent="0.25">
      <c r="A219" s="159">
        <f>'B) D RI'!A220</f>
        <v>5749</v>
      </c>
      <c r="B219" s="160" t="str">
        <f>'B) D RI'!B220</f>
        <v>Chavornay</v>
      </c>
      <c r="C219" s="327">
        <f>'B) D RI'!S220</f>
        <v>72</v>
      </c>
      <c r="D219" s="161">
        <f>'B) D RI'!AR220</f>
        <v>4996</v>
      </c>
      <c r="E219" s="325">
        <f>'D) Ecrêtage'!M218</f>
        <v>140775.19611111109</v>
      </c>
      <c r="F219" s="329">
        <f>'E) Fact soc'!G224</f>
        <v>2451445.6670242464</v>
      </c>
      <c r="G219" s="326">
        <f>'H) Péréquation directe'!I229</f>
        <v>-860337.48109033285</v>
      </c>
      <c r="H219" s="329">
        <f>+'I) Dépenses thématiques'!O218</f>
        <v>-435275.52733205981</v>
      </c>
      <c r="I219" s="326">
        <f>'K) Plafonnement aide'!J218</f>
        <v>0</v>
      </c>
      <c r="J219" s="329">
        <f>'J) Plafonnement effort'!I218</f>
        <v>0</v>
      </c>
      <c r="K219" s="326">
        <f>+'L) Plafonnement taux'!Q219</f>
        <v>0</v>
      </c>
      <c r="L219" s="324">
        <f t="shared" ref="L219" si="10">F219+G219+H219+I219+J219+K219</f>
        <v>1155832.6586018538</v>
      </c>
      <c r="M219" s="233">
        <f>'M) Police'!O219</f>
        <v>433264.71014346927</v>
      </c>
      <c r="N219" s="233">
        <f t="shared" ref="N219" si="11">L219+M219</f>
        <v>1589097.368745323</v>
      </c>
      <c r="P219" s="470"/>
      <c r="R219" s="332"/>
    </row>
    <row r="220" spans="1:18" s="162" customFormat="1" x14ac:dyDescent="0.25">
      <c r="A220" s="159">
        <f>'B) D RI'!A221</f>
        <v>5750</v>
      </c>
      <c r="B220" s="160" t="str">
        <f>'B) D RI'!B221</f>
        <v>Les Clées</v>
      </c>
      <c r="C220" s="327">
        <f>'B) D RI'!S221</f>
        <v>80</v>
      </c>
      <c r="D220" s="161">
        <f>'B) D RI'!AR221</f>
        <v>185</v>
      </c>
      <c r="E220" s="325">
        <f>'D) Ecrêtage'!M219</f>
        <v>5155.3168750000004</v>
      </c>
      <c r="F220" s="329">
        <f>'E) Fact soc'!G225</f>
        <v>75515.398046001123</v>
      </c>
      <c r="G220" s="326">
        <f>'H) Péréquation directe'!I230</f>
        <v>-1462.1189505797374</v>
      </c>
      <c r="H220" s="329">
        <f>+'I) Dépenses thématiques'!O219</f>
        <v>-46654.893932832812</v>
      </c>
      <c r="I220" s="326">
        <f>'K) Plafonnement aide'!J219</f>
        <v>0</v>
      </c>
      <c r="J220" s="329">
        <f>'J) Plafonnement effort'!I219</f>
        <v>0</v>
      </c>
      <c r="K220" s="326">
        <f>+'L) Plafonnement taux'!Q220</f>
        <v>0</v>
      </c>
      <c r="L220" s="324">
        <f t="shared" si="6"/>
        <v>27398.385162588573</v>
      </c>
      <c r="M220" s="233">
        <f>'M) Police'!O220</f>
        <v>16127.838654264171</v>
      </c>
      <c r="N220" s="233">
        <f t="shared" si="9"/>
        <v>43526.22381685274</v>
      </c>
      <c r="P220" s="470"/>
      <c r="R220" s="332"/>
    </row>
    <row r="221" spans="1:18" s="162" customFormat="1" x14ac:dyDescent="0.25">
      <c r="A221" s="159">
        <f>'B) D RI'!A222</f>
        <v>5752</v>
      </c>
      <c r="B221" s="160" t="str">
        <f>'B) D RI'!B222</f>
        <v>Croy</v>
      </c>
      <c r="C221" s="327">
        <f>'B) D RI'!S222</f>
        <v>74</v>
      </c>
      <c r="D221" s="161">
        <f>'B) D RI'!AR222</f>
        <v>404</v>
      </c>
      <c r="E221" s="325">
        <f>'D) Ecrêtage'!M220</f>
        <v>10753.005424710425</v>
      </c>
      <c r="F221" s="329">
        <f>'E) Fact soc'!G226</f>
        <v>184173.08241148968</v>
      </c>
      <c r="G221" s="326">
        <f>'H) Péréquation directe'!I231</f>
        <v>1724.9405574658595</v>
      </c>
      <c r="H221" s="329">
        <f>+'I) Dépenses thématiques'!O220</f>
        <v>-139320.97109504012</v>
      </c>
      <c r="I221" s="326">
        <f>'K) Plafonnement aide'!J220</f>
        <v>0</v>
      </c>
      <c r="J221" s="329">
        <f>'J) Plafonnement effort'!I220</f>
        <v>0</v>
      </c>
      <c r="K221" s="326">
        <f>+'L) Plafonnement taux'!Q221</f>
        <v>0</v>
      </c>
      <c r="L221" s="324">
        <f t="shared" ref="L221:L265" si="12">F221+G221+H221+I221+J221+K221</f>
        <v>46577.051873915421</v>
      </c>
      <c r="M221" s="233">
        <f>'M) Police'!O221</f>
        <v>33417.589013821816</v>
      </c>
      <c r="N221" s="233">
        <f t="shared" si="9"/>
        <v>79994.640887737245</v>
      </c>
      <c r="P221" s="470"/>
      <c r="R221" s="332"/>
    </row>
    <row r="222" spans="1:18" s="162" customFormat="1" x14ac:dyDescent="0.25">
      <c r="A222" s="159">
        <f>'B) D RI'!A223</f>
        <v>5754</v>
      </c>
      <c r="B222" s="160" t="str">
        <f>'B) D RI'!B223</f>
        <v>Juriens</v>
      </c>
      <c r="C222" s="327">
        <f>'B) D RI'!S223</f>
        <v>79</v>
      </c>
      <c r="D222" s="161">
        <f>'B) D RI'!AR223</f>
        <v>308</v>
      </c>
      <c r="E222" s="325">
        <f>'D) Ecrêtage'!M221</f>
        <v>8035.95670886076</v>
      </c>
      <c r="F222" s="329">
        <f>'E) Fact soc'!G227</f>
        <v>122316.24869767562</v>
      </c>
      <c r="G222" s="326">
        <f>'H) Péréquation directe'!I232</f>
        <v>-23024.71226202292</v>
      </c>
      <c r="H222" s="329">
        <f>+'I) Dépenses thématiques'!O221</f>
        <v>-23629.234783145708</v>
      </c>
      <c r="I222" s="326">
        <f>'K) Plafonnement aide'!J221</f>
        <v>0</v>
      </c>
      <c r="J222" s="329">
        <f>'J) Plafonnement effort'!I221</f>
        <v>0</v>
      </c>
      <c r="K222" s="326">
        <f>+'L) Plafonnement taux'!Q222</f>
        <v>0</v>
      </c>
      <c r="L222" s="324">
        <f t="shared" si="12"/>
        <v>75662.301652506983</v>
      </c>
      <c r="M222" s="233">
        <f>'M) Police'!O222</f>
        <v>25069.740106124365</v>
      </c>
      <c r="N222" s="233">
        <f t="shared" si="9"/>
        <v>100732.04175863136</v>
      </c>
      <c r="P222" s="470"/>
      <c r="R222" s="332"/>
    </row>
    <row r="223" spans="1:18" s="162" customFormat="1" x14ac:dyDescent="0.25">
      <c r="A223" s="159">
        <f>'B) D RI'!A224</f>
        <v>5755</v>
      </c>
      <c r="B223" s="160" t="str">
        <f>'B) D RI'!B224</f>
        <v>Lignerolle</v>
      </c>
      <c r="C223" s="327">
        <f>'B) D RI'!S224</f>
        <v>80</v>
      </c>
      <c r="D223" s="161">
        <f>'B) D RI'!AR224</f>
        <v>422</v>
      </c>
      <c r="E223" s="325">
        <f>'D) Ecrêtage'!M222</f>
        <v>9584.7876607142862</v>
      </c>
      <c r="F223" s="329">
        <f>'E) Fact soc'!G228</f>
        <v>161436.63411758747</v>
      </c>
      <c r="G223" s="326">
        <f>'H) Péréquation directe'!I233</f>
        <v>-99879.992221383029</v>
      </c>
      <c r="H223" s="329">
        <f>+'I) Dépenses thématiques'!O222</f>
        <v>-164246.08104531592</v>
      </c>
      <c r="I223" s="326">
        <f>'K) Plafonnement aide'!J222</f>
        <v>0</v>
      </c>
      <c r="J223" s="329">
        <f>'J) Plafonnement effort'!I222</f>
        <v>0</v>
      </c>
      <c r="K223" s="326">
        <f>+'L) Plafonnement taux'!Q223</f>
        <v>0</v>
      </c>
      <c r="L223" s="324">
        <f t="shared" si="12"/>
        <v>-102689.43914911148</v>
      </c>
      <c r="M223" s="233">
        <f>'M) Police'!O223</f>
        <v>29591.726391063345</v>
      </c>
      <c r="N223" s="233">
        <f t="shared" si="9"/>
        <v>-73097.712758048132</v>
      </c>
      <c r="P223" s="470"/>
      <c r="R223" s="332"/>
    </row>
    <row r="224" spans="1:18" s="162" customFormat="1" x14ac:dyDescent="0.25">
      <c r="A224" s="159">
        <f>'B) D RI'!A225</f>
        <v>5756</v>
      </c>
      <c r="B224" s="160" t="str">
        <f>'B) D RI'!B225</f>
        <v>Montcherand</v>
      </c>
      <c r="C224" s="327">
        <f>'B) D RI'!S225</f>
        <v>72</v>
      </c>
      <c r="D224" s="161">
        <f>'B) D RI'!AR225</f>
        <v>489</v>
      </c>
      <c r="E224" s="325">
        <f>'D) Ecrêtage'!M223</f>
        <v>15844.670555555553</v>
      </c>
      <c r="F224" s="329">
        <f>'E) Fact soc'!G229</f>
        <v>246322.77583947426</v>
      </c>
      <c r="G224" s="326">
        <f>'H) Péréquation directe'!I234</f>
        <v>124478.67145539747</v>
      </c>
      <c r="H224" s="329">
        <f>+'I) Dépenses thématiques'!O223</f>
        <v>-60689.752710243069</v>
      </c>
      <c r="I224" s="326">
        <f>'K) Plafonnement aide'!J223</f>
        <v>0</v>
      </c>
      <c r="J224" s="329">
        <f>'J) Plafonnement effort'!I223</f>
        <v>0</v>
      </c>
      <c r="K224" s="326">
        <f>+'L) Plafonnement taux'!Q224</f>
        <v>0</v>
      </c>
      <c r="L224" s="324">
        <f t="shared" si="12"/>
        <v>310111.69458462868</v>
      </c>
      <c r="M224" s="233">
        <f>'M) Police'!O224</f>
        <v>19702.205083343379</v>
      </c>
      <c r="N224" s="233">
        <f t="shared" si="9"/>
        <v>329813.89966797206</v>
      </c>
      <c r="P224" s="470"/>
      <c r="R224" s="332"/>
    </row>
    <row r="225" spans="1:18" s="162" customFormat="1" x14ac:dyDescent="0.25">
      <c r="A225" s="159">
        <f>'B) D RI'!A226</f>
        <v>5757</v>
      </c>
      <c r="B225" s="160" t="str">
        <f>'B) D RI'!B226</f>
        <v>Orbe</v>
      </c>
      <c r="C225" s="327">
        <f>'B) D RI'!S226</f>
        <v>77</v>
      </c>
      <c r="D225" s="161">
        <f>'B) D RI'!AR226</f>
        <v>6942</v>
      </c>
      <c r="E225" s="325">
        <f>'D) Ecrêtage'!M224</f>
        <v>227545.70272727273</v>
      </c>
      <c r="F225" s="329">
        <f>'E) Fact soc'!G230</f>
        <v>4751339.6344347997</v>
      </c>
      <c r="G225" s="326">
        <f>'H) Péréquation directe'!I235</f>
        <v>-650577.85929355398</v>
      </c>
      <c r="H225" s="329">
        <f>+'I) Dépenses thématiques'!O224</f>
        <v>-1294574.2338789883</v>
      </c>
      <c r="I225" s="326">
        <f>'K) Plafonnement aide'!J224</f>
        <v>0</v>
      </c>
      <c r="J225" s="329">
        <f>'J) Plafonnement effort'!I224</f>
        <v>0</v>
      </c>
      <c r="K225" s="326">
        <f>+'L) Plafonnement taux'!Q225</f>
        <v>0</v>
      </c>
      <c r="L225" s="324">
        <f t="shared" si="12"/>
        <v>2806187.5412622574</v>
      </c>
      <c r="M225" s="233">
        <f>'M) Police'!O225</f>
        <v>282943.85075708025</v>
      </c>
      <c r="N225" s="233">
        <f t="shared" si="9"/>
        <v>3089131.3920193375</v>
      </c>
      <c r="P225" s="470"/>
      <c r="R225" s="332"/>
    </row>
    <row r="226" spans="1:18" s="162" customFormat="1" x14ac:dyDescent="0.25">
      <c r="A226" s="159">
        <f>'B) D RI'!A227</f>
        <v>5758</v>
      </c>
      <c r="B226" s="160" t="str">
        <f>'B) D RI'!B227</f>
        <v>La Praz</v>
      </c>
      <c r="C226" s="327">
        <f>'B) D RI'!S227</f>
        <v>83</v>
      </c>
      <c r="D226" s="161">
        <f>'B) D RI'!AR227</f>
        <v>165</v>
      </c>
      <c r="E226" s="325">
        <f>'D) Ecrêtage'!M225</f>
        <v>4452.397389558233</v>
      </c>
      <c r="F226" s="329">
        <f>'E) Fact soc'!G231</f>
        <v>97783.267355289689</v>
      </c>
      <c r="G226" s="326">
        <f>'H) Péréquation directe'!I236</f>
        <v>-13558.023279555098</v>
      </c>
      <c r="H226" s="329">
        <f>+'I) Dépenses thématiques'!O225</f>
        <v>-23038.126202402076</v>
      </c>
      <c r="I226" s="326">
        <f>'K) Plafonnement aide'!J225</f>
        <v>0</v>
      </c>
      <c r="J226" s="329">
        <f>'J) Plafonnement effort'!I225</f>
        <v>0</v>
      </c>
      <c r="K226" s="326">
        <f>+'L) Plafonnement taux'!Q226</f>
        <v>-3702.2039898928674</v>
      </c>
      <c r="L226" s="324">
        <f t="shared" si="12"/>
        <v>57484.913883439644</v>
      </c>
      <c r="M226" s="233">
        <f>'M) Police'!O226</f>
        <v>13845.52373141309</v>
      </c>
      <c r="N226" s="233">
        <f t="shared" si="9"/>
        <v>71330.437614852737</v>
      </c>
      <c r="P226" s="470"/>
      <c r="R226" s="332"/>
    </row>
    <row r="227" spans="1:18" s="162" customFormat="1" x14ac:dyDescent="0.25">
      <c r="A227" s="159">
        <f>'B) D RI'!A228</f>
        <v>5759</v>
      </c>
      <c r="B227" s="160" t="str">
        <f>'B) D RI'!B228</f>
        <v>Premier</v>
      </c>
      <c r="C227" s="327">
        <f>'B) D RI'!S228</f>
        <v>81</v>
      </c>
      <c r="D227" s="161">
        <f>'B) D RI'!AR228</f>
        <v>213</v>
      </c>
      <c r="E227" s="325">
        <f>'D) Ecrêtage'!M226</f>
        <v>4744.6671604938274</v>
      </c>
      <c r="F227" s="329">
        <f>'E) Fact soc'!G232</f>
        <v>100026.10869119312</v>
      </c>
      <c r="G227" s="326">
        <f>'H) Péréquation directe'!I237</f>
        <v>-57650.936309462239</v>
      </c>
      <c r="H227" s="329">
        <f>+'I) Dépenses thématiques'!O226</f>
        <v>-68966.90660408276</v>
      </c>
      <c r="I227" s="326">
        <f>'K) Plafonnement aide'!J226</f>
        <v>0</v>
      </c>
      <c r="J227" s="329">
        <f>'J) Plafonnement effort'!I226</f>
        <v>0</v>
      </c>
      <c r="K227" s="326">
        <f>+'L) Plafonnement taux'!Q227</f>
        <v>0</v>
      </c>
      <c r="L227" s="324">
        <f t="shared" si="12"/>
        <v>-26591.734222351879</v>
      </c>
      <c r="M227" s="233">
        <f>'M) Police'!O227</f>
        <v>14724.605833987478</v>
      </c>
      <c r="N227" s="233">
        <f t="shared" si="9"/>
        <v>-11867.128388364401</v>
      </c>
      <c r="P227" s="470"/>
      <c r="R227" s="332"/>
    </row>
    <row r="228" spans="1:18" s="162" customFormat="1" x14ac:dyDescent="0.25">
      <c r="A228" s="159">
        <f>'B) D RI'!A229</f>
        <v>5760</v>
      </c>
      <c r="B228" s="160" t="str">
        <f>'B) D RI'!B229</f>
        <v>Rances</v>
      </c>
      <c r="C228" s="327">
        <f>'B) D RI'!S229</f>
        <v>78</v>
      </c>
      <c r="D228" s="161">
        <f>'B) D RI'!AR229</f>
        <v>482</v>
      </c>
      <c r="E228" s="325">
        <f>'D) Ecrêtage'!M227</f>
        <v>11427.8147008547</v>
      </c>
      <c r="F228" s="329">
        <f>'E) Fact soc'!G233</f>
        <v>210383.62000261512</v>
      </c>
      <c r="G228" s="326">
        <f>'H) Péréquation directe'!I238</f>
        <v>-79849.169788733358</v>
      </c>
      <c r="H228" s="329">
        <f>+'I) Dépenses thématiques'!O227</f>
        <v>-131122.86832350315</v>
      </c>
      <c r="I228" s="326">
        <f>'K) Plafonnement aide'!J227</f>
        <v>0</v>
      </c>
      <c r="J228" s="329">
        <f>'J) Plafonnement effort'!I227</f>
        <v>0</v>
      </c>
      <c r="K228" s="326">
        <f>+'L) Plafonnement taux'!Q228</f>
        <v>0</v>
      </c>
      <c r="L228" s="324">
        <f t="shared" si="12"/>
        <v>-588.41810962138698</v>
      </c>
      <c r="M228" s="233">
        <f>'M) Police'!O228</f>
        <v>35279.71066819071</v>
      </c>
      <c r="N228" s="233">
        <f t="shared" si="9"/>
        <v>34691.292558569323</v>
      </c>
      <c r="P228" s="470"/>
      <c r="R228" s="332"/>
    </row>
    <row r="229" spans="1:18" s="162" customFormat="1" x14ac:dyDescent="0.25">
      <c r="A229" s="159">
        <f>'B) D RI'!A230</f>
        <v>5761</v>
      </c>
      <c r="B229" s="160" t="str">
        <f>'B) D RI'!B230</f>
        <v>Romainmôtier-Envy</v>
      </c>
      <c r="C229" s="327">
        <f>'B) D RI'!S230</f>
        <v>81</v>
      </c>
      <c r="D229" s="161">
        <f>'B) D RI'!AR230</f>
        <v>540</v>
      </c>
      <c r="E229" s="325">
        <f>'D) Ecrêtage'!M228</f>
        <v>14843.375263748598</v>
      </c>
      <c r="F229" s="329">
        <f>'E) Fact soc'!G234</f>
        <v>274834.38083778106</v>
      </c>
      <c r="G229" s="326">
        <f>'H) Péréquation directe'!I239</f>
        <v>-19415.475269467628</v>
      </c>
      <c r="H229" s="329">
        <f>+'I) Dépenses thématiques'!O228</f>
        <v>-99041.097551189552</v>
      </c>
      <c r="I229" s="326">
        <f>'K) Plafonnement aide'!J228</f>
        <v>0</v>
      </c>
      <c r="J229" s="329">
        <f>'J) Plafonnement effort'!I228</f>
        <v>0</v>
      </c>
      <c r="K229" s="326">
        <f>+'L) Plafonnement taux'!Q229</f>
        <v>0</v>
      </c>
      <c r="L229" s="324">
        <f t="shared" si="12"/>
        <v>156377.8080171239</v>
      </c>
      <c r="M229" s="233">
        <f>'M) Police'!O229</f>
        <v>46312.473524892092</v>
      </c>
      <c r="N229" s="233">
        <f t="shared" si="9"/>
        <v>202690.28154201599</v>
      </c>
      <c r="P229" s="470"/>
      <c r="R229" s="332"/>
    </row>
    <row r="230" spans="1:18" s="162" customFormat="1" x14ac:dyDescent="0.25">
      <c r="A230" s="159">
        <f>'B) D RI'!A231</f>
        <v>5762</v>
      </c>
      <c r="B230" s="160" t="str">
        <f>'B) D RI'!B231</f>
        <v>Sergey</v>
      </c>
      <c r="C230" s="327">
        <f>'B) D RI'!S231</f>
        <v>78</v>
      </c>
      <c r="D230" s="161">
        <f>'B) D RI'!AR231</f>
        <v>146</v>
      </c>
      <c r="E230" s="325">
        <f>'D) Ecrêtage'!M229</f>
        <v>3817.1048717948711</v>
      </c>
      <c r="F230" s="329">
        <f>'E) Fact soc'!G235</f>
        <v>57978.008149516652</v>
      </c>
      <c r="G230" s="326">
        <f>'H) Péréquation directe'!I240</f>
        <v>-8849.0137909550685</v>
      </c>
      <c r="H230" s="329">
        <f>+'I) Dépenses thématiques'!O229</f>
        <v>-18755.148598443455</v>
      </c>
      <c r="I230" s="326">
        <f>'K) Plafonnement aide'!J229</f>
        <v>0</v>
      </c>
      <c r="J230" s="329">
        <f>'J) Plafonnement effort'!I229</f>
        <v>0</v>
      </c>
      <c r="K230" s="326">
        <f>+'L) Plafonnement taux'!Q230</f>
        <v>0</v>
      </c>
      <c r="L230" s="324">
        <f t="shared" si="12"/>
        <v>30373.845760118129</v>
      </c>
      <c r="M230" s="233">
        <f>'M) Police'!O230</f>
        <v>11870.276089623705</v>
      </c>
      <c r="N230" s="233">
        <f t="shared" si="9"/>
        <v>42244.12184974183</v>
      </c>
      <c r="P230" s="470"/>
      <c r="R230" s="332"/>
    </row>
    <row r="231" spans="1:18" s="162" customFormat="1" x14ac:dyDescent="0.25">
      <c r="A231" s="159">
        <f>'B) D RI'!A232</f>
        <v>5763</v>
      </c>
      <c r="B231" s="160" t="str">
        <f>'B) D RI'!B232</f>
        <v>Valeyres-sous-Rances</v>
      </c>
      <c r="C231" s="327">
        <f>'B) D RI'!S232</f>
        <v>65</v>
      </c>
      <c r="D231" s="161">
        <f>'B) D RI'!AR232</f>
        <v>622</v>
      </c>
      <c r="E231" s="325">
        <f>'D) Ecrêtage'!M230</f>
        <v>21043.479230769233</v>
      </c>
      <c r="F231" s="329">
        <f>'E) Fact soc'!G236</f>
        <v>313236.27647941501</v>
      </c>
      <c r="G231" s="326">
        <f>'H) Péréquation directe'!I241</f>
        <v>220116.35679436079</v>
      </c>
      <c r="H231" s="329">
        <f>+'I) Dépenses thématiques'!O230</f>
        <v>-185609.37755935657</v>
      </c>
      <c r="I231" s="326">
        <f>'K) Plafonnement aide'!J230</f>
        <v>0</v>
      </c>
      <c r="J231" s="329">
        <f>'J) Plafonnement effort'!I230</f>
        <v>0</v>
      </c>
      <c r="K231" s="326">
        <f>+'L) Plafonnement taux'!Q231</f>
        <v>0</v>
      </c>
      <c r="L231" s="324">
        <f t="shared" si="12"/>
        <v>347743.25571441924</v>
      </c>
      <c r="M231" s="233">
        <f>'M) Police'!O231</f>
        <v>65387.662007660758</v>
      </c>
      <c r="N231" s="233">
        <f t="shared" si="9"/>
        <v>413130.91772208002</v>
      </c>
      <c r="P231" s="470"/>
      <c r="R231" s="332"/>
    </row>
    <row r="232" spans="1:18" s="162" customFormat="1" x14ac:dyDescent="0.25">
      <c r="A232" s="159">
        <f>'B) D RI'!A233</f>
        <v>5764</v>
      </c>
      <c r="B232" s="160" t="str">
        <f>'B) D RI'!B233</f>
        <v>Vallorbe</v>
      </c>
      <c r="C232" s="327">
        <f>'B) D RI'!S233</f>
        <v>73</v>
      </c>
      <c r="D232" s="161">
        <f>'B) D RI'!AR233</f>
        <v>3852</v>
      </c>
      <c r="E232" s="325">
        <f>'D) Ecrêtage'!M231</f>
        <v>86289.103835616435</v>
      </c>
      <c r="F232" s="329">
        <f>'E) Fact soc'!G237</f>
        <v>2126258.7333335076</v>
      </c>
      <c r="G232" s="326">
        <f>'H) Péréquation directe'!I242</f>
        <v>-1433765.3722934623</v>
      </c>
      <c r="H232" s="329">
        <f>+'I) Dépenses thématiques'!O231</f>
        <v>-1779096.4570817645</v>
      </c>
      <c r="I232" s="326">
        <f>'K) Plafonnement aide'!J231</f>
        <v>0</v>
      </c>
      <c r="J232" s="329">
        <f>'J) Plafonnement effort'!I231</f>
        <v>0</v>
      </c>
      <c r="K232" s="326">
        <f>+'L) Plafonnement taux'!Q232</f>
        <v>0</v>
      </c>
      <c r="L232" s="324">
        <f t="shared" si="12"/>
        <v>-1086603.0960417192</v>
      </c>
      <c r="M232" s="233">
        <f>'M) Police'!O232</f>
        <v>267211.67776320578</v>
      </c>
      <c r="N232" s="233">
        <f t="shared" si="9"/>
        <v>-819391.41827851348</v>
      </c>
      <c r="P232" s="470"/>
      <c r="R232" s="332"/>
    </row>
    <row r="233" spans="1:18" s="162" customFormat="1" x14ac:dyDescent="0.25">
      <c r="A233" s="159">
        <f>'B) D RI'!A234</f>
        <v>5765</v>
      </c>
      <c r="B233" s="160" t="str">
        <f>'B) D RI'!B234</f>
        <v>Vaulion</v>
      </c>
      <c r="C233" s="327">
        <f>'B) D RI'!S234</f>
        <v>81</v>
      </c>
      <c r="D233" s="161">
        <f>'B) D RI'!AR234</f>
        <v>469</v>
      </c>
      <c r="E233" s="325">
        <f>'D) Ecrêtage'!M232</f>
        <v>9839.660864197529</v>
      </c>
      <c r="F233" s="329">
        <f>'E) Fact soc'!G238</f>
        <v>184955.72277978051</v>
      </c>
      <c r="G233" s="326">
        <f>'H) Péréquation directe'!I243</f>
        <v>-154296.49754471087</v>
      </c>
      <c r="H233" s="329">
        <f>+'I) Dépenses thématiques'!O232</f>
        <v>-139527.91135359716</v>
      </c>
      <c r="I233" s="326">
        <f>'K) Plafonnement aide'!J232</f>
        <v>0</v>
      </c>
      <c r="J233" s="329">
        <f>'J) Plafonnement effort'!I232</f>
        <v>0</v>
      </c>
      <c r="K233" s="326">
        <f>+'L) Plafonnement taux'!Q233</f>
        <v>0</v>
      </c>
      <c r="L233" s="324">
        <f t="shared" si="12"/>
        <v>-108868.68611852752</v>
      </c>
      <c r="M233" s="233">
        <f>'M) Police'!O233</f>
        <v>30389.689006990451</v>
      </c>
      <c r="N233" s="233">
        <f t="shared" si="9"/>
        <v>-78478.997111537072</v>
      </c>
      <c r="P233" s="470"/>
      <c r="R233" s="332"/>
    </row>
    <row r="234" spans="1:18" s="162" customFormat="1" x14ac:dyDescent="0.25">
      <c r="A234" s="159">
        <f>'B) D RI'!A235</f>
        <v>5766</v>
      </c>
      <c r="B234" s="160" t="str">
        <f>'B) D RI'!B235</f>
        <v>Vuiteboeuf</v>
      </c>
      <c r="C234" s="327">
        <f>'B) D RI'!S235</f>
        <v>77</v>
      </c>
      <c r="D234" s="161">
        <f>'B) D RI'!AR235</f>
        <v>584</v>
      </c>
      <c r="E234" s="325">
        <f>'D) Ecrêtage'!M233</f>
        <v>13336.017235621519</v>
      </c>
      <c r="F234" s="329">
        <f>'E) Fact soc'!G239</f>
        <v>223134.95464122744</v>
      </c>
      <c r="G234" s="326">
        <f>'H) Péréquation directe'!I244</f>
        <v>-110763.49783738787</v>
      </c>
      <c r="H234" s="329">
        <f>+'I) Dépenses thématiques'!O233</f>
        <v>-104061.50547893571</v>
      </c>
      <c r="I234" s="326">
        <f>'K) Plafonnement aide'!J233</f>
        <v>0</v>
      </c>
      <c r="J234" s="329">
        <f>'J) Plafonnement effort'!I233</f>
        <v>0</v>
      </c>
      <c r="K234" s="326">
        <f>+'L) Plafonnement taux'!Q234</f>
        <v>0</v>
      </c>
      <c r="L234" s="324">
        <f t="shared" si="12"/>
        <v>8309.9513249038573</v>
      </c>
      <c r="M234" s="233">
        <f>'M) Police'!O234</f>
        <v>41078.363198900246</v>
      </c>
      <c r="N234" s="233">
        <f t="shared" si="9"/>
        <v>49388.314523804103</v>
      </c>
      <c r="P234" s="470"/>
      <c r="R234" s="332"/>
    </row>
    <row r="235" spans="1:18" s="162" customFormat="1" x14ac:dyDescent="0.25">
      <c r="A235" s="159">
        <f>'B) D RI'!A236</f>
        <v>5785</v>
      </c>
      <c r="B235" s="160" t="str">
        <f>'B) D RI'!B236</f>
        <v>Corcelles-le-Jorat</v>
      </c>
      <c r="C235" s="327">
        <f>'B) D RI'!S236</f>
        <v>77</v>
      </c>
      <c r="D235" s="161">
        <f>'B) D RI'!AR236</f>
        <v>445</v>
      </c>
      <c r="E235" s="325">
        <f>'D) Ecrêtage'!M234</f>
        <v>15649.981168831173</v>
      </c>
      <c r="F235" s="329">
        <f>'E) Fact soc'!G240</f>
        <v>254703.46222543277</v>
      </c>
      <c r="G235" s="326">
        <f>'H) Péréquation directe'!I245</f>
        <v>148956.41953217343</v>
      </c>
      <c r="H235" s="329">
        <f>+'I) Dépenses thématiques'!O234</f>
        <v>-47465.661404487837</v>
      </c>
      <c r="I235" s="326">
        <f>'K) Plafonnement aide'!J234</f>
        <v>0</v>
      </c>
      <c r="J235" s="329">
        <f>'J) Plafonnement effort'!I234</f>
        <v>0</v>
      </c>
      <c r="K235" s="326">
        <f>+'L) Plafonnement taux'!Q235</f>
        <v>0</v>
      </c>
      <c r="L235" s="324">
        <f t="shared" si="12"/>
        <v>356194.22035311832</v>
      </c>
      <c r="M235" s="233">
        <f>'M) Police'!O235</f>
        <v>48957.560884535749</v>
      </c>
      <c r="N235" s="233">
        <f t="shared" si="9"/>
        <v>405151.78123765404</v>
      </c>
      <c r="P235" s="470"/>
      <c r="R235" s="332"/>
    </row>
    <row r="236" spans="1:18" s="162" customFormat="1" x14ac:dyDescent="0.25">
      <c r="A236" s="159">
        <f>'B) D RI'!A237</f>
        <v>5788</v>
      </c>
      <c r="B236" s="160" t="str">
        <f>'B) D RI'!B237</f>
        <v>Essertes</v>
      </c>
      <c r="C236" s="327">
        <f>'B) D RI'!S237</f>
        <v>72</v>
      </c>
      <c r="D236" s="161">
        <f>'B) D RI'!AR237</f>
        <v>374</v>
      </c>
      <c r="E236" s="325">
        <f>'D) Ecrêtage'!M235</f>
        <v>11949.454583333332</v>
      </c>
      <c r="F236" s="329">
        <f>'E) Fact soc'!G241</f>
        <v>198099.11187885734</v>
      </c>
      <c r="G236" s="326">
        <f>'H) Péréquation directe'!I246</f>
        <v>88519.885342448164</v>
      </c>
      <c r="H236" s="329">
        <f>+'I) Dépenses thématiques'!O235</f>
        <v>-15131.40137637228</v>
      </c>
      <c r="I236" s="326">
        <f>'K) Plafonnement aide'!J235</f>
        <v>0</v>
      </c>
      <c r="J236" s="329">
        <f>'J) Plafonnement effort'!I235</f>
        <v>0</v>
      </c>
      <c r="K236" s="326">
        <f>+'L) Plafonnement taux'!Q236</f>
        <v>0</v>
      </c>
      <c r="L236" s="324">
        <f t="shared" si="12"/>
        <v>271487.59584493324</v>
      </c>
      <c r="M236" s="233">
        <f>'M) Police'!O236</f>
        <v>36972.903979066723</v>
      </c>
      <c r="N236" s="233">
        <f t="shared" si="9"/>
        <v>308460.49982399994</v>
      </c>
      <c r="P236" s="470"/>
      <c r="R236" s="332"/>
    </row>
    <row r="237" spans="1:18" s="162" customFormat="1" x14ac:dyDescent="0.25">
      <c r="A237" s="159">
        <f>'B) D RI'!A238</f>
        <v>5790</v>
      </c>
      <c r="B237" s="160" t="str">
        <f>'B) D RI'!B238</f>
        <v>Maracon</v>
      </c>
      <c r="C237" s="327">
        <f>'B) D RI'!S238</f>
        <v>76</v>
      </c>
      <c r="D237" s="161">
        <f>'B) D RI'!AR238</f>
        <v>492</v>
      </c>
      <c r="E237" s="325">
        <f>'D) Ecrêtage'!M236</f>
        <v>13289.151710526314</v>
      </c>
      <c r="F237" s="329">
        <f>'E) Fact soc'!G242</f>
        <v>262949.81076321693</v>
      </c>
      <c r="G237" s="326">
        <f>'H) Péréquation directe'!I247</f>
        <v>-581.87889570527477</v>
      </c>
      <c r="H237" s="329">
        <f>+'I) Dépenses thématiques'!O236</f>
        <v>-97727.313684709865</v>
      </c>
      <c r="I237" s="326">
        <f>'K) Plafonnement aide'!J236</f>
        <v>0</v>
      </c>
      <c r="J237" s="329">
        <f>'J) Plafonnement effort'!I236</f>
        <v>0</v>
      </c>
      <c r="K237" s="326">
        <f>+'L) Plafonnement taux'!Q237</f>
        <v>0</v>
      </c>
      <c r="L237" s="324">
        <f t="shared" si="12"/>
        <v>164640.61818280179</v>
      </c>
      <c r="M237" s="233">
        <f>'M) Police'!O237</f>
        <v>40818.740276863668</v>
      </c>
      <c r="N237" s="233">
        <f t="shared" si="9"/>
        <v>205459.35845966544</v>
      </c>
      <c r="P237" s="470"/>
      <c r="R237" s="332"/>
    </row>
    <row r="238" spans="1:18" s="162" customFormat="1" x14ac:dyDescent="0.25">
      <c r="A238" s="159">
        <f>'B) D RI'!A239</f>
        <v>5792</v>
      </c>
      <c r="B238" s="160" t="str">
        <f>'B) D RI'!B239</f>
        <v>Montpreveyres</v>
      </c>
      <c r="C238" s="327">
        <f>'B) D RI'!S239</f>
        <v>77</v>
      </c>
      <c r="D238" s="161">
        <f>'B) D RI'!AR239</f>
        <v>643</v>
      </c>
      <c r="E238" s="325">
        <f>'D) Ecrêtage'!M237</f>
        <v>18753.372987012986</v>
      </c>
      <c r="F238" s="329">
        <f>'E) Fact soc'!G243</f>
        <v>344970.07297949004</v>
      </c>
      <c r="G238" s="326">
        <f>'H) Péréquation directe'!I248</f>
        <v>51106.386448544101</v>
      </c>
      <c r="H238" s="329">
        <f>+'I) Dépenses thématiques'!O237</f>
        <v>-127205.91180225647</v>
      </c>
      <c r="I238" s="326">
        <f>'K) Plafonnement aide'!J237</f>
        <v>0</v>
      </c>
      <c r="J238" s="329">
        <f>'J) Plafonnement effort'!I237</f>
        <v>0</v>
      </c>
      <c r="K238" s="326">
        <f>+'L) Plafonnement taux'!Q238</f>
        <v>0</v>
      </c>
      <c r="L238" s="324">
        <f t="shared" si="12"/>
        <v>268870.54762577766</v>
      </c>
      <c r="M238" s="233">
        <f>'M) Police'!O238</f>
        <v>57925.421420024206</v>
      </c>
      <c r="N238" s="233">
        <f t="shared" si="9"/>
        <v>326795.96904580184</v>
      </c>
      <c r="P238" s="470"/>
      <c r="R238" s="332"/>
    </row>
    <row r="239" spans="1:18" s="162" customFormat="1" x14ac:dyDescent="0.25">
      <c r="A239" s="159">
        <f>'B) D RI'!A240</f>
        <v>5798</v>
      </c>
      <c r="B239" s="160" t="str">
        <f>'B) D RI'!B240</f>
        <v>Ropraz</v>
      </c>
      <c r="C239" s="327">
        <f>'B) D RI'!S240</f>
        <v>77.5</v>
      </c>
      <c r="D239" s="161">
        <f>'B) D RI'!AR240</f>
        <v>494</v>
      </c>
      <c r="E239" s="325">
        <f>'D) Ecrêtage'!M238</f>
        <v>13764.738967741932</v>
      </c>
      <c r="F239" s="329">
        <f>'E) Fact soc'!G244</f>
        <v>250406.81237487221</v>
      </c>
      <c r="G239" s="326">
        <f>'H) Péréquation directe'!I249</f>
        <v>9317.9391310085775</v>
      </c>
      <c r="H239" s="329">
        <f>+'I) Dépenses thématiques'!O238</f>
        <v>-73440.505175310172</v>
      </c>
      <c r="I239" s="326">
        <f>'K) Plafonnement aide'!J238</f>
        <v>0</v>
      </c>
      <c r="J239" s="329">
        <f>'J) Plafonnement effort'!I238</f>
        <v>0</v>
      </c>
      <c r="K239" s="326">
        <f>+'L) Plafonnement taux'!Q239</f>
        <v>0</v>
      </c>
      <c r="L239" s="324">
        <f t="shared" si="12"/>
        <v>186284.2463305706</v>
      </c>
      <c r="M239" s="233">
        <f>'M) Police'!O239</f>
        <v>42589.351818407384</v>
      </c>
      <c r="N239" s="233">
        <f t="shared" si="9"/>
        <v>228873.598148978</v>
      </c>
      <c r="P239" s="470"/>
      <c r="R239" s="332"/>
    </row>
    <row r="240" spans="1:18" s="162" customFormat="1" x14ac:dyDescent="0.25">
      <c r="A240" s="159">
        <f>'B) D RI'!A241</f>
        <v>5799</v>
      </c>
      <c r="B240" s="160" t="str">
        <f>'B) D RI'!B241</f>
        <v>Servion</v>
      </c>
      <c r="C240" s="327">
        <f>'B) D RI'!S241</f>
        <v>69</v>
      </c>
      <c r="D240" s="161">
        <f>'B) D RI'!AR241</f>
        <v>1942</v>
      </c>
      <c r="E240" s="325">
        <f>'D) Ecrêtage'!M239</f>
        <v>69335.991449275345</v>
      </c>
      <c r="F240" s="329">
        <f>'E) Fact soc'!G245</f>
        <v>1332537.5514659649</v>
      </c>
      <c r="G240" s="326">
        <f>'H) Péréquation directe'!I250</f>
        <v>543246.92132173863</v>
      </c>
      <c r="H240" s="329">
        <f>+'I) Dépenses thématiques'!O239</f>
        <v>-204674.72385694241</v>
      </c>
      <c r="I240" s="326">
        <f>'K) Plafonnement aide'!J239</f>
        <v>0</v>
      </c>
      <c r="J240" s="329">
        <f>'J) Plafonnement effort'!I239</f>
        <v>0</v>
      </c>
      <c r="K240" s="326">
        <f>+'L) Plafonnement taux'!Q240</f>
        <v>0</v>
      </c>
      <c r="L240" s="324">
        <f t="shared" si="12"/>
        <v>1671109.7489307609</v>
      </c>
      <c r="M240" s="233">
        <f>'M) Police'!O240</f>
        <v>213950.11182435104</v>
      </c>
      <c r="N240" s="233">
        <f t="shared" si="9"/>
        <v>1885059.860755112</v>
      </c>
      <c r="P240" s="470"/>
      <c r="R240" s="332"/>
    </row>
    <row r="241" spans="1:18" s="162" customFormat="1" x14ac:dyDescent="0.25">
      <c r="A241" s="159">
        <f>'B) D RI'!A242</f>
        <v>5803</v>
      </c>
      <c r="B241" s="160" t="str">
        <f>'B) D RI'!B242</f>
        <v>Vulliens</v>
      </c>
      <c r="C241" s="327">
        <f>'B) D RI'!S242</f>
        <v>78</v>
      </c>
      <c r="D241" s="161">
        <f>'B) D RI'!AR242</f>
        <v>595</v>
      </c>
      <c r="E241" s="325">
        <f>'D) Ecrêtage'!M240</f>
        <v>16619.681923076922</v>
      </c>
      <c r="F241" s="329">
        <f>'E) Fact soc'!G246</f>
        <v>308759.0945950466</v>
      </c>
      <c r="G241" s="326">
        <f>'H) Péréquation directe'!I251</f>
        <v>9819.50495069928</v>
      </c>
      <c r="H241" s="329">
        <f>+'I) Dépenses thématiques'!O240</f>
        <v>-68537.004657573532</v>
      </c>
      <c r="I241" s="326">
        <f>'K) Plafonnement aide'!J240</f>
        <v>0</v>
      </c>
      <c r="J241" s="329">
        <f>'J) Plafonnement effort'!I240</f>
        <v>0</v>
      </c>
      <c r="K241" s="326">
        <f>+'L) Plafonnement taux'!Q241</f>
        <v>0</v>
      </c>
      <c r="L241" s="324">
        <f t="shared" si="12"/>
        <v>250041.59488817235</v>
      </c>
      <c r="M241" s="233">
        <f>'M) Police'!O241</f>
        <v>51613.375664478619</v>
      </c>
      <c r="N241" s="233">
        <f t="shared" si="9"/>
        <v>301654.97055265098</v>
      </c>
      <c r="P241" s="470"/>
      <c r="R241" s="332"/>
    </row>
    <row r="242" spans="1:18" s="162" customFormat="1" x14ac:dyDescent="0.25">
      <c r="A242" s="159">
        <f>'B) D RI'!A243</f>
        <v>5804</v>
      </c>
      <c r="B242" s="160" t="str">
        <f>'B) D RI'!B243</f>
        <v>Jorat-Menthue</v>
      </c>
      <c r="C242" s="327">
        <f>'B) D RI'!S243</f>
        <v>72</v>
      </c>
      <c r="D242" s="161">
        <f>'B) D RI'!AR243</f>
        <v>1586</v>
      </c>
      <c r="E242" s="325">
        <f>'D) Ecrêtage'!M241</f>
        <v>47559.531944444454</v>
      </c>
      <c r="F242" s="329">
        <f>'E) Fact soc'!G247</f>
        <v>745793.36208787304</v>
      </c>
      <c r="G242" s="326">
        <f>'H) Péréquation directe'!I252</f>
        <v>105837.58868662128</v>
      </c>
      <c r="H242" s="329">
        <f>+'I) Dépenses thématiques'!O241</f>
        <v>-360672.83041679475</v>
      </c>
      <c r="I242" s="326">
        <f>'K) Plafonnement aide'!J241</f>
        <v>0</v>
      </c>
      <c r="J242" s="329">
        <f>'J) Plafonnement effort'!I241</f>
        <v>0</v>
      </c>
      <c r="K242" s="326">
        <f>+'L) Plafonnement taux'!Q242</f>
        <v>0</v>
      </c>
      <c r="L242" s="324">
        <f>F242+G242+H242+I242+J242+K242</f>
        <v>490958.12035769958</v>
      </c>
      <c r="M242" s="233">
        <f>'M) Police'!O242</f>
        <v>147061.73340241736</v>
      </c>
      <c r="N242" s="233">
        <f t="shared" si="9"/>
        <v>638019.85376011697</v>
      </c>
      <c r="P242" s="470"/>
      <c r="R242" s="332"/>
    </row>
    <row r="243" spans="1:18" s="162" customFormat="1" x14ac:dyDescent="0.25">
      <c r="A243" s="159">
        <f>'B) D RI'!A244</f>
        <v>5805</v>
      </c>
      <c r="B243" s="160" t="str">
        <f>'B) D RI'!B244</f>
        <v>Oron</v>
      </c>
      <c r="C243" s="327">
        <f>'B) D RI'!S244</f>
        <v>69</v>
      </c>
      <c r="D243" s="161">
        <f>'B) D RI'!AR244</f>
        <v>5501</v>
      </c>
      <c r="E243" s="325">
        <f>'D) Ecrêtage'!M242</f>
        <v>157344.05109354414</v>
      </c>
      <c r="F243" s="329">
        <f>'E) Fact soc'!G248</f>
        <v>2918810.8429001323</v>
      </c>
      <c r="G243" s="326">
        <f>'H) Péréquation directe'!I253</f>
        <v>-823426.84657365549</v>
      </c>
      <c r="H243" s="329">
        <f>+'I) Dépenses thématiques'!O242</f>
        <v>-600208.803837838</v>
      </c>
      <c r="I243" s="326">
        <f>'K) Plafonnement aide'!J242</f>
        <v>0</v>
      </c>
      <c r="J243" s="329">
        <f>'J) Plafonnement effort'!I242</f>
        <v>0</v>
      </c>
      <c r="K243" s="326">
        <f>+'L) Plafonnement taux'!Q243</f>
        <v>0</v>
      </c>
      <c r="L243" s="324">
        <f>F243+G243+H243+I243+J243+K243</f>
        <v>1495175.1924886387</v>
      </c>
      <c r="M243" s="233">
        <f>'M) Police'!O243</f>
        <v>482299.31227626733</v>
      </c>
      <c r="N243" s="233">
        <f t="shared" si="9"/>
        <v>1977474.5047649061</v>
      </c>
      <c r="P243" s="470"/>
      <c r="R243" s="332"/>
    </row>
    <row r="244" spans="1:18" s="162" customFormat="1" x14ac:dyDescent="0.25">
      <c r="A244" s="159">
        <f>'B) D RI'!A245</f>
        <v>5806</v>
      </c>
      <c r="B244" s="160" t="str">
        <f>'B) D RI'!B245</f>
        <v>Jorat-Mézières</v>
      </c>
      <c r="C244" s="327">
        <f>'B) D RI'!S245</f>
        <v>76</v>
      </c>
      <c r="D244" s="161">
        <f>'B) D RI'!AR245</f>
        <v>2869</v>
      </c>
      <c r="E244" s="325">
        <f>'D) Ecrêtage'!M243</f>
        <v>90571.355131578952</v>
      </c>
      <c r="F244" s="329">
        <f>'E) Fact soc'!G249</f>
        <v>1666414.6922904896</v>
      </c>
      <c r="G244" s="326">
        <f>'H) Péréquation directe'!I254</f>
        <v>77977.163597308798</v>
      </c>
      <c r="H244" s="329">
        <f>+'I) Dépenses thématiques'!O243</f>
        <v>-371400.71270215366</v>
      </c>
      <c r="I244" s="326">
        <f>'K) Plafonnement aide'!J243</f>
        <v>0</v>
      </c>
      <c r="J244" s="329">
        <f>'J) Plafonnement effort'!I243</f>
        <v>0</v>
      </c>
      <c r="K244" s="326">
        <f>+'L) Plafonnement taux'!Q244</f>
        <v>0</v>
      </c>
      <c r="L244" s="324">
        <f>F244+G244+H244+I244+J244+K244</f>
        <v>1372991.1431856446</v>
      </c>
      <c r="M244" s="233">
        <f>'M) Police'!O244</f>
        <v>280358.61889707221</v>
      </c>
      <c r="N244" s="233">
        <f t="shared" ref="N244" si="13">L244+M244</f>
        <v>1653349.7620827169</v>
      </c>
      <c r="P244" s="470"/>
      <c r="R244" s="332"/>
    </row>
    <row r="245" spans="1:18" s="162" customFormat="1" x14ac:dyDescent="0.25">
      <c r="A245" s="159">
        <f>'B) D RI'!A246</f>
        <v>5812</v>
      </c>
      <c r="B245" s="160" t="str">
        <f>'B) D RI'!B246</f>
        <v>Champtauroz</v>
      </c>
      <c r="C245" s="327">
        <f>'B) D RI'!S246</f>
        <v>77</v>
      </c>
      <c r="D245" s="161">
        <f>'B) D RI'!AR246</f>
        <v>122</v>
      </c>
      <c r="E245" s="325">
        <f>'D) Ecrêtage'!M244</f>
        <v>2425.1270779220786</v>
      </c>
      <c r="F245" s="329">
        <f>'E) Fact soc'!G250</f>
        <v>45933.935944489487</v>
      </c>
      <c r="G245" s="326">
        <f>'H) Péréquation directe'!I255</f>
        <v>-38481.213346581877</v>
      </c>
      <c r="H245" s="329">
        <f>+'I) Dépenses thématiques'!O244</f>
        <v>-25417.201309787775</v>
      </c>
      <c r="I245" s="326">
        <f>'K) Plafonnement aide'!J244</f>
        <v>0</v>
      </c>
      <c r="J245" s="329">
        <f>'J) Plafonnement effort'!I244</f>
        <v>0</v>
      </c>
      <c r="K245" s="326">
        <f>+'L) Plafonnement taux'!Q245</f>
        <v>0</v>
      </c>
      <c r="L245" s="324">
        <f t="shared" si="12"/>
        <v>-17964.478711880165</v>
      </c>
      <c r="M245" s="233">
        <f>'M) Police'!O245</f>
        <v>7460.3435076971809</v>
      </c>
      <c r="N245" s="233">
        <f t="shared" si="9"/>
        <v>-10504.135204182985</v>
      </c>
      <c r="P245" s="470"/>
      <c r="R245" s="332"/>
    </row>
    <row r="246" spans="1:18" s="162" customFormat="1" x14ac:dyDescent="0.25">
      <c r="A246" s="159">
        <f>'B) D RI'!A247</f>
        <v>5813</v>
      </c>
      <c r="B246" s="160" t="str">
        <f>'B) D RI'!B247</f>
        <v>Chevroux</v>
      </c>
      <c r="C246" s="327">
        <f>'B) D RI'!S247</f>
        <v>70</v>
      </c>
      <c r="D246" s="161">
        <f>'B) D RI'!AR247</f>
        <v>480</v>
      </c>
      <c r="E246" s="325">
        <f>'D) Ecrêtage'!M245</f>
        <v>13114.094904761907</v>
      </c>
      <c r="F246" s="329">
        <f>'E) Fact soc'!G251</f>
        <v>278151.59827618359</v>
      </c>
      <c r="G246" s="326">
        <f>'H) Péréquation directe'!I256</f>
        <v>35298.531109229429</v>
      </c>
      <c r="H246" s="329">
        <f>+'I) Dépenses thématiques'!O245</f>
        <v>-81521.359392642669</v>
      </c>
      <c r="I246" s="326">
        <f>'K) Plafonnement aide'!J245</f>
        <v>0</v>
      </c>
      <c r="J246" s="329">
        <f>'J) Plafonnement effort'!I245</f>
        <v>0</v>
      </c>
      <c r="K246" s="326">
        <f>+'L) Plafonnement taux'!Q246</f>
        <v>0</v>
      </c>
      <c r="L246" s="324">
        <f t="shared" si="12"/>
        <v>231928.76999277034</v>
      </c>
      <c r="M246" s="233">
        <f>'M) Police'!O246</f>
        <v>40092.675315411296</v>
      </c>
      <c r="N246" s="233">
        <f t="shared" si="9"/>
        <v>272021.44530818163</v>
      </c>
      <c r="P246" s="470"/>
      <c r="R246" s="332"/>
    </row>
    <row r="247" spans="1:18" s="162" customFormat="1" x14ac:dyDescent="0.25">
      <c r="A247" s="159">
        <f>'B) D RI'!A248</f>
        <v>5816</v>
      </c>
      <c r="B247" s="160" t="str">
        <f>'B) D RI'!B248</f>
        <v>Corcelles-près-Payerne</v>
      </c>
      <c r="C247" s="327">
        <f>'B) D RI'!S248</f>
        <v>72</v>
      </c>
      <c r="D247" s="161">
        <f>'B) D RI'!AR248</f>
        <v>2479</v>
      </c>
      <c r="E247" s="325">
        <f>'D) Ecrêtage'!M246</f>
        <v>56247.882400793642</v>
      </c>
      <c r="F247" s="329">
        <f>'E) Fact soc'!G252</f>
        <v>953743.43968181615</v>
      </c>
      <c r="G247" s="326">
        <f>'H) Péréquation directe'!I257</f>
        <v>-690883.81576923118</v>
      </c>
      <c r="H247" s="329">
        <f>+'I) Dépenses thématiques'!O246</f>
        <v>-329484.42668999336</v>
      </c>
      <c r="I247" s="326">
        <f>'K) Plafonnement aide'!J246</f>
        <v>0</v>
      </c>
      <c r="J247" s="329">
        <f>'J) Plafonnement effort'!I246</f>
        <v>0</v>
      </c>
      <c r="K247" s="326">
        <f>+'L) Plafonnement taux'!Q247</f>
        <v>0</v>
      </c>
      <c r="L247" s="324">
        <f t="shared" si="12"/>
        <v>-66624.802777408389</v>
      </c>
      <c r="M247" s="233">
        <f>'M) Police'!O247</f>
        <v>172069.46946680988</v>
      </c>
      <c r="N247" s="233">
        <f t="shared" si="9"/>
        <v>105444.66668940149</v>
      </c>
      <c r="P247" s="470"/>
      <c r="R247" s="332"/>
    </row>
    <row r="248" spans="1:18" s="162" customFormat="1" x14ac:dyDescent="0.25">
      <c r="A248" s="159">
        <f>'B) D RI'!A249</f>
        <v>5817</v>
      </c>
      <c r="B248" s="160" t="str">
        <f>'B) D RI'!B249</f>
        <v>Grandcour</v>
      </c>
      <c r="C248" s="327">
        <f>'B) D RI'!S249</f>
        <v>77</v>
      </c>
      <c r="D248" s="161">
        <f>'B) D RI'!AR249</f>
        <v>929</v>
      </c>
      <c r="E248" s="325">
        <f>'D) Ecrêtage'!M247</f>
        <v>23573.392337662339</v>
      </c>
      <c r="F248" s="329">
        <f>'E) Fact soc'!G253</f>
        <v>478286.08160773152</v>
      </c>
      <c r="G248" s="326">
        <f>'H) Péréquation directe'!I258</f>
        <v>-75888.640950977278</v>
      </c>
      <c r="H248" s="329">
        <f>+'I) Dépenses thématiques'!O247</f>
        <v>-125477.59013358137</v>
      </c>
      <c r="I248" s="326">
        <f>'K) Plafonnement aide'!J247</f>
        <v>0</v>
      </c>
      <c r="J248" s="329">
        <f>'J) Plafonnement effort'!I247</f>
        <v>0</v>
      </c>
      <c r="K248" s="326">
        <f>+'L) Plafonnement taux'!Q248</f>
        <v>0</v>
      </c>
      <c r="L248" s="324">
        <f t="shared" si="12"/>
        <v>276919.85052317288</v>
      </c>
      <c r="M248" s="233">
        <f>'M) Police'!O248</f>
        <v>73282.376837503485</v>
      </c>
      <c r="N248" s="233">
        <f t="shared" si="9"/>
        <v>350202.22736067639</v>
      </c>
      <c r="P248" s="470"/>
      <c r="R248" s="332"/>
    </row>
    <row r="249" spans="1:18" s="162" customFormat="1" x14ac:dyDescent="0.25">
      <c r="A249" s="159">
        <f>'B) D RI'!A250</f>
        <v>5819</v>
      </c>
      <c r="B249" s="160" t="str">
        <f>'B) D RI'!B250</f>
        <v>Henniez</v>
      </c>
      <c r="C249" s="327">
        <f>'B) D RI'!S250</f>
        <v>69</v>
      </c>
      <c r="D249" s="161">
        <f>'B) D RI'!AR250</f>
        <v>341</v>
      </c>
      <c r="E249" s="325">
        <f>'D) Ecrêtage'!M248</f>
        <v>13558.497971014494</v>
      </c>
      <c r="F249" s="329">
        <f>'E) Fact soc'!G254</f>
        <v>236506.3760751909</v>
      </c>
      <c r="G249" s="326">
        <f>'H) Péréquation directe'!I259</f>
        <v>189117.01642867411</v>
      </c>
      <c r="H249" s="329">
        <f>+'I) Dépenses thématiques'!O248</f>
        <v>-71114.646444432845</v>
      </c>
      <c r="I249" s="326">
        <f>'K) Plafonnement aide'!J248</f>
        <v>0</v>
      </c>
      <c r="J249" s="329">
        <f>'J) Plafonnement effort'!I248</f>
        <v>0</v>
      </c>
      <c r="K249" s="326">
        <f>+'L) Plafonnement taux'!Q249</f>
        <v>0</v>
      </c>
      <c r="L249" s="324">
        <f t="shared" si="12"/>
        <v>354508.74605943216</v>
      </c>
      <c r="M249" s="233">
        <f>'M) Police'!O249</f>
        <v>41521.174388908112</v>
      </c>
      <c r="N249" s="233">
        <f t="shared" si="9"/>
        <v>396029.92044834024</v>
      </c>
      <c r="P249" s="470"/>
      <c r="R249" s="332"/>
    </row>
    <row r="250" spans="1:18" s="162" customFormat="1" x14ac:dyDescent="0.25">
      <c r="A250" s="159">
        <f>'B) D RI'!A251</f>
        <v>5821</v>
      </c>
      <c r="B250" s="160" t="str">
        <f>'B) D RI'!B251</f>
        <v>Missy</v>
      </c>
      <c r="C250" s="327">
        <f>'B) D RI'!S251</f>
        <v>72</v>
      </c>
      <c r="D250" s="161">
        <f>'B) D RI'!AR251</f>
        <v>368</v>
      </c>
      <c r="E250" s="325">
        <f>'D) Ecrêtage'!M249</f>
        <v>8603.5648611111101</v>
      </c>
      <c r="F250" s="329">
        <f>'E) Fact soc'!G255</f>
        <v>140985.58662542736</v>
      </c>
      <c r="G250" s="326">
        <f>'H) Péréquation directe'!I260</f>
        <v>-37688.023988188739</v>
      </c>
      <c r="H250" s="329">
        <f>+'I) Dépenses thématiques'!O249</f>
        <v>-17346.82478064972</v>
      </c>
      <c r="I250" s="326">
        <f>'K) Plafonnement aide'!J249</f>
        <v>0</v>
      </c>
      <c r="J250" s="329">
        <f>'J) Plafonnement effort'!I249</f>
        <v>0</v>
      </c>
      <c r="K250" s="326">
        <f>+'L) Plafonnement taux'!Q250</f>
        <v>0</v>
      </c>
      <c r="L250" s="324">
        <f t="shared" si="12"/>
        <v>85950.737856588894</v>
      </c>
      <c r="M250" s="233">
        <f>'M) Police'!O250</f>
        <v>26436.609449446834</v>
      </c>
      <c r="N250" s="233">
        <f t="shared" si="9"/>
        <v>112387.34730603572</v>
      </c>
      <c r="P250" s="470"/>
      <c r="R250" s="332"/>
    </row>
    <row r="251" spans="1:18" s="162" customFormat="1" x14ac:dyDescent="0.25">
      <c r="A251" s="159">
        <f>'B) D RI'!A252</f>
        <v>5822</v>
      </c>
      <c r="B251" s="160" t="str">
        <f>'B) D RI'!B252</f>
        <v>Payerne</v>
      </c>
      <c r="C251" s="327">
        <f>'B) D RI'!S252</f>
        <v>75</v>
      </c>
      <c r="D251" s="161">
        <f>'B) D RI'!AR252</f>
        <v>9971</v>
      </c>
      <c r="E251" s="325">
        <f>'D) Ecrêtage'!M250</f>
        <v>249319.03186666669</v>
      </c>
      <c r="F251" s="329">
        <f>'E) Fact soc'!G256</f>
        <v>4389967.6231436003</v>
      </c>
      <c r="G251" s="326">
        <f>'H) Péréquation directe'!I261</f>
        <v>-4754445.1622343315</v>
      </c>
      <c r="H251" s="329">
        <f>+'I) Dépenses thématiques'!O250</f>
        <v>-1191008.2932535203</v>
      </c>
      <c r="I251" s="326">
        <f>'K) Plafonnement aide'!J250</f>
        <v>0</v>
      </c>
      <c r="J251" s="329">
        <f>'J) Plafonnement effort'!I250</f>
        <v>0</v>
      </c>
      <c r="K251" s="326">
        <f>+'L) Plafonnement taux'!Q251</f>
        <v>0</v>
      </c>
      <c r="L251" s="324">
        <f t="shared" si="12"/>
        <v>-1555485.8323442515</v>
      </c>
      <c r="M251" s="233">
        <f>'M) Police'!O251</f>
        <v>768137.69668836659</v>
      </c>
      <c r="N251" s="233">
        <f t="shared" si="9"/>
        <v>-787348.13565588486</v>
      </c>
      <c r="P251" s="470"/>
      <c r="R251" s="332"/>
    </row>
    <row r="252" spans="1:18" s="162" customFormat="1" x14ac:dyDescent="0.25">
      <c r="A252" s="159">
        <f>'B) D RI'!A253</f>
        <v>5827</v>
      </c>
      <c r="B252" s="160" t="str">
        <f>'B) D RI'!B253</f>
        <v>Trey</v>
      </c>
      <c r="C252" s="327">
        <f>'B) D RI'!S253</f>
        <v>80</v>
      </c>
      <c r="D252" s="161">
        <f>'B) D RI'!AR253</f>
        <v>267</v>
      </c>
      <c r="E252" s="325">
        <f>'D) Ecrêtage'!M251</f>
        <v>7228.8600000000006</v>
      </c>
      <c r="F252" s="329">
        <f>'E) Fact soc'!G257</f>
        <v>124893.87631407175</v>
      </c>
      <c r="G252" s="326">
        <f>'H) Péréquation directe'!I262</f>
        <v>-11499.458658498537</v>
      </c>
      <c r="H252" s="329">
        <f>+'I) Dépenses thématiques'!O251</f>
        <v>-50856.692136907586</v>
      </c>
      <c r="I252" s="326">
        <f>'K) Plafonnement aide'!J251</f>
        <v>0</v>
      </c>
      <c r="J252" s="329">
        <f>'J) Plafonnement effort'!I251</f>
        <v>0</v>
      </c>
      <c r="K252" s="326">
        <f>+'L) Plafonnement taux'!Q252</f>
        <v>0</v>
      </c>
      <c r="L252" s="324">
        <f t="shared" si="12"/>
        <v>62537.725518665626</v>
      </c>
      <c r="M252" s="233">
        <f>'M) Police'!O252</f>
        <v>22555.404165167412</v>
      </c>
      <c r="N252" s="233">
        <f t="shared" si="9"/>
        <v>85093.129683833045</v>
      </c>
      <c r="P252" s="470"/>
      <c r="R252" s="332"/>
    </row>
    <row r="253" spans="1:18" s="162" customFormat="1" x14ac:dyDescent="0.25">
      <c r="A253" s="159">
        <f>'B) D RI'!A254</f>
        <v>5828</v>
      </c>
      <c r="B253" s="160" t="str">
        <f>'B) D RI'!B254</f>
        <v>Treytorrens (Payerne)</v>
      </c>
      <c r="C253" s="327">
        <f>'B) D RI'!S254</f>
        <v>84</v>
      </c>
      <c r="D253" s="161">
        <f>'B) D RI'!AR254</f>
        <v>119</v>
      </c>
      <c r="E253" s="325">
        <f>'D) Ecrêtage'!M252</f>
        <v>2672.2867063492063</v>
      </c>
      <c r="F253" s="329">
        <f>'E) Fact soc'!G258</f>
        <v>50036.426569077958</v>
      </c>
      <c r="G253" s="326">
        <f>'H) Péréquation directe'!I263</f>
        <v>-36527.06881019783</v>
      </c>
      <c r="H253" s="329">
        <f>+'I) Dépenses thématiques'!O252</f>
        <v>-34165.058188473275</v>
      </c>
      <c r="I253" s="326">
        <f>'K) Plafonnement aide'!J252</f>
        <v>0</v>
      </c>
      <c r="J253" s="329">
        <f>'J) Plafonnement effort'!I252</f>
        <v>0</v>
      </c>
      <c r="K253" s="326">
        <f>+'L) Plafonnement taux'!Q253</f>
        <v>0</v>
      </c>
      <c r="L253" s="324">
        <f t="shared" si="12"/>
        <v>-20655.700429593147</v>
      </c>
      <c r="M253" s="233">
        <f>'M) Police'!O253</f>
        <v>8313.1051157701477</v>
      </c>
      <c r="N253" s="233">
        <f t="shared" si="9"/>
        <v>-12342.595313823</v>
      </c>
      <c r="P253" s="470"/>
      <c r="R253" s="332"/>
    </row>
    <row r="254" spans="1:18" s="162" customFormat="1" x14ac:dyDescent="0.25">
      <c r="A254" s="159">
        <f>'B) D RI'!A255</f>
        <v>5830</v>
      </c>
      <c r="B254" s="160" t="str">
        <f>'B) D RI'!B255</f>
        <v>Villarzel</v>
      </c>
      <c r="C254" s="327">
        <f>'B) D RI'!S255</f>
        <v>79</v>
      </c>
      <c r="D254" s="161">
        <f>'B) D RI'!AR255</f>
        <v>446</v>
      </c>
      <c r="E254" s="325">
        <f>'D) Ecrêtage'!M253</f>
        <v>12137.70417721519</v>
      </c>
      <c r="F254" s="329">
        <f>'E) Fact soc'!G259</f>
        <v>206631.95928191693</v>
      </c>
      <c r="G254" s="326">
        <f>'H) Péréquation directe'!I264</f>
        <v>-11408.018184121145</v>
      </c>
      <c r="H254" s="329">
        <f>+'I) Dépenses thématiques'!O253</f>
        <v>-86126.869793562786</v>
      </c>
      <c r="I254" s="326">
        <f>'K) Plafonnement aide'!J253</f>
        <v>0</v>
      </c>
      <c r="J254" s="329">
        <f>'J) Plafonnement effort'!I253</f>
        <v>0</v>
      </c>
      <c r="K254" s="326">
        <f>+'L) Plafonnement taux'!Q254</f>
        <v>0</v>
      </c>
      <c r="L254" s="324">
        <f t="shared" si="12"/>
        <v>109097.071304233</v>
      </c>
      <c r="M254" s="233">
        <f>'M) Police'!O254</f>
        <v>37955.02707190752</v>
      </c>
      <c r="N254" s="233">
        <f t="shared" si="9"/>
        <v>147052.09837614052</v>
      </c>
      <c r="P254" s="470"/>
      <c r="R254" s="332"/>
    </row>
    <row r="255" spans="1:18" s="162" customFormat="1" x14ac:dyDescent="0.25">
      <c r="A255" s="159">
        <f>'B) D RI'!A256</f>
        <v>5831</v>
      </c>
      <c r="B255" s="160" t="str">
        <f>'B) D RI'!B256</f>
        <v>Valbroye</v>
      </c>
      <c r="C255" s="327">
        <f>'B) D RI'!S256</f>
        <v>73</v>
      </c>
      <c r="D255" s="161">
        <f>'B) D RI'!AR256</f>
        <v>3174</v>
      </c>
      <c r="E255" s="325">
        <f>'D) Ecrêtage'!M254</f>
        <v>85960.311415525095</v>
      </c>
      <c r="F255" s="329">
        <f>'E) Fact soc'!G260</f>
        <v>1602277.9757041733</v>
      </c>
      <c r="G255" s="326">
        <f>'H) Péréquation directe'!I265</f>
        <v>-461899.04568257253</v>
      </c>
      <c r="H255" s="329">
        <f>+'I) Dépenses thématiques'!O254</f>
        <v>-674945.99802598823</v>
      </c>
      <c r="I255" s="326">
        <f>'K) Plafonnement aide'!J254</f>
        <v>0</v>
      </c>
      <c r="J255" s="329">
        <f>'J) Plafonnement effort'!I254</f>
        <v>0</v>
      </c>
      <c r="K255" s="326">
        <f>+'L) Plafonnement taux'!Q255</f>
        <v>0</v>
      </c>
      <c r="L255" s="324">
        <f>F255+G255+H255+I255+J255+K255</f>
        <v>465432.93199561257</v>
      </c>
      <c r="M255" s="233">
        <f>'M) Police'!O255</f>
        <v>266385.47115122288</v>
      </c>
      <c r="N255" s="233">
        <f t="shared" ref="N255:N314" si="14">L255+M255</f>
        <v>731818.40314683551</v>
      </c>
      <c r="P255" s="470"/>
      <c r="R255" s="332"/>
    </row>
    <row r="256" spans="1:18" s="162" customFormat="1" x14ac:dyDescent="0.25">
      <c r="A256" s="159">
        <f>'B) D RI'!A257</f>
        <v>5841</v>
      </c>
      <c r="B256" s="160" t="str">
        <f>'B) D RI'!B257</f>
        <v>Château-d'Oex</v>
      </c>
      <c r="C256" s="327">
        <f>'B) D RI'!S257</f>
        <v>83</v>
      </c>
      <c r="D256" s="161">
        <f>'B) D RI'!AR257</f>
        <v>3460</v>
      </c>
      <c r="E256" s="325">
        <f>'D) Ecrêtage'!M255</f>
        <v>118196.91686746987</v>
      </c>
      <c r="F256" s="329">
        <f>'E) Fact soc'!G261</f>
        <v>2230037.0281045772</v>
      </c>
      <c r="G256" s="326">
        <f>'H) Péréquation directe'!I266</f>
        <v>182865.25885631423</v>
      </c>
      <c r="H256" s="329">
        <f>+'I) Dépenses thématiques'!O255</f>
        <v>-1794464.346822228</v>
      </c>
      <c r="I256" s="326">
        <f>'K) Plafonnement aide'!J255</f>
        <v>0</v>
      </c>
      <c r="J256" s="329">
        <f>'J) Plafonnement effort'!I255</f>
        <v>0</v>
      </c>
      <c r="K256" s="326">
        <f>+'L) Plafonnement taux'!Q256</f>
        <v>0</v>
      </c>
      <c r="L256" s="324">
        <f t="shared" si="12"/>
        <v>618437.9401386634</v>
      </c>
      <c r="M256" s="233">
        <f>'M) Police'!O256</f>
        <v>358738.51233044581</v>
      </c>
      <c r="N256" s="233">
        <f t="shared" si="14"/>
        <v>977176.45246910921</v>
      </c>
      <c r="P256" s="470"/>
      <c r="R256" s="332"/>
    </row>
    <row r="257" spans="1:18" s="162" customFormat="1" x14ac:dyDescent="0.25">
      <c r="A257" s="159">
        <f>'B) D RI'!A258</f>
        <v>5842</v>
      </c>
      <c r="B257" s="160" t="str">
        <f>'B) D RI'!B258</f>
        <v>Rossinière</v>
      </c>
      <c r="C257" s="327">
        <f>'B) D RI'!S258</f>
        <v>81</v>
      </c>
      <c r="D257" s="161">
        <f>'B) D RI'!AR258</f>
        <v>548</v>
      </c>
      <c r="E257" s="325">
        <f>'D) Ecrêtage'!M256</f>
        <v>16178.883744855966</v>
      </c>
      <c r="F257" s="329">
        <f>'E) Fact soc'!G262</f>
        <v>292066.46024976525</v>
      </c>
      <c r="G257" s="326">
        <f>'H) Péréquation directe'!I267</f>
        <v>30532.066210524878</v>
      </c>
      <c r="H257" s="329">
        <f>+'I) Dépenses thématiques'!O256</f>
        <v>-156587.12074792123</v>
      </c>
      <c r="I257" s="326">
        <f>'K) Plafonnement aide'!J256</f>
        <v>0</v>
      </c>
      <c r="J257" s="329">
        <f>'J) Plafonnement effort'!I256</f>
        <v>0</v>
      </c>
      <c r="K257" s="326">
        <f>+'L) Plafonnement taux'!Q257</f>
        <v>0</v>
      </c>
      <c r="L257" s="324">
        <f t="shared" si="12"/>
        <v>166011.4057123689</v>
      </c>
      <c r="M257" s="233">
        <f>'M) Police'!O257</f>
        <v>50203.617725362594</v>
      </c>
      <c r="N257" s="233">
        <f t="shared" si="14"/>
        <v>216215.02343773149</v>
      </c>
      <c r="P257" s="470"/>
      <c r="R257" s="332"/>
    </row>
    <row r="258" spans="1:18" s="162" customFormat="1" x14ac:dyDescent="0.25">
      <c r="A258" s="159">
        <f>'B) D RI'!A259</f>
        <v>5843</v>
      </c>
      <c r="B258" s="160" t="str">
        <f>'B) D RI'!B259</f>
        <v>Rougemont</v>
      </c>
      <c r="C258" s="327">
        <f>'B) D RI'!S259</f>
        <v>74</v>
      </c>
      <c r="D258" s="161">
        <f>'B) D RI'!AR259</f>
        <v>882</v>
      </c>
      <c r="E258" s="325">
        <f>'D) Ecrêtage'!M257</f>
        <v>85447.281802796962</v>
      </c>
      <c r="F258" s="329">
        <f>'E) Fact soc'!G263</f>
        <v>3518755.3513421388</v>
      </c>
      <c r="G258" s="326">
        <f>'H) Péréquation directe'!I268</f>
        <v>1533794.8213607592</v>
      </c>
      <c r="H258" s="329">
        <f>+'I) Dépenses thématiques'!O257</f>
        <v>-195194.51443079105</v>
      </c>
      <c r="I258" s="326">
        <f>'K) Plafonnement aide'!J257</f>
        <v>0</v>
      </c>
      <c r="J258" s="329">
        <f>'J) Plafonnement effort'!I257</f>
        <v>-514044.26975859358</v>
      </c>
      <c r="K258" s="326">
        <f>+'L) Plafonnement taux'!Q258</f>
        <v>0</v>
      </c>
      <c r="L258" s="324">
        <f t="shared" si="12"/>
        <v>4343311.3885135138</v>
      </c>
      <c r="M258" s="233">
        <f>'M) Police'!O258</f>
        <v>181855.95691860007</v>
      </c>
      <c r="N258" s="233">
        <f t="shared" si="14"/>
        <v>4525167.3454321139</v>
      </c>
      <c r="P258" s="470"/>
      <c r="R258" s="332"/>
    </row>
    <row r="259" spans="1:18" s="162" customFormat="1" x14ac:dyDescent="0.25">
      <c r="A259" s="159">
        <f>'B) D RI'!A260</f>
        <v>5851</v>
      </c>
      <c r="B259" s="160" t="str">
        <f>'B) D RI'!B260</f>
        <v>Allaman</v>
      </c>
      <c r="C259" s="327">
        <f>'B) D RI'!S260</f>
        <v>62</v>
      </c>
      <c r="D259" s="161">
        <f>'B) D RI'!AR260</f>
        <v>434</v>
      </c>
      <c r="E259" s="325">
        <f>'D) Ecrêtage'!M258</f>
        <v>28536.04056416071</v>
      </c>
      <c r="F259" s="329">
        <f>'E) Fact soc'!G264</f>
        <v>822885.92987538956</v>
      </c>
      <c r="G259" s="326">
        <f>'H) Péréquation directe'!I269</f>
        <v>498296.67853963538</v>
      </c>
      <c r="H259" s="329">
        <f>+'I) Dépenses thématiques'!O258</f>
        <v>0</v>
      </c>
      <c r="I259" s="326">
        <f>'K) Plafonnement aide'!J258</f>
        <v>0</v>
      </c>
      <c r="J259" s="329">
        <f>'J) Plafonnement effort'!I258</f>
        <v>0</v>
      </c>
      <c r="K259" s="326">
        <f>+'L) Plafonnement taux'!Q259</f>
        <v>0</v>
      </c>
      <c r="L259" s="324">
        <f t="shared" si="12"/>
        <v>1321182.6084150248</v>
      </c>
      <c r="M259" s="233">
        <f>'M) Police'!O259</f>
        <v>72686.227509768825</v>
      </c>
      <c r="N259" s="233">
        <f t="shared" si="14"/>
        <v>1393868.8359247937</v>
      </c>
      <c r="P259" s="470"/>
      <c r="R259" s="332"/>
    </row>
    <row r="260" spans="1:18" s="162" customFormat="1" x14ac:dyDescent="0.25">
      <c r="A260" s="159">
        <f>'B) D RI'!A261</f>
        <v>5852</v>
      </c>
      <c r="B260" s="160" t="str">
        <f>'B) D RI'!B261</f>
        <v>Bursinel</v>
      </c>
      <c r="C260" s="327">
        <f>'B) D RI'!S261</f>
        <v>65.5</v>
      </c>
      <c r="D260" s="161">
        <f>'B) D RI'!AR261</f>
        <v>471</v>
      </c>
      <c r="E260" s="325">
        <f>'D) Ecrêtage'!M259</f>
        <v>36961.550510972142</v>
      </c>
      <c r="F260" s="329">
        <f>'E) Fact soc'!G265</f>
        <v>1064831.4132443417</v>
      </c>
      <c r="G260" s="326">
        <f>'H) Péréquation directe'!I270</f>
        <v>654528.08490364277</v>
      </c>
      <c r="H260" s="329">
        <f>+'I) Dépenses thématiques'!O259</f>
        <v>0</v>
      </c>
      <c r="I260" s="326">
        <f>'K) Plafonnement aide'!J259</f>
        <v>0</v>
      </c>
      <c r="J260" s="329">
        <f>'J) Plafonnement effort'!I259</f>
        <v>0</v>
      </c>
      <c r="K260" s="326">
        <f>+'L) Plafonnement taux'!Q260</f>
        <v>0</v>
      </c>
      <c r="L260" s="324">
        <f t="shared" si="12"/>
        <v>1719359.4981479845</v>
      </c>
      <c r="M260" s="233">
        <f>'M) Police'!O260</f>
        <v>86334.676212348655</v>
      </c>
      <c r="N260" s="233">
        <f t="shared" si="14"/>
        <v>1805694.1743603332</v>
      </c>
      <c r="P260" s="470"/>
      <c r="R260" s="332"/>
    </row>
    <row r="261" spans="1:18" s="162" customFormat="1" x14ac:dyDescent="0.25">
      <c r="A261" s="159">
        <f>'B) D RI'!A262</f>
        <v>5853</v>
      </c>
      <c r="B261" s="160" t="str">
        <f>'B) D RI'!B262</f>
        <v>Bursins</v>
      </c>
      <c r="C261" s="327">
        <f>'B) D RI'!S262</f>
        <v>71</v>
      </c>
      <c r="D261" s="161">
        <f>'B) D RI'!AR262</f>
        <v>752</v>
      </c>
      <c r="E261" s="325">
        <f>'D) Ecrêtage'!M260</f>
        <v>36845.197464788725</v>
      </c>
      <c r="F261" s="329">
        <f>'E) Fact soc'!G266</f>
        <v>694319.17788790492</v>
      </c>
      <c r="G261" s="326">
        <f>'H) Péréquation directe'!I271</f>
        <v>624247.81482186285</v>
      </c>
      <c r="H261" s="329">
        <f>+'I) Dépenses thématiques'!O260</f>
        <v>-21723.112218943759</v>
      </c>
      <c r="I261" s="326">
        <f>'K) Plafonnement aide'!J260</f>
        <v>0</v>
      </c>
      <c r="J261" s="329">
        <f>'J) Plafonnement effort'!I260</f>
        <v>0</v>
      </c>
      <c r="K261" s="326">
        <f>+'L) Plafonnement taux'!Q261</f>
        <v>0</v>
      </c>
      <c r="L261" s="324">
        <f t="shared" si="12"/>
        <v>1296843.8804908241</v>
      </c>
      <c r="M261" s="233">
        <f>'M) Police'!O261</f>
        <v>110277.5351880212</v>
      </c>
      <c r="N261" s="233">
        <f t="shared" si="14"/>
        <v>1407121.4156788453</v>
      </c>
      <c r="P261" s="470"/>
      <c r="R261" s="332"/>
    </row>
    <row r="262" spans="1:18" s="162" customFormat="1" x14ac:dyDescent="0.25">
      <c r="A262" s="159">
        <f>'B) D RI'!A263</f>
        <v>5854</v>
      </c>
      <c r="B262" s="160" t="str">
        <f>'B) D RI'!B263</f>
        <v>Burtigny</v>
      </c>
      <c r="C262" s="327">
        <f>'B) D RI'!S263</f>
        <v>80</v>
      </c>
      <c r="D262" s="161">
        <f>'B) D RI'!AR263</f>
        <v>391</v>
      </c>
      <c r="E262" s="325">
        <f>'D) Ecrêtage'!M261</f>
        <v>15320.932833333329</v>
      </c>
      <c r="F262" s="329">
        <f>'E) Fact soc'!G267</f>
        <v>336471.14027386642</v>
      </c>
      <c r="G262" s="326">
        <f>'H) Péréquation directe'!I272</f>
        <v>193341.26106592457</v>
      </c>
      <c r="H262" s="329">
        <f>+'I) Dépenses thématiques'!O261</f>
        <v>-10834.726890966576</v>
      </c>
      <c r="I262" s="326">
        <f>'K) Plafonnement aide'!J261</f>
        <v>0</v>
      </c>
      <c r="J262" s="329">
        <f>'J) Plafonnement effort'!I261</f>
        <v>0</v>
      </c>
      <c r="K262" s="326">
        <f>+'L) Plafonnement taux'!Q262</f>
        <v>0</v>
      </c>
      <c r="L262" s="324">
        <f t="shared" si="12"/>
        <v>518977.67444882443</v>
      </c>
      <c r="M262" s="233">
        <f>'M) Police'!O262</f>
        <v>47899.782471624625</v>
      </c>
      <c r="N262" s="233">
        <f t="shared" si="14"/>
        <v>566877.45692044904</v>
      </c>
      <c r="P262" s="470"/>
      <c r="R262" s="332"/>
    </row>
    <row r="263" spans="1:18" s="162" customFormat="1" x14ac:dyDescent="0.25">
      <c r="A263" s="159">
        <f>'B) D RI'!A264</f>
        <v>5855</v>
      </c>
      <c r="B263" s="160" t="str">
        <f>'B) D RI'!B264</f>
        <v>Dully</v>
      </c>
      <c r="C263" s="327">
        <f>'B) D RI'!S264</f>
        <v>49</v>
      </c>
      <c r="D263" s="161">
        <f>'B) D RI'!AR264</f>
        <v>635</v>
      </c>
      <c r="E263" s="325">
        <f>'D) Ecrêtage'!M262</f>
        <v>76995.87834963089</v>
      </c>
      <c r="F263" s="329">
        <f>'E) Fact soc'!G268</f>
        <v>2814975.2793817567</v>
      </c>
      <c r="G263" s="326">
        <f>'H) Péréquation directe'!I273</f>
        <v>1398050.7941273621</v>
      </c>
      <c r="H263" s="329">
        <f>+'I) Dépenses thématiques'!O262</f>
        <v>0</v>
      </c>
      <c r="I263" s="326">
        <f>'K) Plafonnement aide'!J262</f>
        <v>0</v>
      </c>
      <c r="J263" s="329">
        <f>'J) Plafonnement effort'!I262</f>
        <v>-109095.28167238423</v>
      </c>
      <c r="K263" s="326">
        <f>+'L) Plafonnement taux'!Q263</f>
        <v>0</v>
      </c>
      <c r="L263" s="324">
        <f t="shared" si="12"/>
        <v>4103930.7918367344</v>
      </c>
      <c r="M263" s="233">
        <f>'M) Police'!O263</f>
        <v>150173.94682501559</v>
      </c>
      <c r="N263" s="233">
        <f t="shared" si="14"/>
        <v>4254104.7386617502</v>
      </c>
      <c r="P263" s="470"/>
      <c r="R263" s="332"/>
    </row>
    <row r="264" spans="1:18" s="162" customFormat="1" x14ac:dyDescent="0.25">
      <c r="A264" s="159">
        <f>'B) D RI'!A265</f>
        <v>5856</v>
      </c>
      <c r="B264" s="160" t="str">
        <f>'B) D RI'!B265</f>
        <v>Essertines-sur-Rolle</v>
      </c>
      <c r="C264" s="327">
        <f>'B) D RI'!S265</f>
        <v>68</v>
      </c>
      <c r="D264" s="161">
        <f>'B) D RI'!AR265</f>
        <v>726</v>
      </c>
      <c r="E264" s="325">
        <f>'D) Ecrêtage'!M263</f>
        <v>37425.966018099534</v>
      </c>
      <c r="F264" s="329">
        <f>'E) Fact soc'!G269</f>
        <v>729474.88187362486</v>
      </c>
      <c r="G264" s="326">
        <f>'H) Péréquation directe'!I274</f>
        <v>637868.97932317469</v>
      </c>
      <c r="H264" s="329">
        <f>+'I) Dépenses thématiques'!O263</f>
        <v>0</v>
      </c>
      <c r="I264" s="326">
        <f>'K) Plafonnement aide'!J263</f>
        <v>0</v>
      </c>
      <c r="J264" s="329">
        <f>'J) Plafonnement effort'!I263</f>
        <v>0</v>
      </c>
      <c r="K264" s="326">
        <f>+'L) Plafonnement taux'!Q264</f>
        <v>0</v>
      </c>
      <c r="L264" s="324">
        <f t="shared" si="12"/>
        <v>1367343.8611967997</v>
      </c>
      <c r="M264" s="233">
        <f>'M) Police'!O264</f>
        <v>108770.95703649288</v>
      </c>
      <c r="N264" s="233">
        <f t="shared" si="14"/>
        <v>1476114.8182332925</v>
      </c>
      <c r="P264" s="470"/>
      <c r="R264" s="332"/>
    </row>
    <row r="265" spans="1:18" s="162" customFormat="1" x14ac:dyDescent="0.25">
      <c r="A265" s="159">
        <f>'B) D RI'!A266</f>
        <v>5857</v>
      </c>
      <c r="B265" s="160" t="str">
        <f>'B) D RI'!B266</f>
        <v>Gilly</v>
      </c>
      <c r="C265" s="327">
        <f>'B) D RI'!S266</f>
        <v>66</v>
      </c>
      <c r="D265" s="161">
        <f>'B) D RI'!AR266</f>
        <v>1324</v>
      </c>
      <c r="E265" s="325">
        <f>'D) Ecrêtage'!M264</f>
        <v>86953.061939550258</v>
      </c>
      <c r="F265" s="329">
        <f>'E) Fact soc'!G270</f>
        <v>1867262.8603891723</v>
      </c>
      <c r="G265" s="326">
        <f>'H) Péréquation directe'!I275</f>
        <v>1437302.5402702801</v>
      </c>
      <c r="H265" s="329">
        <f>+'I) Dépenses thématiques'!O264</f>
        <v>0</v>
      </c>
      <c r="I265" s="326">
        <f>'K) Plafonnement aide'!J264</f>
        <v>0</v>
      </c>
      <c r="J265" s="329">
        <f>'J) Plafonnement effort'!I264</f>
        <v>0</v>
      </c>
      <c r="K265" s="326">
        <f>+'L) Plafonnement taux'!Q265</f>
        <v>0</v>
      </c>
      <c r="L265" s="324">
        <f t="shared" si="12"/>
        <v>3304565.4006594522</v>
      </c>
      <c r="M265" s="233">
        <f>'M) Police'!O265</f>
        <v>221616.91833483463</v>
      </c>
      <c r="N265" s="233">
        <f t="shared" si="14"/>
        <v>3526182.3189942869</v>
      </c>
      <c r="P265" s="470"/>
      <c r="R265" s="332"/>
    </row>
    <row r="266" spans="1:18" s="162" customFormat="1" x14ac:dyDescent="0.25">
      <c r="A266" s="159">
        <f>'B) D RI'!A267</f>
        <v>5858</v>
      </c>
      <c r="B266" s="160" t="str">
        <f>'B) D RI'!B267</f>
        <v>Luins</v>
      </c>
      <c r="C266" s="327">
        <f>'B) D RI'!S267</f>
        <v>60</v>
      </c>
      <c r="D266" s="161">
        <f>'B) D RI'!AR267</f>
        <v>613</v>
      </c>
      <c r="E266" s="325">
        <f>'D) Ecrêtage'!M265</f>
        <v>41997.103540905235</v>
      </c>
      <c r="F266" s="329">
        <f>'E) Fact soc'!G271</f>
        <v>924923.39564135275</v>
      </c>
      <c r="G266" s="326">
        <f>'H) Péréquation directe'!I276</f>
        <v>735924.04329665273</v>
      </c>
      <c r="H266" s="329">
        <f>+'I) Dépenses thématiques'!O265</f>
        <v>0</v>
      </c>
      <c r="I266" s="326">
        <f>'K) Plafonnement aide'!J265</f>
        <v>0</v>
      </c>
      <c r="J266" s="329">
        <f>'J) Plafonnement effort'!I265</f>
        <v>0</v>
      </c>
      <c r="K266" s="326">
        <f>+'L) Plafonnement taux'!Q266</f>
        <v>0</v>
      </c>
      <c r="L266" s="324">
        <f t="shared" ref="L266:L315" si="15">F266+G266+H266+I266+J266+K266</f>
        <v>1660847.4389380054</v>
      </c>
      <c r="M266" s="233">
        <f>'M) Police'!O266</f>
        <v>104768.53293838802</v>
      </c>
      <c r="N266" s="233">
        <f t="shared" si="14"/>
        <v>1765615.9718763933</v>
      </c>
      <c r="P266" s="470"/>
      <c r="R266" s="332"/>
    </row>
    <row r="267" spans="1:18" s="162" customFormat="1" x14ac:dyDescent="0.25">
      <c r="A267" s="159">
        <f>'B) D RI'!A268</f>
        <v>5859</v>
      </c>
      <c r="B267" s="160" t="str">
        <f>'B) D RI'!B268</f>
        <v>Mont-sur-Rolle</v>
      </c>
      <c r="C267" s="327">
        <f>'B) D RI'!S268</f>
        <v>65</v>
      </c>
      <c r="D267" s="161">
        <f>'B) D RI'!AR268</f>
        <v>2651</v>
      </c>
      <c r="E267" s="325">
        <f>'D) Ecrêtage'!M266</f>
        <v>142920.65553846155</v>
      </c>
      <c r="F267" s="329">
        <f>'E) Fact soc'!G272</f>
        <v>2350604.0894337506</v>
      </c>
      <c r="G267" s="326">
        <f>'H) Péréquation directe'!I277</f>
        <v>2035661.1454141266</v>
      </c>
      <c r="H267" s="329">
        <f>+'I) Dépenses thématiques'!O266</f>
        <v>0</v>
      </c>
      <c r="I267" s="326">
        <f>'K) Plafonnement aide'!J266</f>
        <v>0</v>
      </c>
      <c r="J267" s="329">
        <f>'J) Plafonnement effort'!I266</f>
        <v>0</v>
      </c>
      <c r="K267" s="326">
        <f>+'L) Plafonnement taux'!Q267</f>
        <v>0</v>
      </c>
      <c r="L267" s="324">
        <f t="shared" si="15"/>
        <v>4386265.2348478772</v>
      </c>
      <c r="M267" s="233">
        <f>'M) Police'!O267</f>
        <v>404961.82608081546</v>
      </c>
      <c r="N267" s="233">
        <f t="shared" si="14"/>
        <v>4791227.060928693</v>
      </c>
      <c r="P267" s="470"/>
      <c r="R267" s="332"/>
    </row>
    <row r="268" spans="1:18" s="162" customFormat="1" x14ac:dyDescent="0.25">
      <c r="A268" s="159">
        <f>'B) D RI'!A269</f>
        <v>5860</v>
      </c>
      <c r="B268" s="160" t="str">
        <f>'B) D RI'!B269</f>
        <v>Perroy</v>
      </c>
      <c r="C268" s="327">
        <f>'B) D RI'!S269</f>
        <v>60</v>
      </c>
      <c r="D268" s="161">
        <f>'B) D RI'!AR269</f>
        <v>1542</v>
      </c>
      <c r="E268" s="325">
        <f>'D) Ecrêtage'!M267</f>
        <v>93915.344201922679</v>
      </c>
      <c r="F268" s="329">
        <f>'E) Fact soc'!G273</f>
        <v>2149128.6877748389</v>
      </c>
      <c r="G268" s="326">
        <f>'H) Péréquation directe'!I278</f>
        <v>1493232.9253398867</v>
      </c>
      <c r="H268" s="329">
        <f>+'I) Dépenses thématiques'!O267</f>
        <v>0</v>
      </c>
      <c r="I268" s="326">
        <f>'K) Plafonnement aide'!J267</f>
        <v>0</v>
      </c>
      <c r="J268" s="329">
        <f>'J) Plafonnement effort'!I267</f>
        <v>0</v>
      </c>
      <c r="K268" s="326">
        <f>+'L) Plafonnement taux'!Q268</f>
        <v>0</v>
      </c>
      <c r="L268" s="324">
        <f t="shared" si="15"/>
        <v>3642361.6131147258</v>
      </c>
      <c r="M268" s="233">
        <f>'M) Police'!O268</f>
        <v>248961.36400598229</v>
      </c>
      <c r="N268" s="233">
        <f t="shared" si="14"/>
        <v>3891322.9771207082</v>
      </c>
      <c r="P268" s="470"/>
      <c r="R268" s="332"/>
    </row>
    <row r="269" spans="1:18" s="162" customFormat="1" x14ac:dyDescent="0.25">
      <c r="A269" s="159">
        <f>'B) D RI'!A270</f>
        <v>5861</v>
      </c>
      <c r="B269" s="160" t="str">
        <f>'B) D RI'!B270</f>
        <v>Rolle</v>
      </c>
      <c r="C269" s="327">
        <f>'B) D RI'!S270</f>
        <v>59.5</v>
      </c>
      <c r="D269" s="161">
        <f>'B) D RI'!AR270</f>
        <v>6246</v>
      </c>
      <c r="E269" s="325">
        <f>'D) Ecrêtage'!M268</f>
        <v>583882.08549392514</v>
      </c>
      <c r="F269" s="329">
        <f>'E) Fact soc'!G274</f>
        <v>17890945.317324065</v>
      </c>
      <c r="G269" s="326">
        <f>'H) Péréquation directe'!I279</f>
        <v>8537842.265783824</v>
      </c>
      <c r="H269" s="329">
        <f>+'I) Dépenses thématiques'!O268</f>
        <v>0</v>
      </c>
      <c r="I269" s="326">
        <f>'K) Plafonnement aide'!J268</f>
        <v>0</v>
      </c>
      <c r="J269" s="329">
        <f>'J) Plafonnement effort'!I268</f>
        <v>0</v>
      </c>
      <c r="K269" s="326">
        <f>+'L) Plafonnement taux'!Q269</f>
        <v>0</v>
      </c>
      <c r="L269" s="324">
        <f t="shared" si="15"/>
        <v>26428787.583107889</v>
      </c>
      <c r="M269" s="233">
        <f>'M) Police'!O269</f>
        <v>1261445.6814903454</v>
      </c>
      <c r="N269" s="233">
        <f t="shared" si="14"/>
        <v>27690233.264598235</v>
      </c>
      <c r="P269" s="470"/>
      <c r="R269" s="332"/>
    </row>
    <row r="270" spans="1:18" s="162" customFormat="1" x14ac:dyDescent="0.25">
      <c r="A270" s="159">
        <f>'B) D RI'!A271</f>
        <v>5862</v>
      </c>
      <c r="B270" s="160" t="str">
        <f>'B) D RI'!B271</f>
        <v>Tartegnin</v>
      </c>
      <c r="C270" s="327">
        <f>'B) D RI'!S271</f>
        <v>81</v>
      </c>
      <c r="D270" s="161">
        <f>'B) D RI'!AR271</f>
        <v>246</v>
      </c>
      <c r="E270" s="325">
        <f>'D) Ecrêtage'!M269</f>
        <v>12310.23827160494</v>
      </c>
      <c r="F270" s="329">
        <f>'E) Fact soc'!G275</f>
        <v>204593.69674303947</v>
      </c>
      <c r="G270" s="326">
        <f>'H) Péréquation directe'!I280</f>
        <v>209089.88081689432</v>
      </c>
      <c r="H270" s="329">
        <f>+'I) Dépenses thématiques'!O269</f>
        <v>0</v>
      </c>
      <c r="I270" s="326">
        <f>'K) Plafonnement aide'!J269</f>
        <v>0</v>
      </c>
      <c r="J270" s="329">
        <f>'J) Plafonnement effort'!I269</f>
        <v>0</v>
      </c>
      <c r="K270" s="326">
        <f>+'L) Plafonnement taux'!Q270</f>
        <v>0</v>
      </c>
      <c r="L270" s="324">
        <f t="shared" si="15"/>
        <v>413683.57755993376</v>
      </c>
      <c r="M270" s="233">
        <f>'M) Police'!O270</f>
        <v>36394.593873092846</v>
      </c>
      <c r="N270" s="233">
        <f t="shared" si="14"/>
        <v>450078.17143302661</v>
      </c>
      <c r="P270" s="470"/>
      <c r="R270" s="332"/>
    </row>
    <row r="271" spans="1:18" s="162" customFormat="1" x14ac:dyDescent="0.25">
      <c r="A271" s="159">
        <f>'B) D RI'!A272</f>
        <v>5863</v>
      </c>
      <c r="B271" s="160" t="str">
        <f>'B) D RI'!B272</f>
        <v>Vinzel</v>
      </c>
      <c r="C271" s="327">
        <f>'B) D RI'!S272</f>
        <v>67</v>
      </c>
      <c r="D271" s="161">
        <f>'B) D RI'!AR272</f>
        <v>358</v>
      </c>
      <c r="E271" s="325">
        <f>'D) Ecrêtage'!M270</f>
        <v>22026.585112000605</v>
      </c>
      <c r="F271" s="329">
        <f>'E) Fact soc'!G276</f>
        <v>419215.09550680162</v>
      </c>
      <c r="G271" s="326">
        <f>'H) Péréquation directe'!I281</f>
        <v>382330.67936205136</v>
      </c>
      <c r="H271" s="329">
        <f>+'I) Dépenses thématiques'!O270</f>
        <v>0</v>
      </c>
      <c r="I271" s="326">
        <f>'K) Plafonnement aide'!J270</f>
        <v>0</v>
      </c>
      <c r="J271" s="329">
        <f>'J) Plafonnement effort'!I270</f>
        <v>0</v>
      </c>
      <c r="K271" s="326">
        <f>+'L) Plafonnement taux'!Q271</f>
        <v>0</v>
      </c>
      <c r="L271" s="324">
        <f t="shared" si="15"/>
        <v>801545.77486885292</v>
      </c>
      <c r="M271" s="233">
        <f>'M) Police'!O271</f>
        <v>58077.204412610859</v>
      </c>
      <c r="N271" s="233">
        <f t="shared" si="14"/>
        <v>859622.97928146378</v>
      </c>
      <c r="P271" s="470"/>
      <c r="R271" s="332"/>
    </row>
    <row r="272" spans="1:18" s="162" customFormat="1" x14ac:dyDescent="0.25">
      <c r="A272" s="159">
        <f>'B) D RI'!A273</f>
        <v>5871</v>
      </c>
      <c r="B272" s="160" t="str">
        <f>'B) D RI'!B273</f>
        <v>L'Abbaye</v>
      </c>
      <c r="C272" s="327">
        <f>'B) D RI'!S273</f>
        <v>77.31</v>
      </c>
      <c r="D272" s="161">
        <f>'B) D RI'!AR273</f>
        <v>1481</v>
      </c>
      <c r="E272" s="325">
        <f>'D) Ecrêtage'!M271</f>
        <v>44627.892122623205</v>
      </c>
      <c r="F272" s="329">
        <f>'E) Fact soc'!G277</f>
        <v>932211.68084557354</v>
      </c>
      <c r="G272" s="326">
        <f>'H) Péréquation directe'!I282</f>
        <v>54352.730718406383</v>
      </c>
      <c r="H272" s="329">
        <f>+'I) Dépenses thématiques'!O271</f>
        <v>-350152.96211852034</v>
      </c>
      <c r="I272" s="326">
        <f>'K) Plafonnement aide'!J271</f>
        <v>0</v>
      </c>
      <c r="J272" s="329">
        <f>'J) Plafonnement effort'!I271</f>
        <v>0</v>
      </c>
      <c r="K272" s="326">
        <f>+'L) Plafonnement taux'!Q272</f>
        <v>0</v>
      </c>
      <c r="L272" s="324">
        <f t="shared" si="15"/>
        <v>636411.44944545953</v>
      </c>
      <c r="M272" s="233">
        <f>'M) Police'!O272</f>
        <v>138184.45557132631</v>
      </c>
      <c r="N272" s="233">
        <f t="shared" si="14"/>
        <v>774595.90501678584</v>
      </c>
      <c r="P272" s="470"/>
      <c r="R272" s="332"/>
    </row>
    <row r="273" spans="1:18" s="162" customFormat="1" x14ac:dyDescent="0.25">
      <c r="A273" s="159">
        <f>'B) D RI'!A274</f>
        <v>5872</v>
      </c>
      <c r="B273" s="160" t="str">
        <f>'B) D RI'!B274</f>
        <v>Le Chenit</v>
      </c>
      <c r="C273" s="327">
        <f>'B) D RI'!S274</f>
        <v>68.12</v>
      </c>
      <c r="D273" s="161">
        <f>'B) D RI'!AR274</f>
        <v>4605</v>
      </c>
      <c r="E273" s="325">
        <f>'D) Ecrêtage'!M272</f>
        <v>195855.08877191509</v>
      </c>
      <c r="F273" s="329">
        <f>'E) Fact soc'!G278</f>
        <v>5340889.024652712</v>
      </c>
      <c r="G273" s="326">
        <f>'H) Péréquation directe'!I283</f>
        <v>1901874.8524529643</v>
      </c>
      <c r="H273" s="329">
        <f>+'I) Dépenses thématiques'!O272</f>
        <v>-1514333.1408427474</v>
      </c>
      <c r="I273" s="326">
        <f>'K) Plafonnement aide'!J272</f>
        <v>0</v>
      </c>
      <c r="J273" s="329">
        <f>'J) Plafonnement effort'!I272</f>
        <v>0</v>
      </c>
      <c r="K273" s="326">
        <f>+'L) Plafonnement taux'!Q273</f>
        <v>0</v>
      </c>
      <c r="L273" s="324">
        <f t="shared" si="15"/>
        <v>5728430.7362629287</v>
      </c>
      <c r="M273" s="233">
        <f>'M) Police'!O273</f>
        <v>613268.28915791691</v>
      </c>
      <c r="N273" s="233">
        <f t="shared" si="14"/>
        <v>6341699.0254208455</v>
      </c>
      <c r="P273" s="470"/>
      <c r="R273" s="332"/>
    </row>
    <row r="274" spans="1:18" s="162" customFormat="1" x14ac:dyDescent="0.25">
      <c r="A274" s="159">
        <f>'B) D RI'!A275</f>
        <v>5873</v>
      </c>
      <c r="B274" s="160" t="str">
        <f>'B) D RI'!B275</f>
        <v>Le Lieu</v>
      </c>
      <c r="C274" s="327">
        <f>'B) D RI'!S275</f>
        <v>70</v>
      </c>
      <c r="D274" s="161">
        <f>'B) D RI'!AR275</f>
        <v>875</v>
      </c>
      <c r="E274" s="325">
        <f>'D) Ecrêtage'!M273</f>
        <v>31663.23595238095</v>
      </c>
      <c r="F274" s="329">
        <f>'E) Fact soc'!G279</f>
        <v>749820.12966161757</v>
      </c>
      <c r="G274" s="326">
        <f>'H) Péréquation directe'!I284</f>
        <v>362499.91261168895</v>
      </c>
      <c r="H274" s="329">
        <f>+'I) Dépenses thématiques'!O273</f>
        <v>-701512.30262342328</v>
      </c>
      <c r="I274" s="326">
        <f>'K) Plafonnement aide'!J273</f>
        <v>0</v>
      </c>
      <c r="J274" s="329">
        <f>'J) Plafonnement effort'!I273</f>
        <v>0</v>
      </c>
      <c r="K274" s="326">
        <f>+'L) Plafonnement taux'!Q274</f>
        <v>0</v>
      </c>
      <c r="L274" s="324">
        <f t="shared" si="15"/>
        <v>410807.73964988324</v>
      </c>
      <c r="M274" s="233">
        <f>'M) Police'!O274</f>
        <v>98691.916603640842</v>
      </c>
      <c r="N274" s="233">
        <f t="shared" si="14"/>
        <v>509499.65625352407</v>
      </c>
      <c r="P274" s="470"/>
      <c r="R274" s="332"/>
    </row>
    <row r="275" spans="1:18" s="162" customFormat="1" x14ac:dyDescent="0.25">
      <c r="A275" s="159">
        <f>'B) D RI'!A276</f>
        <v>5881</v>
      </c>
      <c r="B275" s="160" t="str">
        <f>'B) D RI'!B276</f>
        <v>Blonay</v>
      </c>
      <c r="C275" s="327">
        <f>'B) D RI'!S276</f>
        <v>70</v>
      </c>
      <c r="D275" s="161">
        <f>'B) D RI'!AR276</f>
        <v>6175</v>
      </c>
      <c r="E275" s="325">
        <f>'D) Ecrêtage'!M274</f>
        <v>333471.52885714278</v>
      </c>
      <c r="F275" s="329">
        <f>'E) Fact soc'!G280</f>
        <v>5577560.8220253373</v>
      </c>
      <c r="G275" s="326">
        <f>'H) Péréquation directe'!I285</f>
        <v>3827265.1019465346</v>
      </c>
      <c r="H275" s="329">
        <f>+'I) Dépenses thématiques'!O274</f>
        <v>-577219.95307447447</v>
      </c>
      <c r="I275" s="326">
        <f>'K) Plafonnement aide'!J274</f>
        <v>0</v>
      </c>
      <c r="J275" s="329">
        <f>'J) Plafonnement effort'!I274</f>
        <v>0</v>
      </c>
      <c r="K275" s="326">
        <f>+'L) Plafonnement taux'!Q275</f>
        <v>0</v>
      </c>
      <c r="L275" s="324">
        <f t="shared" si="15"/>
        <v>8827605.9708973989</v>
      </c>
      <c r="M275" s="233">
        <f>'M) Police'!O275</f>
        <v>414658.31857866119</v>
      </c>
      <c r="N275" s="233">
        <f t="shared" si="14"/>
        <v>9242264.2894760594</v>
      </c>
      <c r="P275" s="470"/>
      <c r="R275" s="332"/>
    </row>
    <row r="276" spans="1:18" s="162" customFormat="1" x14ac:dyDescent="0.25">
      <c r="A276" s="159">
        <f>'B) D RI'!A277</f>
        <v>5882</v>
      </c>
      <c r="B276" s="160" t="str">
        <f>'B) D RI'!B277</f>
        <v>Chardonne</v>
      </c>
      <c r="C276" s="327">
        <f>'B) D RI'!S277</f>
        <v>68</v>
      </c>
      <c r="D276" s="161">
        <f>'B) D RI'!AR277</f>
        <v>2941</v>
      </c>
      <c r="E276" s="325">
        <f>'D) Ecrêtage'!M275</f>
        <v>161419.68117647059</v>
      </c>
      <c r="F276" s="329">
        <f>'E) Fact soc'!G281</f>
        <v>3306828.6575770834</v>
      </c>
      <c r="G276" s="326">
        <f>'H) Péréquation directe'!I286</f>
        <v>2285400.0255707158</v>
      </c>
      <c r="H276" s="329">
        <f>+'I) Dépenses thématiques'!O275</f>
        <v>-355328.51292331656</v>
      </c>
      <c r="I276" s="326">
        <f>'K) Plafonnement aide'!J275</f>
        <v>0</v>
      </c>
      <c r="J276" s="329">
        <f>'J) Plafonnement effort'!I275</f>
        <v>0</v>
      </c>
      <c r="K276" s="326">
        <f>+'L) Plafonnement taux'!Q276</f>
        <v>0</v>
      </c>
      <c r="L276" s="324">
        <f t="shared" si="15"/>
        <v>5236900.1702244822</v>
      </c>
      <c r="M276" s="233">
        <f>'M) Police'!O276</f>
        <v>200718.82541676593</v>
      </c>
      <c r="N276" s="233">
        <f t="shared" si="14"/>
        <v>5437618.9956412483</v>
      </c>
      <c r="P276" s="470"/>
      <c r="R276" s="332"/>
    </row>
    <row r="277" spans="1:18" s="162" customFormat="1" x14ac:dyDescent="0.25">
      <c r="A277" s="159">
        <f>'B) D RI'!A278</f>
        <v>5883</v>
      </c>
      <c r="B277" s="160" t="str">
        <f>'B) D RI'!B278</f>
        <v>Corseaux</v>
      </c>
      <c r="C277" s="327">
        <f>'B) D RI'!S278</f>
        <v>69</v>
      </c>
      <c r="D277" s="161">
        <f>'B) D RI'!AR278</f>
        <v>2282</v>
      </c>
      <c r="E277" s="325">
        <f>'D) Ecrêtage'!M276</f>
        <v>151018.5452053966</v>
      </c>
      <c r="F277" s="329">
        <f>'E) Fact soc'!G282</f>
        <v>4690849.2766849194</v>
      </c>
      <c r="G277" s="326">
        <f>'H) Péréquation directe'!I287</f>
        <v>2318390.2195811211</v>
      </c>
      <c r="H277" s="329">
        <f>+'I) Dépenses thématiques'!O276</f>
        <v>0</v>
      </c>
      <c r="I277" s="326">
        <f>'K) Plafonnement aide'!J276</f>
        <v>0</v>
      </c>
      <c r="J277" s="329">
        <f>'J) Plafonnement effort'!I276</f>
        <v>0</v>
      </c>
      <c r="K277" s="326">
        <f>+'L) Plafonnement taux'!Q277</f>
        <v>0</v>
      </c>
      <c r="L277" s="324">
        <f t="shared" si="15"/>
        <v>7009239.496266041</v>
      </c>
      <c r="M277" s="233">
        <f>'M) Police'!O277</f>
        <v>187785.43476763138</v>
      </c>
      <c r="N277" s="233">
        <f t="shared" si="14"/>
        <v>7197024.9310336728</v>
      </c>
      <c r="P277" s="470"/>
      <c r="R277" s="332"/>
    </row>
    <row r="278" spans="1:18" s="162" customFormat="1" x14ac:dyDescent="0.25">
      <c r="A278" s="159">
        <f>'B) D RI'!A279</f>
        <v>5884</v>
      </c>
      <c r="B278" s="160" t="str">
        <f>'B) D RI'!B279</f>
        <v>Corsier-sur-Vevey</v>
      </c>
      <c r="C278" s="327">
        <f>'B) D RI'!S279</f>
        <v>66</v>
      </c>
      <c r="D278" s="161">
        <f>'B) D RI'!AR279</f>
        <v>3386</v>
      </c>
      <c r="E278" s="325">
        <f>'D) Ecrêtage'!M277</f>
        <v>119111.03626262626</v>
      </c>
      <c r="F278" s="329">
        <f>'E) Fact soc'!G283</f>
        <v>2152917.9594143764</v>
      </c>
      <c r="G278" s="326">
        <f>'H) Péréquation directe'!I288</f>
        <v>690004.74797550635</v>
      </c>
      <c r="H278" s="329">
        <f>+'I) Dépenses thématiques'!O277</f>
        <v>-1193845.5710739363</v>
      </c>
      <c r="I278" s="326">
        <f>'K) Plafonnement aide'!J277</f>
        <v>0</v>
      </c>
      <c r="J278" s="329">
        <f>'J) Plafonnement effort'!I277</f>
        <v>0</v>
      </c>
      <c r="K278" s="326">
        <f>+'L) Plafonnement taux'!Q278</f>
        <v>0</v>
      </c>
      <c r="L278" s="324">
        <f t="shared" si="15"/>
        <v>1649077.1363159465</v>
      </c>
      <c r="M278" s="233">
        <f>'M) Police'!O278</f>
        <v>148109.74175243935</v>
      </c>
      <c r="N278" s="233">
        <f t="shared" si="14"/>
        <v>1797186.8780683859</v>
      </c>
      <c r="P278" s="470"/>
      <c r="R278" s="332"/>
    </row>
    <row r="279" spans="1:18" s="162" customFormat="1" x14ac:dyDescent="0.25">
      <c r="A279" s="159">
        <f>'B) D RI'!A280</f>
        <v>5885</v>
      </c>
      <c r="B279" s="160" t="str">
        <f>'B) D RI'!B280</f>
        <v>Jongny</v>
      </c>
      <c r="C279" s="327">
        <f>'B) D RI'!S280</f>
        <v>71</v>
      </c>
      <c r="D279" s="161">
        <f>'B) D RI'!AR280</f>
        <v>1536</v>
      </c>
      <c r="E279" s="325">
        <f>'D) Ecrêtage'!M278</f>
        <v>83805.46166666667</v>
      </c>
      <c r="F279" s="329">
        <f>'E) Fact soc'!G284</f>
        <v>1857485.442623009</v>
      </c>
      <c r="G279" s="326">
        <f>'H) Péréquation directe'!I289</f>
        <v>1303431.4368532593</v>
      </c>
      <c r="H279" s="329">
        <f>+'I) Dépenses thématiques'!O278</f>
        <v>-15342.252992586527</v>
      </c>
      <c r="I279" s="326">
        <f>'K) Plafonnement aide'!J278</f>
        <v>0</v>
      </c>
      <c r="J279" s="329">
        <f>'J) Plafonnement effort'!I278</f>
        <v>0</v>
      </c>
      <c r="K279" s="326">
        <f>+'L) Plafonnement taux'!Q279</f>
        <v>0</v>
      </c>
      <c r="L279" s="324">
        <f t="shared" si="15"/>
        <v>3145574.6264836816</v>
      </c>
      <c r="M279" s="233">
        <f>'M) Police'!O279</f>
        <v>104208.69194291969</v>
      </c>
      <c r="N279" s="233">
        <f t="shared" si="14"/>
        <v>3249783.3184266011</v>
      </c>
      <c r="P279" s="470"/>
      <c r="R279" s="332"/>
    </row>
    <row r="280" spans="1:18" s="162" customFormat="1" x14ac:dyDescent="0.25">
      <c r="A280" s="159">
        <f>'B) D RI'!A281</f>
        <v>5886</v>
      </c>
      <c r="B280" s="160" t="str">
        <f>'B) D RI'!B281</f>
        <v>Montreux</v>
      </c>
      <c r="C280" s="327">
        <f>'B) D RI'!S281</f>
        <v>65</v>
      </c>
      <c r="D280" s="161">
        <f>'B) D RI'!AR281</f>
        <v>26006</v>
      </c>
      <c r="E280" s="325">
        <f>'D) Ecrêtage'!M279</f>
        <v>1120949.2064615386</v>
      </c>
      <c r="F280" s="329">
        <f>'E) Fact soc'!G285</f>
        <v>28396148.220601059</v>
      </c>
      <c r="G280" s="326">
        <f>'H) Péréquation directe'!I290</f>
        <v>-862624.2251537554</v>
      </c>
      <c r="H280" s="329">
        <f>+'I) Dépenses thématiques'!O279</f>
        <v>-6143251.6339560375</v>
      </c>
      <c r="I280" s="326">
        <f>'K) Plafonnement aide'!J279</f>
        <v>0</v>
      </c>
      <c r="J280" s="329">
        <f>'J) Plafonnement effort'!I279</f>
        <v>0</v>
      </c>
      <c r="K280" s="326">
        <f>+'L) Plafonnement taux'!Q280</f>
        <v>0</v>
      </c>
      <c r="L280" s="324">
        <f t="shared" si="15"/>
        <v>21390272.361491267</v>
      </c>
      <c r="M280" s="233">
        <f>'M) Police'!O280</f>
        <v>1393854.8659803229</v>
      </c>
      <c r="N280" s="233">
        <f t="shared" si="14"/>
        <v>22784127.22747159</v>
      </c>
      <c r="P280" s="470"/>
      <c r="R280" s="332"/>
    </row>
    <row r="281" spans="1:18" s="162" customFormat="1" x14ac:dyDescent="0.25">
      <c r="A281" s="159">
        <f>'B) D RI'!A282</f>
        <v>5888</v>
      </c>
      <c r="B281" s="160" t="str">
        <f>'B) D RI'!B282</f>
        <v>Saint-Légier-La Chiésaz</v>
      </c>
      <c r="C281" s="327">
        <f>'B) D RI'!S282</f>
        <v>70</v>
      </c>
      <c r="D281" s="161">
        <f>'B) D RI'!AR282</f>
        <v>5185</v>
      </c>
      <c r="E281" s="325">
        <f>'D) Ecrêtage'!M280</f>
        <v>313162.47635948134</v>
      </c>
      <c r="F281" s="329">
        <f>'E) Fact soc'!G286</f>
        <v>6340514.1313947113</v>
      </c>
      <c r="G281" s="326">
        <f>'H) Péréquation directe'!I291</f>
        <v>4035173.9675208563</v>
      </c>
      <c r="H281" s="329">
        <f>+'I) Dépenses thématiques'!O280</f>
        <v>-530355.56999255065</v>
      </c>
      <c r="I281" s="326">
        <f>'K) Plafonnement aide'!J280</f>
        <v>0</v>
      </c>
      <c r="J281" s="329">
        <f>'J) Plafonnement effort'!I280</f>
        <v>0</v>
      </c>
      <c r="K281" s="326">
        <f>+'L) Plafonnement taux'!Q281</f>
        <v>0</v>
      </c>
      <c r="L281" s="324">
        <f t="shared" si="15"/>
        <v>9845332.528923016</v>
      </c>
      <c r="M281" s="233">
        <f>'M) Police'!O281</f>
        <v>389404.83565174631</v>
      </c>
      <c r="N281" s="233">
        <f t="shared" si="14"/>
        <v>10234737.364574762</v>
      </c>
      <c r="P281" s="470"/>
      <c r="R281" s="332"/>
    </row>
    <row r="282" spans="1:18" s="162" customFormat="1" x14ac:dyDescent="0.25">
      <c r="A282" s="159">
        <f>'B) D RI'!A283</f>
        <v>5889</v>
      </c>
      <c r="B282" s="160" t="str">
        <f>'B) D RI'!B283</f>
        <v>La Tour-de-Peilz</v>
      </c>
      <c r="C282" s="327">
        <f>'B) D RI'!S283</f>
        <v>64</v>
      </c>
      <c r="D282" s="161">
        <f>'B) D RI'!AR283</f>
        <v>11871</v>
      </c>
      <c r="E282" s="325">
        <f>'D) Ecrêtage'!M281</f>
        <v>645590.04875000007</v>
      </c>
      <c r="F282" s="329">
        <f>'E) Fact soc'!G287</f>
        <v>13554755.014109617</v>
      </c>
      <c r="G282" s="326">
        <f>'H) Péréquation directe'!I292</f>
        <v>5620511.1268427847</v>
      </c>
      <c r="H282" s="329">
        <f>+'I) Dépenses thématiques'!O281</f>
        <v>0</v>
      </c>
      <c r="I282" s="326">
        <f>'K) Plafonnement aide'!J281</f>
        <v>0</v>
      </c>
      <c r="J282" s="329">
        <f>'J) Plafonnement effort'!I281</f>
        <v>0</v>
      </c>
      <c r="K282" s="326">
        <f>+'L) Plafonnement taux'!Q282</f>
        <v>0</v>
      </c>
      <c r="L282" s="324">
        <f t="shared" si="15"/>
        <v>19175266.140952401</v>
      </c>
      <c r="M282" s="233">
        <f>'M) Police'!O282</f>
        <v>802765.03671313939</v>
      </c>
      <c r="N282" s="233">
        <f t="shared" si="14"/>
        <v>19978031.177665539</v>
      </c>
      <c r="P282" s="470"/>
      <c r="R282" s="332"/>
    </row>
    <row r="283" spans="1:18" s="162" customFormat="1" x14ac:dyDescent="0.25">
      <c r="A283" s="159">
        <f>'B) D RI'!A284</f>
        <v>5890</v>
      </c>
      <c r="B283" s="160" t="str">
        <f>'B) D RI'!B284</f>
        <v>Vevey</v>
      </c>
      <c r="C283" s="327">
        <f>'B) D RI'!S284</f>
        <v>76</v>
      </c>
      <c r="D283" s="161">
        <f>'B) D RI'!AR284</f>
        <v>19904</v>
      </c>
      <c r="E283" s="325">
        <f>'D) Ecrêtage'!M282</f>
        <v>923815.49078947364</v>
      </c>
      <c r="F283" s="329">
        <f>'E) Fact soc'!G288</f>
        <v>17328761.13126386</v>
      </c>
      <c r="G283" s="326">
        <f>'H) Péréquation directe'!I293</f>
        <v>2651068.6425986327</v>
      </c>
      <c r="H283" s="329">
        <f>+'I) Dépenses thématiques'!O282</f>
        <v>-2878290.3095909739</v>
      </c>
      <c r="I283" s="326">
        <f>'K) Plafonnement aide'!J282</f>
        <v>0</v>
      </c>
      <c r="J283" s="329">
        <f>'J) Plafonnement effort'!I282</f>
        <v>0</v>
      </c>
      <c r="K283" s="326">
        <f>+'L) Plafonnement taux'!Q283</f>
        <v>0</v>
      </c>
      <c r="L283" s="324">
        <f t="shared" si="15"/>
        <v>17101539.464271519</v>
      </c>
      <c r="M283" s="233">
        <f>'M) Police'!O283</f>
        <v>1148727.0874383636</v>
      </c>
      <c r="N283" s="233">
        <f t="shared" si="14"/>
        <v>18250266.551709883</v>
      </c>
      <c r="P283" s="470"/>
      <c r="R283" s="332"/>
    </row>
    <row r="284" spans="1:18" s="162" customFormat="1" x14ac:dyDescent="0.25">
      <c r="A284" s="159">
        <f>'B) D RI'!A285</f>
        <v>5891</v>
      </c>
      <c r="B284" s="160" t="str">
        <f>'B) D RI'!B285</f>
        <v>Veytaux</v>
      </c>
      <c r="C284" s="327">
        <f>'B) D RI'!S285</f>
        <v>71</v>
      </c>
      <c r="D284" s="161">
        <f>'B) D RI'!AR285</f>
        <v>884</v>
      </c>
      <c r="E284" s="325">
        <f>'D) Ecrêtage'!M283</f>
        <v>37468.229154929577</v>
      </c>
      <c r="F284" s="329">
        <f>'E) Fact soc'!G289</f>
        <v>982498.36277875991</v>
      </c>
      <c r="G284" s="326">
        <f>'H) Péréquation directe'!I294</f>
        <v>575500.86030010856</v>
      </c>
      <c r="H284" s="329">
        <f>+'I) Dépenses thématiques'!O283</f>
        <v>-439011.75553398719</v>
      </c>
      <c r="I284" s="326">
        <f>'K) Plafonnement aide'!J283</f>
        <v>0</v>
      </c>
      <c r="J284" s="329">
        <f>'J) Plafonnement effort'!I283</f>
        <v>0</v>
      </c>
      <c r="K284" s="326">
        <f>+'L) Plafonnement taux'!Q284</f>
        <v>0</v>
      </c>
      <c r="L284" s="324">
        <f t="shared" si="15"/>
        <v>1118987.4675448812</v>
      </c>
      <c r="M284" s="233">
        <f>'M) Police'!O284</f>
        <v>46590.223023683735</v>
      </c>
      <c r="N284" s="233">
        <f t="shared" si="14"/>
        <v>1165577.6905685649</v>
      </c>
      <c r="P284" s="470"/>
      <c r="R284" s="332"/>
    </row>
    <row r="285" spans="1:18" s="162" customFormat="1" x14ac:dyDescent="0.25">
      <c r="A285" s="159">
        <f>'B) D RI'!A286</f>
        <v>5902</v>
      </c>
      <c r="B285" s="160" t="str">
        <f>'B) D RI'!B286</f>
        <v>Belmont-sur-Yverdon</v>
      </c>
      <c r="C285" s="327">
        <f>'B) D RI'!S286</f>
        <v>76</v>
      </c>
      <c r="D285" s="161">
        <f>'B) D RI'!AR286</f>
        <v>384</v>
      </c>
      <c r="E285" s="325">
        <f>'D) Ecrêtage'!M284</f>
        <v>10322.452500000001</v>
      </c>
      <c r="F285" s="329">
        <f>'E) Fact soc'!G290</f>
        <v>151665.71732790591</v>
      </c>
      <c r="G285" s="326">
        <f>'H) Péréquation directe'!I295</f>
        <v>-2531.7030897660879</v>
      </c>
      <c r="H285" s="329">
        <f>+'I) Dépenses thématiques'!O284</f>
        <v>-6746.1543121033219</v>
      </c>
      <c r="I285" s="326">
        <f>'K) Plafonnement aide'!J284</f>
        <v>0</v>
      </c>
      <c r="J285" s="329">
        <f>'J) Plafonnement effort'!I284</f>
        <v>0</v>
      </c>
      <c r="K285" s="326">
        <f>+'L) Plafonnement taux'!Q285</f>
        <v>0</v>
      </c>
      <c r="L285" s="324">
        <f t="shared" si="15"/>
        <v>142387.8599260365</v>
      </c>
      <c r="M285" s="233">
        <f>'M) Police'!O285</f>
        <v>32015.274365768364</v>
      </c>
      <c r="N285" s="233">
        <f t="shared" si="14"/>
        <v>174403.13429180486</v>
      </c>
      <c r="P285" s="470"/>
      <c r="R285" s="332"/>
    </row>
    <row r="286" spans="1:18" s="162" customFormat="1" x14ac:dyDescent="0.25">
      <c r="A286" s="159">
        <f>'B) D RI'!A287</f>
        <v>5903</v>
      </c>
      <c r="B286" s="160" t="str">
        <f>'B) D RI'!B287</f>
        <v>Bioley-Magnoux</v>
      </c>
      <c r="C286" s="327">
        <f>'B) D RI'!S287</f>
        <v>74</v>
      </c>
      <c r="D286" s="161">
        <f>'B) D RI'!AR287</f>
        <v>225</v>
      </c>
      <c r="E286" s="325">
        <f>'D) Ecrêtage'!M285</f>
        <v>5492.9202895752896</v>
      </c>
      <c r="F286" s="329">
        <f>'E) Fact soc'!G291</f>
        <v>96091.585159160313</v>
      </c>
      <c r="G286" s="326">
        <f>'H) Péréquation directe'!I296</f>
        <v>-19227.538692025468</v>
      </c>
      <c r="H286" s="329">
        <f>+'I) Dépenses thématiques'!O285</f>
        <v>-210268.7469850505</v>
      </c>
      <c r="I286" s="326">
        <f>'K) Plafonnement aide'!J285</f>
        <v>0</v>
      </c>
      <c r="J286" s="329">
        <f>'J) Plafonnement effort'!I285</f>
        <v>0</v>
      </c>
      <c r="K286" s="326">
        <f>+'L) Plafonnement taux'!Q286</f>
        <v>0</v>
      </c>
      <c r="L286" s="324">
        <f t="shared" si="15"/>
        <v>-133404.70051791565</v>
      </c>
      <c r="M286" s="233">
        <f>'M) Police'!O286</f>
        <v>16825.764906471253</v>
      </c>
      <c r="N286" s="233">
        <f t="shared" si="14"/>
        <v>-116578.93561144441</v>
      </c>
      <c r="P286" s="470"/>
      <c r="R286" s="332"/>
    </row>
    <row r="287" spans="1:18" s="162" customFormat="1" x14ac:dyDescent="0.25">
      <c r="A287" s="159">
        <f>'B) D RI'!A288</f>
        <v>5904</v>
      </c>
      <c r="B287" s="160" t="str">
        <f>'B) D RI'!B288</f>
        <v>Chamblon</v>
      </c>
      <c r="C287" s="327">
        <f>'B) D RI'!S288</f>
        <v>66</v>
      </c>
      <c r="D287" s="161">
        <f>'B) D RI'!AR288</f>
        <v>542</v>
      </c>
      <c r="E287" s="325">
        <f>'D) Ecrêtage'!M286</f>
        <v>20041.272272727278</v>
      </c>
      <c r="F287" s="329">
        <f>'E) Fact soc'!G292</f>
        <v>327731.90780382755</v>
      </c>
      <c r="G287" s="326">
        <f>'H) Péréquation directe'!I297</f>
        <v>250465.41049109606</v>
      </c>
      <c r="H287" s="329">
        <f>+'I) Dépenses thématiques'!O286</f>
        <v>0</v>
      </c>
      <c r="I287" s="326">
        <f>'K) Plafonnement aide'!J286</f>
        <v>0</v>
      </c>
      <c r="J287" s="329">
        <f>'J) Plafonnement effort'!I286</f>
        <v>0</v>
      </c>
      <c r="K287" s="326">
        <f>+'L) Plafonnement taux'!Q287</f>
        <v>0</v>
      </c>
      <c r="L287" s="324">
        <f t="shared" si="15"/>
        <v>578197.31829492364</v>
      </c>
      <c r="M287" s="233">
        <f>'M) Police'!O287</f>
        <v>24920.50907994101</v>
      </c>
      <c r="N287" s="233">
        <f t="shared" si="14"/>
        <v>603117.8273748646</v>
      </c>
      <c r="P287" s="470"/>
      <c r="R287" s="332"/>
    </row>
    <row r="288" spans="1:18" s="162" customFormat="1" x14ac:dyDescent="0.25">
      <c r="A288" s="159">
        <f>'B) D RI'!A289</f>
        <v>5905</v>
      </c>
      <c r="B288" s="160" t="str">
        <f>'B) D RI'!B289</f>
        <v>Champvent</v>
      </c>
      <c r="C288" s="327">
        <f>'B) D RI'!S289</f>
        <v>71</v>
      </c>
      <c r="D288" s="161">
        <f>'B) D RI'!AR289</f>
        <v>685</v>
      </c>
      <c r="E288" s="325">
        <f>'D) Ecrêtage'!M287</f>
        <v>24102.36943661972</v>
      </c>
      <c r="F288" s="329">
        <f>'E) Fact soc'!G293</f>
        <v>393211.00498405605</v>
      </c>
      <c r="G288" s="326">
        <f>'H) Péréquation directe'!I298</f>
        <v>253653.91592616547</v>
      </c>
      <c r="H288" s="329">
        <f>+'I) Dépenses thématiques'!O287</f>
        <v>-20308.111769261443</v>
      </c>
      <c r="I288" s="326">
        <f>'K) Plafonnement aide'!J287</f>
        <v>0</v>
      </c>
      <c r="J288" s="329">
        <f>'J) Plafonnement effort'!I287</f>
        <v>0</v>
      </c>
      <c r="K288" s="326">
        <f>+'L) Plafonnement taux'!Q288</f>
        <v>0</v>
      </c>
      <c r="L288" s="324">
        <f t="shared" si="15"/>
        <v>626556.8091409601</v>
      </c>
      <c r="M288" s="233">
        <f>'M) Police'!O288</f>
        <v>75370.192745899942</v>
      </c>
      <c r="N288" s="233">
        <f t="shared" si="14"/>
        <v>701927.00188686</v>
      </c>
      <c r="P288" s="470"/>
      <c r="R288" s="332"/>
    </row>
    <row r="289" spans="1:18" s="162" customFormat="1" x14ac:dyDescent="0.25">
      <c r="A289" s="159">
        <f>'B) D RI'!A290</f>
        <v>5907</v>
      </c>
      <c r="B289" s="160" t="str">
        <f>'B) D RI'!B290</f>
        <v>Chavannes-le-Chêne</v>
      </c>
      <c r="C289" s="327">
        <f>'B) D RI'!S290</f>
        <v>78</v>
      </c>
      <c r="D289" s="161">
        <f>'B) D RI'!AR290</f>
        <v>308</v>
      </c>
      <c r="E289" s="325">
        <f>'D) Ecrêtage'!M288</f>
        <v>8071.0708974358949</v>
      </c>
      <c r="F289" s="329">
        <f>'E) Fact soc'!G294</f>
        <v>126393.24267270818</v>
      </c>
      <c r="G289" s="326">
        <f>'H) Péréquation directe'!I299</f>
        <v>-17867.688722645369</v>
      </c>
      <c r="H289" s="329">
        <f>+'I) Dépenses thématiques'!O288</f>
        <v>-55909.453756628202</v>
      </c>
      <c r="I289" s="326">
        <f>'K) Plafonnement aide'!J288</f>
        <v>0</v>
      </c>
      <c r="J289" s="329">
        <f>'J) Plafonnement effort'!I288</f>
        <v>0</v>
      </c>
      <c r="K289" s="326">
        <f>+'L) Plafonnement taux'!Q289</f>
        <v>0</v>
      </c>
      <c r="L289" s="324">
        <f t="shared" si="15"/>
        <v>52616.100193434606</v>
      </c>
      <c r="M289" s="233">
        <f>'M) Police'!O289</f>
        <v>25055.506430617264</v>
      </c>
      <c r="N289" s="233">
        <f t="shared" si="14"/>
        <v>77671.60662405187</v>
      </c>
      <c r="P289" s="470"/>
      <c r="R289" s="332"/>
    </row>
    <row r="290" spans="1:18" s="162" customFormat="1" x14ac:dyDescent="0.25">
      <c r="A290" s="159">
        <f>'B) D RI'!A291</f>
        <v>5908</v>
      </c>
      <c r="B290" s="160" t="str">
        <f>'B) D RI'!B291</f>
        <v>Chêne-Pâquier</v>
      </c>
      <c r="C290" s="327">
        <f>'B) D RI'!S291</f>
        <v>79</v>
      </c>
      <c r="D290" s="161">
        <f>'B) D RI'!AR291</f>
        <v>141</v>
      </c>
      <c r="E290" s="325">
        <f>'D) Ecrêtage'!M289</f>
        <v>3125.58</v>
      </c>
      <c r="F290" s="329">
        <f>'E) Fact soc'!G295</f>
        <v>85729.838116084196</v>
      </c>
      <c r="G290" s="326">
        <f>'H) Péréquation directe'!I300</f>
        <v>-34748.831192647565</v>
      </c>
      <c r="H290" s="329">
        <f>+'I) Dépenses thématiques'!O289</f>
        <v>-11711.252611837017</v>
      </c>
      <c r="I290" s="326">
        <f>'K) Plafonnement aide'!J289</f>
        <v>0</v>
      </c>
      <c r="J290" s="329">
        <f>'J) Plafonnement effort'!I289</f>
        <v>0</v>
      </c>
      <c r="K290" s="326">
        <f>+'L) Plafonnement taux'!Q290</f>
        <v>-4240.3971810276853</v>
      </c>
      <c r="L290" s="324">
        <f t="shared" si="15"/>
        <v>35029.357130571931</v>
      </c>
      <c r="M290" s="233">
        <f>'M) Police'!O290</f>
        <v>9722.565355919789</v>
      </c>
      <c r="N290" s="233">
        <f t="shared" si="14"/>
        <v>44751.92248649172</v>
      </c>
      <c r="P290" s="470"/>
      <c r="R290" s="332"/>
    </row>
    <row r="291" spans="1:18" s="162" customFormat="1" x14ac:dyDescent="0.25">
      <c r="A291" s="159">
        <f>'B) D RI'!A292</f>
        <v>5909</v>
      </c>
      <c r="B291" s="160" t="str">
        <f>'B) D RI'!B292</f>
        <v>Cheseaux-Noréaz</v>
      </c>
      <c r="C291" s="327">
        <f>'B) D RI'!S292</f>
        <v>70</v>
      </c>
      <c r="D291" s="161">
        <f>'B) D RI'!AR292</f>
        <v>721</v>
      </c>
      <c r="E291" s="325">
        <f>'D) Ecrêtage'!M290</f>
        <v>32763.333428571434</v>
      </c>
      <c r="F291" s="329">
        <f>'E) Fact soc'!G296</f>
        <v>568651.28865769086</v>
      </c>
      <c r="G291" s="326">
        <f>'H) Péréquation directe'!I301</f>
        <v>549865.34281719383</v>
      </c>
      <c r="H291" s="329">
        <f>+'I) Dépenses thématiques'!O290</f>
        <v>-67250.558212419026</v>
      </c>
      <c r="I291" s="326">
        <f>'K) Plafonnement aide'!J290</f>
        <v>0</v>
      </c>
      <c r="J291" s="329">
        <f>'J) Plafonnement effort'!I290</f>
        <v>0</v>
      </c>
      <c r="K291" s="326">
        <f>+'L) Plafonnement taux'!Q291</f>
        <v>0</v>
      </c>
      <c r="L291" s="324">
        <f t="shared" si="15"/>
        <v>1051266.0732624657</v>
      </c>
      <c r="M291" s="233">
        <f>'M) Police'!O291</f>
        <v>40739.876046040074</v>
      </c>
      <c r="N291" s="233">
        <f t="shared" si="14"/>
        <v>1092005.9493085057</v>
      </c>
      <c r="P291" s="470"/>
      <c r="R291" s="332"/>
    </row>
    <row r="292" spans="1:18" s="162" customFormat="1" x14ac:dyDescent="0.25">
      <c r="A292" s="159">
        <f>'B) D RI'!A293</f>
        <v>5910</v>
      </c>
      <c r="B292" s="160" t="str">
        <f>'B) D RI'!B293</f>
        <v>Cronay</v>
      </c>
      <c r="C292" s="327">
        <f>'B) D RI'!S293</f>
        <v>79</v>
      </c>
      <c r="D292" s="161">
        <f>'B) D RI'!AR293</f>
        <v>385</v>
      </c>
      <c r="E292" s="325">
        <f>'D) Ecrêtage'!M291</f>
        <v>9653.2049367088639</v>
      </c>
      <c r="F292" s="329">
        <f>'E) Fact soc'!G297</f>
        <v>155170.14367736693</v>
      </c>
      <c r="G292" s="326">
        <f>'H) Péréquation directe'!I302</f>
        <v>-45923.093127977685</v>
      </c>
      <c r="H292" s="329">
        <f>+'I) Dépenses thématiques'!O291</f>
        <v>-81685.327565885324</v>
      </c>
      <c r="I292" s="326">
        <f>'K) Plafonnement aide'!J291</f>
        <v>0</v>
      </c>
      <c r="J292" s="329">
        <f>'J) Plafonnement effort'!I291</f>
        <v>0</v>
      </c>
      <c r="K292" s="326">
        <f>+'L) Plafonnement taux'!Q292</f>
        <v>0</v>
      </c>
      <c r="L292" s="324">
        <f t="shared" si="15"/>
        <v>27561.722983503918</v>
      </c>
      <c r="M292" s="233">
        <f>'M) Police'!O292</f>
        <v>29998.806469876807</v>
      </c>
      <c r="N292" s="233">
        <f t="shared" si="14"/>
        <v>57560.529453380725</v>
      </c>
      <c r="P292" s="470"/>
      <c r="R292" s="332"/>
    </row>
    <row r="293" spans="1:18" s="162" customFormat="1" x14ac:dyDescent="0.25">
      <c r="A293" s="159">
        <f>'B) D RI'!A294</f>
        <v>5911</v>
      </c>
      <c r="B293" s="160" t="str">
        <f>'B) D RI'!B294</f>
        <v>Cuarny</v>
      </c>
      <c r="C293" s="327">
        <f>'B) D RI'!S294</f>
        <v>79</v>
      </c>
      <c r="D293" s="161">
        <f>'B) D RI'!AR294</f>
        <v>243</v>
      </c>
      <c r="E293" s="325">
        <f>'D) Ecrêtage'!M292</f>
        <v>6896.824556962024</v>
      </c>
      <c r="F293" s="329">
        <f>'E) Fact soc'!G298</f>
        <v>129694.03971289212</v>
      </c>
      <c r="G293" s="326">
        <f>'H) Péréquation directe'!I303</f>
        <v>6198.0164400663634</v>
      </c>
      <c r="H293" s="329">
        <f>+'I) Dépenses thématiques'!O292</f>
        <v>-98949.096881038597</v>
      </c>
      <c r="I293" s="326">
        <f>'K) Plafonnement aide'!J292</f>
        <v>0</v>
      </c>
      <c r="J293" s="329">
        <f>'J) Plafonnement effort'!I292</f>
        <v>0</v>
      </c>
      <c r="K293" s="326">
        <f>+'L) Plafonnement taux'!Q293</f>
        <v>0</v>
      </c>
      <c r="L293" s="324">
        <f t="shared" si="15"/>
        <v>36942.959271919884</v>
      </c>
      <c r="M293" s="233">
        <f>'M) Police'!O293</f>
        <v>21557.071940795679</v>
      </c>
      <c r="N293" s="233">
        <f t="shared" si="14"/>
        <v>58500.031212715563</v>
      </c>
      <c r="P293" s="470"/>
      <c r="R293" s="332"/>
    </row>
    <row r="294" spans="1:18" s="162" customFormat="1" x14ac:dyDescent="0.25">
      <c r="A294" s="159">
        <f>'B) D RI'!A295</f>
        <v>5912</v>
      </c>
      <c r="B294" s="160" t="str">
        <f>'B) D RI'!B295</f>
        <v>Démoret</v>
      </c>
      <c r="C294" s="327">
        <f>'B) D RI'!S295</f>
        <v>81</v>
      </c>
      <c r="D294" s="161">
        <f>'B) D RI'!AR295</f>
        <v>141</v>
      </c>
      <c r="E294" s="325">
        <f>'D) Ecrêtage'!M293</f>
        <v>3136.4120987654323</v>
      </c>
      <c r="F294" s="329">
        <f>'E) Fact soc'!G299</f>
        <v>45889.138565556335</v>
      </c>
      <c r="G294" s="326">
        <f>'H) Péréquation directe'!I304</f>
        <v>-38362.502151489993</v>
      </c>
      <c r="H294" s="329">
        <f>+'I) Dépenses thématiques'!O293</f>
        <v>-51848.898105359927</v>
      </c>
      <c r="I294" s="326">
        <f>'K) Plafonnement aide'!J293</f>
        <v>0</v>
      </c>
      <c r="J294" s="329">
        <f>'J) Plafonnement effort'!I293</f>
        <v>0</v>
      </c>
      <c r="K294" s="326">
        <f>+'L) Plafonnement taux'!Q294</f>
        <v>0</v>
      </c>
      <c r="L294" s="324">
        <f t="shared" si="15"/>
        <v>-44322.261691293585</v>
      </c>
      <c r="M294" s="233">
        <f>'M) Police'!O294</f>
        <v>9679.4155345874751</v>
      </c>
      <c r="N294" s="233">
        <f t="shared" si="14"/>
        <v>-34642.846156706109</v>
      </c>
      <c r="P294" s="470"/>
      <c r="R294" s="332"/>
    </row>
    <row r="295" spans="1:18" s="162" customFormat="1" x14ac:dyDescent="0.25">
      <c r="A295" s="159">
        <f>'B) D RI'!A296</f>
        <v>5913</v>
      </c>
      <c r="B295" s="160" t="str">
        <f>'B) D RI'!B296</f>
        <v>Donneloye</v>
      </c>
      <c r="C295" s="327">
        <f>'B) D RI'!S296</f>
        <v>73</v>
      </c>
      <c r="D295" s="161">
        <f>'B) D RI'!AR296</f>
        <v>809</v>
      </c>
      <c r="E295" s="325">
        <f>'D) Ecrêtage'!M294</f>
        <v>20372.909452054791</v>
      </c>
      <c r="F295" s="329">
        <f>'E) Fact soc'!G300</f>
        <v>378431.9073714352</v>
      </c>
      <c r="G295" s="326">
        <f>'H) Péréquation directe'!I305</f>
        <v>-34385.338417086867</v>
      </c>
      <c r="H295" s="329">
        <f>+'I) Dépenses thématiques'!O294</f>
        <v>-37930.538233051833</v>
      </c>
      <c r="I295" s="326">
        <f>'K) Plafonnement aide'!J294</f>
        <v>0</v>
      </c>
      <c r="J295" s="329">
        <f>'J) Plafonnement effort'!I294</f>
        <v>0</v>
      </c>
      <c r="K295" s="326">
        <f>+'L) Plafonnement taux'!Q295</f>
        <v>0</v>
      </c>
      <c r="L295" s="324">
        <f t="shared" si="15"/>
        <v>306116.0307212965</v>
      </c>
      <c r="M295" s="233">
        <f>'M) Police'!O295</f>
        <v>63031.471116825764</v>
      </c>
      <c r="N295" s="233">
        <f t="shared" si="14"/>
        <v>369147.50183812226</v>
      </c>
      <c r="P295" s="470"/>
      <c r="R295" s="332"/>
    </row>
    <row r="296" spans="1:18" s="162" customFormat="1" x14ac:dyDescent="0.25">
      <c r="A296" s="159">
        <f>'B) D RI'!A297</f>
        <v>5914</v>
      </c>
      <c r="B296" s="160" t="str">
        <f>'B) D RI'!B297</f>
        <v>Ependes</v>
      </c>
      <c r="C296" s="327">
        <f>'B) D RI'!S297</f>
        <v>75</v>
      </c>
      <c r="D296" s="161">
        <f>'B) D RI'!AR297</f>
        <v>360</v>
      </c>
      <c r="E296" s="325">
        <f>'D) Ecrêtage'!M295</f>
        <v>9355.5792000000001</v>
      </c>
      <c r="F296" s="329">
        <f>'E) Fact soc'!G301</f>
        <v>155781.27370563301</v>
      </c>
      <c r="G296" s="326">
        <f>'H) Péréquation directe'!I306</f>
        <v>-11740.863610728498</v>
      </c>
      <c r="H296" s="329">
        <f>+'I) Dépenses thématiques'!O295</f>
        <v>-42677.208359083386</v>
      </c>
      <c r="I296" s="326">
        <f>'K) Plafonnement aide'!J295</f>
        <v>0</v>
      </c>
      <c r="J296" s="329">
        <f>'J) Plafonnement effort'!I295</f>
        <v>0</v>
      </c>
      <c r="K296" s="326">
        <f>+'L) Plafonnement taux'!Q296</f>
        <v>0</v>
      </c>
      <c r="L296" s="324">
        <f t="shared" si="15"/>
        <v>101363.20173582112</v>
      </c>
      <c r="M296" s="233">
        <f>'M) Police'!O296</f>
        <v>11633.2832182006</v>
      </c>
      <c r="N296" s="233">
        <f t="shared" si="14"/>
        <v>112996.48495402171</v>
      </c>
      <c r="P296" s="470"/>
      <c r="R296" s="332"/>
    </row>
    <row r="297" spans="1:18" s="162" customFormat="1" x14ac:dyDescent="0.25">
      <c r="A297" s="159">
        <f>'B) D RI'!A298</f>
        <v>5919</v>
      </c>
      <c r="B297" s="160" t="str">
        <f>'B) D RI'!B298</f>
        <v>Mathod</v>
      </c>
      <c r="C297" s="327">
        <f>'B) D RI'!S298</f>
        <v>72</v>
      </c>
      <c r="D297" s="161">
        <f>'B) D RI'!AR298</f>
        <v>611</v>
      </c>
      <c r="E297" s="325">
        <f>'D) Ecrêtage'!M296</f>
        <v>17162.928379629626</v>
      </c>
      <c r="F297" s="329">
        <f>'E) Fact soc'!G302</f>
        <v>358481.97427605093</v>
      </c>
      <c r="G297" s="326">
        <f>'H) Péréquation directe'!I307</f>
        <v>51294.831522751949</v>
      </c>
      <c r="H297" s="329">
        <f>+'I) Dépenses thématiques'!O296</f>
        <v>-57547.791195548751</v>
      </c>
      <c r="I297" s="326">
        <f>'K) Plafonnement aide'!J296</f>
        <v>0</v>
      </c>
      <c r="J297" s="329">
        <f>'J) Plafonnement effort'!I296</f>
        <v>0</v>
      </c>
      <c r="K297" s="326">
        <f>+'L) Plafonnement taux'!Q297</f>
        <v>0</v>
      </c>
      <c r="L297" s="324">
        <f t="shared" si="15"/>
        <v>352229.01460325415</v>
      </c>
      <c r="M297" s="233">
        <f>'M) Police'!O297</f>
        <v>21341.405211333589</v>
      </c>
      <c r="N297" s="233">
        <f t="shared" si="14"/>
        <v>373570.41981458775</v>
      </c>
      <c r="P297" s="470"/>
      <c r="R297" s="332"/>
    </row>
    <row r="298" spans="1:18" s="162" customFormat="1" x14ac:dyDescent="0.25">
      <c r="A298" s="159">
        <f>'B) D RI'!A299</f>
        <v>5921</v>
      </c>
      <c r="B298" s="160" t="str">
        <f>'B) D RI'!B299</f>
        <v>Molondin</v>
      </c>
      <c r="C298" s="327">
        <f>'B) D RI'!S299</f>
        <v>81</v>
      </c>
      <c r="D298" s="161">
        <f>'B) D RI'!AR299</f>
        <v>235</v>
      </c>
      <c r="E298" s="325">
        <f>'D) Ecrêtage'!M297</f>
        <v>5558.427777777777</v>
      </c>
      <c r="F298" s="329">
        <f>'E) Fact soc'!G303</f>
        <v>92222.77634178687</v>
      </c>
      <c r="G298" s="326">
        <f>'H) Péréquation directe'!I308</f>
        <v>-49029.40331934554</v>
      </c>
      <c r="H298" s="329">
        <f>+'I) Dépenses thématiques'!O297</f>
        <v>-36993.475651529261</v>
      </c>
      <c r="I298" s="326">
        <f>'K) Plafonnement aide'!J297</f>
        <v>0</v>
      </c>
      <c r="J298" s="329">
        <f>'J) Plafonnement effort'!I297</f>
        <v>0</v>
      </c>
      <c r="K298" s="326">
        <f>+'L) Plafonnement taux'!Q298</f>
        <v>0</v>
      </c>
      <c r="L298" s="324">
        <f t="shared" si="15"/>
        <v>6199.8973709120692</v>
      </c>
      <c r="M298" s="233">
        <f>'M) Police'!O298</f>
        <v>17243.743656863779</v>
      </c>
      <c r="N298" s="233">
        <f t="shared" si="14"/>
        <v>23443.641027775848</v>
      </c>
      <c r="P298" s="470"/>
      <c r="R298" s="332"/>
    </row>
    <row r="299" spans="1:18" s="162" customFormat="1" x14ac:dyDescent="0.25">
      <c r="A299" s="159">
        <f>'B) D RI'!A300</f>
        <v>5922</v>
      </c>
      <c r="B299" s="160" t="str">
        <f>'B) D RI'!B300</f>
        <v>Montagny-près-Yverdon</v>
      </c>
      <c r="C299" s="327">
        <f>'B) D RI'!S300</f>
        <v>65</v>
      </c>
      <c r="D299" s="161">
        <f>'B) D RI'!AR300</f>
        <v>738</v>
      </c>
      <c r="E299" s="325">
        <f>'D) Ecrêtage'!M298</f>
        <v>39297.928807692319</v>
      </c>
      <c r="F299" s="329">
        <f>'E) Fact soc'!G304</f>
        <v>817044.77941340464</v>
      </c>
      <c r="G299" s="326">
        <f>'H) Péréquation directe'!I309</f>
        <v>672202.59652399539</v>
      </c>
      <c r="H299" s="329">
        <f>+'I) Dépenses thématiques'!O298</f>
        <v>-153341.85822546034</v>
      </c>
      <c r="I299" s="326">
        <f>'K) Plafonnement aide'!J298</f>
        <v>0</v>
      </c>
      <c r="J299" s="329">
        <f>'J) Plafonnement effort'!I298</f>
        <v>0</v>
      </c>
      <c r="K299" s="326">
        <f>+'L) Plafonnement taux'!Q299</f>
        <v>0</v>
      </c>
      <c r="L299" s="324">
        <f t="shared" si="15"/>
        <v>1335905.5177119395</v>
      </c>
      <c r="M299" s="233">
        <f>'M) Police'!O299</f>
        <v>112127.3161913798</v>
      </c>
      <c r="N299" s="233">
        <f t="shared" si="14"/>
        <v>1448032.8339033192</v>
      </c>
      <c r="P299" s="470"/>
      <c r="R299" s="332"/>
    </row>
    <row r="300" spans="1:18" s="162" customFormat="1" x14ac:dyDescent="0.25">
      <c r="A300" s="159">
        <f>'B) D RI'!A301</f>
        <v>5923</v>
      </c>
      <c r="B300" s="160" t="str">
        <f>'B) D RI'!B301</f>
        <v>Oppens</v>
      </c>
      <c r="C300" s="327">
        <f>'B) D RI'!S301</f>
        <v>81</v>
      </c>
      <c r="D300" s="161">
        <f>'B) D RI'!AR301</f>
        <v>196</v>
      </c>
      <c r="E300" s="325">
        <f>'D) Ecrêtage'!M299</f>
        <v>5148.3425925925922</v>
      </c>
      <c r="F300" s="329">
        <f>'E) Fact soc'!G305</f>
        <v>92000.45666823865</v>
      </c>
      <c r="G300" s="326">
        <f>'H) Péréquation directe'!I310</f>
        <v>-17820.529182339495</v>
      </c>
      <c r="H300" s="329">
        <f>+'I) Dépenses thématiques'!O299</f>
        <v>-39686.680312641496</v>
      </c>
      <c r="I300" s="326">
        <f>'K) Plafonnement aide'!J299</f>
        <v>0</v>
      </c>
      <c r="J300" s="329">
        <f>'J) Plafonnement effort'!I299</f>
        <v>0</v>
      </c>
      <c r="K300" s="326">
        <f>+'L) Plafonnement taux'!Q300</f>
        <v>0</v>
      </c>
      <c r="L300" s="324">
        <f t="shared" si="15"/>
        <v>34493.24717325766</v>
      </c>
      <c r="M300" s="233">
        <f>'M) Police'!O300</f>
        <v>16101.897142316877</v>
      </c>
      <c r="N300" s="233">
        <f t="shared" si="14"/>
        <v>50595.144315574536</v>
      </c>
      <c r="P300" s="470"/>
      <c r="R300" s="332"/>
    </row>
    <row r="301" spans="1:18" s="162" customFormat="1" x14ac:dyDescent="0.25">
      <c r="A301" s="159">
        <f>'B) D RI'!A302</f>
        <v>5924</v>
      </c>
      <c r="B301" s="160" t="str">
        <f>'B) D RI'!B302</f>
        <v>Orges</v>
      </c>
      <c r="C301" s="327">
        <f>'B) D RI'!S302</f>
        <v>74</v>
      </c>
      <c r="D301" s="161">
        <f>'B) D RI'!AR302</f>
        <v>332</v>
      </c>
      <c r="E301" s="325">
        <f>'D) Ecrêtage'!M300</f>
        <v>10554.565405405407</v>
      </c>
      <c r="F301" s="329">
        <f>'E) Fact soc'!G306</f>
        <v>176286.03794160351</v>
      </c>
      <c r="G301" s="326">
        <f>'H) Péréquation directe'!I311</f>
        <v>71375.136299139092</v>
      </c>
      <c r="H301" s="329">
        <f>+'I) Dépenses thématiques'!O300</f>
        <v>0</v>
      </c>
      <c r="I301" s="326">
        <f>'K) Plafonnement aide'!J300</f>
        <v>0</v>
      </c>
      <c r="J301" s="329">
        <f>'J) Plafonnement effort'!I300</f>
        <v>0</v>
      </c>
      <c r="K301" s="326">
        <f>+'L) Plafonnement taux'!Q301</f>
        <v>0</v>
      </c>
      <c r="L301" s="324">
        <f t="shared" si="15"/>
        <v>247661.17424074261</v>
      </c>
      <c r="M301" s="233">
        <f>'M) Police'!O301</f>
        <v>32890.234467271162</v>
      </c>
      <c r="N301" s="233">
        <f t="shared" si="14"/>
        <v>280551.40870801377</v>
      </c>
      <c r="P301" s="470"/>
      <c r="R301" s="332"/>
    </row>
    <row r="302" spans="1:18" s="162" customFormat="1" x14ac:dyDescent="0.25">
      <c r="A302" s="159">
        <f>'B) D RI'!A303</f>
        <v>5925</v>
      </c>
      <c r="B302" s="160" t="str">
        <f>'B) D RI'!B303</f>
        <v>Orzens</v>
      </c>
      <c r="C302" s="327">
        <f>'B) D RI'!S303</f>
        <v>79</v>
      </c>
      <c r="D302" s="161">
        <f>'B) D RI'!AR303</f>
        <v>196</v>
      </c>
      <c r="E302" s="325">
        <f>'D) Ecrêtage'!M301</f>
        <v>5593.0722784810123</v>
      </c>
      <c r="F302" s="329">
        <f>'E) Fact soc'!G307</f>
        <v>107019.24326966572</v>
      </c>
      <c r="G302" s="326">
        <f>'H) Péréquation directe'!I312</f>
        <v>6320.808872376525</v>
      </c>
      <c r="H302" s="329">
        <f>+'I) Dépenses thématiques'!O301</f>
        <v>-15163.245289424955</v>
      </c>
      <c r="I302" s="326">
        <f>'K) Plafonnement aide'!J301</f>
        <v>0</v>
      </c>
      <c r="J302" s="329">
        <f>'J) Plafonnement effort'!I301</f>
        <v>0</v>
      </c>
      <c r="K302" s="326">
        <f>+'L) Plafonnement taux'!Q302</f>
        <v>0</v>
      </c>
      <c r="L302" s="324">
        <f t="shared" si="15"/>
        <v>98176.806852617286</v>
      </c>
      <c r="M302" s="233">
        <f>'M) Police'!O302</f>
        <v>17335.054946270058</v>
      </c>
      <c r="N302" s="233">
        <f t="shared" si="14"/>
        <v>115511.86179888734</v>
      </c>
      <c r="P302" s="470"/>
      <c r="R302" s="332"/>
    </row>
    <row r="303" spans="1:18" s="162" customFormat="1" x14ac:dyDescent="0.25">
      <c r="A303" s="159">
        <f>'B) D RI'!A304</f>
        <v>5926</v>
      </c>
      <c r="B303" s="160" t="str">
        <f>'B) D RI'!B304</f>
        <v>Pomy</v>
      </c>
      <c r="C303" s="327">
        <f>'B) D RI'!S304</f>
        <v>71</v>
      </c>
      <c r="D303" s="161">
        <f>'B) D RI'!AR304</f>
        <v>780</v>
      </c>
      <c r="E303" s="325">
        <f>'D) Ecrêtage'!M302</f>
        <v>26612.015633802817</v>
      </c>
      <c r="F303" s="329">
        <f>'E) Fact soc'!G308</f>
        <v>417679.79806213436</v>
      </c>
      <c r="G303" s="326">
        <f>'H) Péréquation directe'!I313</f>
        <v>256348.77267744334</v>
      </c>
      <c r="H303" s="329">
        <f>+'I) Dépenses thématiques'!O302</f>
        <v>-11323.754348090883</v>
      </c>
      <c r="I303" s="326">
        <f>'K) Plafonnement aide'!J302</f>
        <v>0</v>
      </c>
      <c r="J303" s="329">
        <f>'J) Plafonnement effort'!I302</f>
        <v>0</v>
      </c>
      <c r="K303" s="326">
        <f>+'L) Plafonnement taux'!Q303</f>
        <v>0</v>
      </c>
      <c r="L303" s="324">
        <f t="shared" si="15"/>
        <v>662704.81639148691</v>
      </c>
      <c r="M303" s="233">
        <f>'M) Police'!O303</f>
        <v>33090.961901665083</v>
      </c>
      <c r="N303" s="233">
        <f t="shared" si="14"/>
        <v>695795.77829315199</v>
      </c>
      <c r="P303" s="470"/>
      <c r="R303" s="332"/>
    </row>
    <row r="304" spans="1:18" s="162" customFormat="1" x14ac:dyDescent="0.25">
      <c r="A304" s="159">
        <f>'B) D RI'!A305</f>
        <v>5928</v>
      </c>
      <c r="B304" s="160" t="str">
        <f>'B) D RI'!B305</f>
        <v>Rovray</v>
      </c>
      <c r="C304" s="327">
        <f>'B) D RI'!S305</f>
        <v>73</v>
      </c>
      <c r="D304" s="161">
        <f>'B) D RI'!AR305</f>
        <v>180</v>
      </c>
      <c r="E304" s="325">
        <f>'D) Ecrêtage'!M303</f>
        <v>4333.9980821917816</v>
      </c>
      <c r="F304" s="329">
        <f>'E) Fact soc'!G309</f>
        <v>77650.711022877833</v>
      </c>
      <c r="G304" s="326">
        <f>'H) Péréquation directe'!I314</f>
        <v>-15634.584927827163</v>
      </c>
      <c r="H304" s="329">
        <f>+'I) Dépenses thématiques'!O303</f>
        <v>-9047.5068843178451</v>
      </c>
      <c r="I304" s="326">
        <f>'K) Plafonnement aide'!J303</f>
        <v>0</v>
      </c>
      <c r="J304" s="329">
        <f>'J) Plafonnement effort'!I303</f>
        <v>0</v>
      </c>
      <c r="K304" s="326">
        <f>+'L) Plafonnement taux'!Q304</f>
        <v>0</v>
      </c>
      <c r="L304" s="324">
        <f t="shared" si="15"/>
        <v>52968.619210732824</v>
      </c>
      <c r="M304" s="233">
        <f>'M) Police'!O304</f>
        <v>13484.177104269937</v>
      </c>
      <c r="N304" s="233">
        <f t="shared" si="14"/>
        <v>66452.796315002764</v>
      </c>
      <c r="P304" s="470"/>
      <c r="R304" s="332"/>
    </row>
    <row r="305" spans="1:18" s="162" customFormat="1" x14ac:dyDescent="0.25">
      <c r="A305" s="159">
        <f>'B) D RI'!A306</f>
        <v>5929</v>
      </c>
      <c r="B305" s="160" t="str">
        <f>'B) D RI'!B306</f>
        <v>Suchy</v>
      </c>
      <c r="C305" s="327">
        <f>'B) D RI'!S306</f>
        <v>70</v>
      </c>
      <c r="D305" s="161">
        <f>'B) D RI'!AR306</f>
        <v>599</v>
      </c>
      <c r="E305" s="325">
        <f>'D) Ecrêtage'!M304</f>
        <v>17148.792607142859</v>
      </c>
      <c r="F305" s="329">
        <f>'E) Fact soc'!G310</f>
        <v>299719.43246758013</v>
      </c>
      <c r="G305" s="326">
        <f>'H) Péréquation directe'!I315</f>
        <v>74163.307194047549</v>
      </c>
      <c r="H305" s="329">
        <f>+'I) Dépenses thématiques'!O304</f>
        <v>-15406.898921854638</v>
      </c>
      <c r="I305" s="326">
        <f>'K) Plafonnement aide'!J304</f>
        <v>0</v>
      </c>
      <c r="J305" s="329">
        <f>'J) Plafonnement effort'!I304</f>
        <v>0</v>
      </c>
      <c r="K305" s="326">
        <f>+'L) Plafonnement taux'!Q305</f>
        <v>0</v>
      </c>
      <c r="L305" s="324">
        <f t="shared" si="15"/>
        <v>358475.84073977306</v>
      </c>
      <c r="M305" s="233">
        <f>'M) Police'!O305</f>
        <v>21323.827951675888</v>
      </c>
      <c r="N305" s="233">
        <f t="shared" si="14"/>
        <v>379799.66869144893</v>
      </c>
      <c r="P305" s="470"/>
      <c r="R305" s="332"/>
    </row>
    <row r="306" spans="1:18" s="162" customFormat="1" x14ac:dyDescent="0.25">
      <c r="A306" s="159">
        <f>'B) D RI'!A307</f>
        <v>5930</v>
      </c>
      <c r="B306" s="160" t="str">
        <f>'B) D RI'!B307</f>
        <v>Suscévaz</v>
      </c>
      <c r="C306" s="327">
        <f>'B) D RI'!S307</f>
        <v>72</v>
      </c>
      <c r="D306" s="161">
        <f>'B) D RI'!AR307</f>
        <v>213</v>
      </c>
      <c r="E306" s="325">
        <f>'D) Ecrêtage'!M305</f>
        <v>5907.1765277777777</v>
      </c>
      <c r="F306" s="329">
        <f>'E) Fact soc'!G311</f>
        <v>117078.90689925717</v>
      </c>
      <c r="G306" s="326">
        <f>'H) Péréquation directe'!I316</f>
        <v>14876.183186302413</v>
      </c>
      <c r="H306" s="329">
        <f>+'I) Dépenses thématiques'!O305</f>
        <v>-26022.825496206333</v>
      </c>
      <c r="I306" s="326">
        <f>'K) Plafonnement aide'!J305</f>
        <v>0</v>
      </c>
      <c r="J306" s="329">
        <f>'J) Plafonnement effort'!I305</f>
        <v>0</v>
      </c>
      <c r="K306" s="326">
        <f>+'L) Plafonnement taux'!Q306</f>
        <v>0</v>
      </c>
      <c r="L306" s="324">
        <f t="shared" si="15"/>
        <v>105932.26458935325</v>
      </c>
      <c r="M306" s="233">
        <f>'M) Police'!O306</f>
        <v>7345.3343826692962</v>
      </c>
      <c r="N306" s="233">
        <f t="shared" si="14"/>
        <v>113277.59897202255</v>
      </c>
      <c r="P306" s="470"/>
      <c r="R306" s="332"/>
    </row>
    <row r="307" spans="1:18" s="162" customFormat="1" x14ac:dyDescent="0.25">
      <c r="A307" s="159">
        <f>'B) D RI'!A308</f>
        <v>5931</v>
      </c>
      <c r="B307" s="160" t="str">
        <f>'B) D RI'!B308</f>
        <v>Treycovagnes</v>
      </c>
      <c r="C307" s="327">
        <f>'B) D RI'!S308</f>
        <v>75</v>
      </c>
      <c r="D307" s="161">
        <f>'B) D RI'!AR308</f>
        <v>480</v>
      </c>
      <c r="E307" s="325">
        <f>'D) Ecrêtage'!M306</f>
        <v>12973.060799999999</v>
      </c>
      <c r="F307" s="329">
        <f>'E) Fact soc'!G312</f>
        <v>224331.91510749032</v>
      </c>
      <c r="G307" s="326">
        <f>'H) Péréquation directe'!I317</f>
        <v>4959.0604533057776</v>
      </c>
      <c r="H307" s="329">
        <f>+'I) Dépenses thématiques'!O306</f>
        <v>-7417.6307359884368</v>
      </c>
      <c r="I307" s="326">
        <f>'K) Plafonnement aide'!J306</f>
        <v>0</v>
      </c>
      <c r="J307" s="329">
        <f>'J) Plafonnement effort'!I306</f>
        <v>0</v>
      </c>
      <c r="K307" s="326">
        <f>+'L) Plafonnement taux'!Q307</f>
        <v>0</v>
      </c>
      <c r="L307" s="324">
        <f t="shared" si="15"/>
        <v>221873.34482480766</v>
      </c>
      <c r="M307" s="233">
        <f>'M) Police'!O307</f>
        <v>16131.474841593565</v>
      </c>
      <c r="N307" s="233">
        <f t="shared" si="14"/>
        <v>238004.81966640122</v>
      </c>
      <c r="P307" s="470"/>
      <c r="R307" s="332"/>
    </row>
    <row r="308" spans="1:18" s="162" customFormat="1" x14ac:dyDescent="0.25">
      <c r="A308" s="159">
        <f>'B) D RI'!A309</f>
        <v>5932</v>
      </c>
      <c r="B308" s="160" t="str">
        <f>'B) D RI'!B309</f>
        <v>Ursins</v>
      </c>
      <c r="C308" s="327">
        <f>'B) D RI'!S309</f>
        <v>77</v>
      </c>
      <c r="D308" s="161">
        <f>'B) D RI'!AR309</f>
        <v>230</v>
      </c>
      <c r="E308" s="325">
        <f>'D) Ecrêtage'!M307</f>
        <v>6683.323116883118</v>
      </c>
      <c r="F308" s="329">
        <f>'E) Fact soc'!G313</f>
        <v>121428.22518792943</v>
      </c>
      <c r="G308" s="326">
        <f>'H) Péréquation directe'!I318</f>
        <v>17229.295468349999</v>
      </c>
      <c r="H308" s="329">
        <f>+'I) Dépenses thématiques'!O307</f>
        <v>-9203.2716098574456</v>
      </c>
      <c r="I308" s="326">
        <f>'K) Plafonnement aide'!J307</f>
        <v>0</v>
      </c>
      <c r="J308" s="329">
        <f>'J) Plafonnement effort'!I307</f>
        <v>0</v>
      </c>
      <c r="K308" s="326">
        <f>+'L) Plafonnement taux'!Q308</f>
        <v>0</v>
      </c>
      <c r="L308" s="324">
        <f t="shared" si="15"/>
        <v>129454.24904642199</v>
      </c>
      <c r="M308" s="233">
        <f>'M) Police'!O308</f>
        <v>20859.36793442435</v>
      </c>
      <c r="N308" s="233">
        <f t="shared" si="14"/>
        <v>150313.61698084633</v>
      </c>
      <c r="P308" s="470"/>
      <c r="R308" s="332"/>
    </row>
    <row r="309" spans="1:18" s="162" customFormat="1" x14ac:dyDescent="0.25">
      <c r="A309" s="159">
        <f>'B) D RI'!A310</f>
        <v>5933</v>
      </c>
      <c r="B309" s="160" t="str">
        <f>'B) D RI'!B310</f>
        <v>Valeyres-sous-Montagny</v>
      </c>
      <c r="C309" s="327">
        <f>'B) D RI'!S310</f>
        <v>72</v>
      </c>
      <c r="D309" s="161">
        <f>'B) D RI'!AR310</f>
        <v>708</v>
      </c>
      <c r="E309" s="325">
        <f>'D) Ecrêtage'!M308</f>
        <v>22363.871527777774</v>
      </c>
      <c r="F309" s="329">
        <f>'E) Fact soc'!G314</f>
        <v>374064.73958899698</v>
      </c>
      <c r="G309" s="326">
        <f>'H) Péréquation directe'!I319</f>
        <v>157403.98364701041</v>
      </c>
      <c r="H309" s="329">
        <f>+'I) Dépenses thématiques'!O308</f>
        <v>-135849.71336994355</v>
      </c>
      <c r="I309" s="326">
        <f>'K) Plafonnement aide'!J308</f>
        <v>0</v>
      </c>
      <c r="J309" s="329">
        <f>'J) Plafonnement effort'!I308</f>
        <v>0</v>
      </c>
      <c r="K309" s="326">
        <f>+'L) Plafonnement taux'!Q309</f>
        <v>0</v>
      </c>
      <c r="L309" s="324">
        <f t="shared" si="15"/>
        <v>395619.00986606383</v>
      </c>
      <c r="M309" s="233">
        <f>'M) Police'!O309</f>
        <v>69261.012868722377</v>
      </c>
      <c r="N309" s="233">
        <f t="shared" si="14"/>
        <v>464880.02273478621</v>
      </c>
      <c r="P309" s="470"/>
      <c r="R309" s="332"/>
    </row>
    <row r="310" spans="1:18" s="162" customFormat="1" x14ac:dyDescent="0.25">
      <c r="A310" s="159">
        <f>'B) D RI'!A311</f>
        <v>5934</v>
      </c>
      <c r="B310" s="160" t="str">
        <f>'B) D RI'!B311</f>
        <v>Valeyres-sous-Ursins</v>
      </c>
      <c r="C310" s="327">
        <f>'B) D RI'!S311</f>
        <v>79</v>
      </c>
      <c r="D310" s="161">
        <f>'B) D RI'!AR311</f>
        <v>232</v>
      </c>
      <c r="E310" s="325">
        <f>'D) Ecrêtage'!M309</f>
        <v>7624.9658227848104</v>
      </c>
      <c r="F310" s="329">
        <f>'E) Fact soc'!G315</f>
        <v>112967.08762974221</v>
      </c>
      <c r="G310" s="326">
        <f>'H) Péréquation directe'!I320</f>
        <v>51441.854047931265</v>
      </c>
      <c r="H310" s="329">
        <f>+'I) Dépenses thématiques'!O309</f>
        <v>-6203.5232226828693</v>
      </c>
      <c r="I310" s="326">
        <f>'K) Plafonnement aide'!J309</f>
        <v>0</v>
      </c>
      <c r="J310" s="329">
        <f>'J) Plafonnement effort'!I309</f>
        <v>0</v>
      </c>
      <c r="K310" s="326">
        <f>+'L) Plafonnement taux'!Q310</f>
        <v>0</v>
      </c>
      <c r="L310" s="324">
        <f t="shared" si="15"/>
        <v>158205.41845499061</v>
      </c>
      <c r="M310" s="233">
        <f>'M) Police'!O310</f>
        <v>23995.082522874945</v>
      </c>
      <c r="N310" s="233">
        <f t="shared" si="14"/>
        <v>182200.50097786554</v>
      </c>
      <c r="P310" s="470"/>
      <c r="R310" s="332"/>
    </row>
    <row r="311" spans="1:18" s="162" customFormat="1" x14ac:dyDescent="0.25">
      <c r="A311" s="159">
        <f>'B) D RI'!A312</f>
        <v>5935</v>
      </c>
      <c r="B311" s="160" t="str">
        <f>'B) D RI'!B312</f>
        <v>Villars-Epeney</v>
      </c>
      <c r="C311" s="327">
        <f>'B) D RI'!S312</f>
        <v>60</v>
      </c>
      <c r="D311" s="161">
        <f>'B) D RI'!AR312</f>
        <v>100</v>
      </c>
      <c r="E311" s="325">
        <f>'D) Ecrêtage'!M310</f>
        <v>5594.2837181991172</v>
      </c>
      <c r="F311" s="329">
        <f>'E) Fact soc'!G316</f>
        <v>89714.411773515996</v>
      </c>
      <c r="G311" s="326">
        <f>'H) Péréquation directe'!I321</f>
        <v>96197.204464581446</v>
      </c>
      <c r="H311" s="329">
        <f>+'I) Dépenses thématiques'!O310</f>
        <v>-6254.8611745470316</v>
      </c>
      <c r="I311" s="326">
        <f>'K) Plafonnement aide'!J310</f>
        <v>0</v>
      </c>
      <c r="J311" s="329">
        <f>'J) Plafonnement effort'!I310</f>
        <v>0</v>
      </c>
      <c r="K311" s="326">
        <f>+'L) Plafonnement taux'!Q311</f>
        <v>0</v>
      </c>
      <c r="L311" s="324">
        <f t="shared" si="15"/>
        <v>179656.7550635504</v>
      </c>
      <c r="M311" s="233">
        <f>'M) Police'!O311</f>
        <v>15528.342898265326</v>
      </c>
      <c r="N311" s="233">
        <f t="shared" si="14"/>
        <v>195185.09796181571</v>
      </c>
      <c r="P311" s="470"/>
      <c r="R311" s="332"/>
    </row>
    <row r="312" spans="1:18" s="162" customFormat="1" x14ac:dyDescent="0.25">
      <c r="A312" s="159">
        <f>'B) D RI'!A313</f>
        <v>5937</v>
      </c>
      <c r="B312" s="160" t="str">
        <f>'B) D RI'!B313</f>
        <v>Vugelles-La Mothe</v>
      </c>
      <c r="C312" s="327">
        <f>'B) D RI'!S313</f>
        <v>70</v>
      </c>
      <c r="D312" s="161">
        <f>'B) D RI'!AR313</f>
        <v>132</v>
      </c>
      <c r="E312" s="325">
        <f>'D) Ecrêtage'!M311</f>
        <v>2433.2134081632657</v>
      </c>
      <c r="F312" s="329">
        <f>'E) Fact soc'!G317</f>
        <v>44877.072798046851</v>
      </c>
      <c r="G312" s="326">
        <f>'H) Péréquation directe'!I322</f>
        <v>-35383.488789703995</v>
      </c>
      <c r="H312" s="329">
        <f>+'I) Dépenses thématiques'!O311</f>
        <v>-32770.950821415972</v>
      </c>
      <c r="I312" s="326">
        <f>'K) Plafonnement aide'!J311</f>
        <v>0</v>
      </c>
      <c r="J312" s="329">
        <f>'J) Plafonnement effort'!I311</f>
        <v>0</v>
      </c>
      <c r="K312" s="326">
        <f>+'L) Plafonnement taux'!Q312</f>
        <v>0</v>
      </c>
      <c r="L312" s="324">
        <f t="shared" si="15"/>
        <v>-23277.366813073117</v>
      </c>
      <c r="M312" s="233">
        <f>'M) Police'!O312</f>
        <v>7454.2167391154635</v>
      </c>
      <c r="N312" s="233">
        <f t="shared" si="14"/>
        <v>-15823.150073957653</v>
      </c>
      <c r="P312" s="470"/>
      <c r="R312" s="332"/>
    </row>
    <row r="313" spans="1:18" s="162" customFormat="1" x14ac:dyDescent="0.25">
      <c r="A313" s="159">
        <f>'B) D RI'!A314</f>
        <v>5938</v>
      </c>
      <c r="B313" s="160" t="str">
        <f>'B) D RI'!B314</f>
        <v>Yverdon-les-Bains</v>
      </c>
      <c r="C313" s="327">
        <f>'B) D RI'!S314</f>
        <v>76.5</v>
      </c>
      <c r="D313" s="161">
        <f>'B) D RI'!AR314</f>
        <v>30211</v>
      </c>
      <c r="E313" s="325">
        <f>'D) Ecrêtage'!M312</f>
        <v>774658.89816993475</v>
      </c>
      <c r="F313" s="329">
        <f>'E) Fact soc'!G318</f>
        <v>14921465.803547526</v>
      </c>
      <c r="G313" s="326">
        <f>'H) Péréquation directe'!I323</f>
        <v>-24624249.775783047</v>
      </c>
      <c r="H313" s="329">
        <f>+'I) Dépenses thématiques'!O312</f>
        <v>-7700190.0770301549</v>
      </c>
      <c r="I313" s="326">
        <f>'K) Plafonnement aide'!J312</f>
        <v>4667501.1341309473</v>
      </c>
      <c r="J313" s="329">
        <f>'J) Plafonnement effort'!I312</f>
        <v>0</v>
      </c>
      <c r="K313" s="326">
        <f>+'L) Plafonnement taux'!Q313</f>
        <v>0</v>
      </c>
      <c r="L313" s="324">
        <f t="shared" si="15"/>
        <v>-12735472.915134728</v>
      </c>
      <c r="M313" s="233">
        <f>'M) Police'!O313</f>
        <v>963256.91517956147</v>
      </c>
      <c r="N313" s="233">
        <f t="shared" si="14"/>
        <v>-11772215.999955166</v>
      </c>
      <c r="P313" s="470"/>
      <c r="R313" s="332"/>
    </row>
    <row r="314" spans="1:18" s="162" customFormat="1" x14ac:dyDescent="0.25">
      <c r="A314" s="159">
        <f>'B) D RI'!A315</f>
        <v>5939</v>
      </c>
      <c r="B314" s="160" t="str">
        <f>'B) D RI'!B315</f>
        <v>Yvonand</v>
      </c>
      <c r="C314" s="327">
        <f>'B) D RI'!S315</f>
        <v>73</v>
      </c>
      <c r="D314" s="161">
        <f>'B) D RI'!AR315</f>
        <v>3426</v>
      </c>
      <c r="E314" s="325">
        <f>'D) Ecrêtage'!M313</f>
        <v>93821.233287671232</v>
      </c>
      <c r="F314" s="329">
        <f>'E) Fact soc'!G319</f>
        <v>1723070.6233460363</v>
      </c>
      <c r="G314" s="326">
        <f>'H) Péréquation directe'!I324</f>
        <v>-512505.13458316866</v>
      </c>
      <c r="H314" s="451">
        <f>+'I) Dépenses thématiques'!O313</f>
        <v>-217840.8087385165</v>
      </c>
      <c r="I314" s="326">
        <f>'K) Plafonnement aide'!J313</f>
        <v>0</v>
      </c>
      <c r="J314" s="329">
        <f>'J) Plafonnement effort'!I313</f>
        <v>0</v>
      </c>
      <c r="K314" s="326">
        <f>+'L) Plafonnement taux'!Q314</f>
        <v>0</v>
      </c>
      <c r="L314" s="324">
        <f t="shared" si="15"/>
        <v>992724.68002435111</v>
      </c>
      <c r="M314" s="233">
        <f>'M) Police'!O314</f>
        <v>288999.5491622237</v>
      </c>
      <c r="N314" s="235">
        <f t="shared" si="14"/>
        <v>1281724.2291865749</v>
      </c>
      <c r="P314" s="470"/>
      <c r="R314" s="332"/>
    </row>
    <row r="315" spans="1:18" x14ac:dyDescent="0.25">
      <c r="A315" s="31"/>
      <c r="B315" s="25">
        <f>COUNTA(B6:B314)</f>
        <v>309</v>
      </c>
      <c r="C315" s="258"/>
      <c r="D315" s="164">
        <f>SUM(D6:D314)</f>
        <v>800162</v>
      </c>
      <c r="E315" s="164">
        <f>SUM(E6:E314)</f>
        <v>36057927.800654255</v>
      </c>
      <c r="F315" s="153">
        <f>'E) Fact soc'!G320</f>
        <v>790010913.99999928</v>
      </c>
      <c r="G315" s="153">
        <f>'H) Péréquation directe'!I325</f>
        <v>148928437.54618877</v>
      </c>
      <c r="H315" s="450">
        <f>'I) Dépenses thématiques'!O314</f>
        <v>-144231711.20261699</v>
      </c>
      <c r="I315" s="153">
        <f>'K) Plafonnement aide'!J314</f>
        <v>5423730.7749360707</v>
      </c>
      <c r="J315" s="153">
        <f>'J) Plafonnement effort'!I314</f>
        <v>-9662514.5173370894</v>
      </c>
      <c r="K315" s="153">
        <f>+'L) Plafonnement taux'!Q315</f>
        <v>-7942.6011709205522</v>
      </c>
      <c r="L315" s="234">
        <f t="shared" si="15"/>
        <v>790460913.99999928</v>
      </c>
      <c r="M315" s="234">
        <f>SUM(M6:M314)</f>
        <v>66919050.938490741</v>
      </c>
      <c r="N315" s="234">
        <f>SUM(N6:N314)</f>
        <v>857379964.93849099</v>
      </c>
    </row>
    <row r="316" spans="1:18" x14ac:dyDescent="0.25">
      <c r="D316" s="13"/>
      <c r="E316" s="13"/>
      <c r="L316" s="6">
        <f>+L315-F315</f>
        <v>450000</v>
      </c>
      <c r="M316" s="6"/>
      <c r="N316" s="6"/>
    </row>
    <row r="317" spans="1:18" x14ac:dyDescent="0.25">
      <c r="H317" s="163"/>
      <c r="I317" s="163"/>
      <c r="J317" s="163"/>
      <c r="K317" s="163"/>
      <c r="L317" s="6"/>
      <c r="M317" s="6"/>
      <c r="N317" s="6"/>
    </row>
  </sheetData>
  <mergeCells count="16">
    <mergeCell ref="O4:O5"/>
    <mergeCell ref="M4:M5"/>
    <mergeCell ref="N4:N5"/>
    <mergeCell ref="A1:E1"/>
    <mergeCell ref="L4:L5"/>
    <mergeCell ref="K4:K5"/>
    <mergeCell ref="J4:J5"/>
    <mergeCell ref="I4:I5"/>
    <mergeCell ref="H4:H5"/>
    <mergeCell ref="G4:G5"/>
    <mergeCell ref="F4:F5"/>
    <mergeCell ref="E4:E5"/>
    <mergeCell ref="D4:D5"/>
    <mergeCell ref="C4:C5"/>
    <mergeCell ref="B4:B5"/>
    <mergeCell ref="A4:A5"/>
  </mergeCells>
  <phoneticPr fontId="0" type="noConversion"/>
  <printOptions horizontalCentered="1" verticalCentered="1"/>
  <pageMargins left="0.19685039370078741" right="0.19685039370078741" top="0" bottom="0" header="0.51181102362204722" footer="0.51181102362204722"/>
  <pageSetup paperSize="9" fitToHeight="7" orientation="landscape" horizontalDpi="1200" verticalDpi="1200" r:id="rId1"/>
  <headerFooter alignWithMargins="0">
    <oddFooter>&amp;LSCL - Division finances communales&amp;C- &amp;P -</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K319"/>
  <sheetViews>
    <sheetView workbookViewId="0">
      <selection activeCell="A4" sqref="A4:A5"/>
    </sheetView>
  </sheetViews>
  <sheetFormatPr baseColWidth="10" defaultColWidth="10.875" defaultRowHeight="15" x14ac:dyDescent="0.25"/>
  <cols>
    <col min="1" max="1" width="6.875" style="13" customWidth="1"/>
    <col min="2" max="2" width="20.25" style="13" bestFit="1" customWidth="1"/>
    <col min="3" max="3" width="13" style="464" bestFit="1" customWidth="1"/>
    <col min="4" max="4" width="9.5" style="13" bestFit="1" customWidth="1"/>
    <col min="5" max="5" width="9.375" style="13" customWidth="1"/>
    <col min="6" max="6" width="12.125" style="468" bestFit="1" customWidth="1"/>
    <col min="7" max="7" width="9.25" style="13" bestFit="1" customWidth="1"/>
    <col min="8" max="8" width="9.5" style="13" bestFit="1" customWidth="1"/>
    <col min="9" max="9" width="9" style="471" bestFit="1" customWidth="1"/>
    <col min="10" max="10" width="8.625" style="13" bestFit="1" customWidth="1"/>
    <col min="11" max="11" width="9.625" style="13" customWidth="1"/>
    <col min="12" max="16384" width="10.875" style="429"/>
  </cols>
  <sheetData>
    <row r="1" spans="1:11" ht="21" x14ac:dyDescent="0.2">
      <c r="A1" s="586" t="s">
        <v>485</v>
      </c>
      <c r="B1" s="587"/>
      <c r="C1" s="587"/>
      <c r="D1" s="587"/>
      <c r="E1" s="587"/>
      <c r="F1" s="469"/>
      <c r="G1" s="73"/>
      <c r="H1" s="73"/>
      <c r="I1" s="473"/>
      <c r="J1" s="73"/>
      <c r="K1" s="73"/>
    </row>
    <row r="2" spans="1:11" ht="21" x14ac:dyDescent="0.2">
      <c r="A2" s="430" t="s">
        <v>654</v>
      </c>
      <c r="B2" s="44"/>
      <c r="C2" s="463"/>
      <c r="D2" s="431"/>
      <c r="E2" s="431"/>
      <c r="F2" s="469"/>
      <c r="G2" s="73"/>
      <c r="H2" s="73"/>
      <c r="I2" s="473"/>
      <c r="J2" s="73"/>
      <c r="K2" s="73"/>
    </row>
    <row r="4" spans="1:11" ht="12.6" customHeight="1" x14ac:dyDescent="0.2">
      <c r="A4" s="535" t="s">
        <v>50</v>
      </c>
      <c r="B4" s="561" t="s">
        <v>636</v>
      </c>
      <c r="C4" s="591" t="s">
        <v>98</v>
      </c>
      <c r="D4" s="590"/>
      <c r="E4" s="584"/>
      <c r="F4" s="590" t="s">
        <v>637</v>
      </c>
      <c r="G4" s="590"/>
      <c r="H4" s="584"/>
      <c r="I4" s="590" t="s">
        <v>506</v>
      </c>
      <c r="J4" s="590"/>
      <c r="K4" s="584"/>
    </row>
    <row r="5" spans="1:11" ht="12.6" customHeight="1" x14ac:dyDescent="0.2">
      <c r="A5" s="536"/>
      <c r="B5" s="562"/>
      <c r="C5" s="303" t="s">
        <v>638</v>
      </c>
      <c r="D5" s="485" t="s">
        <v>639</v>
      </c>
      <c r="E5" s="484" t="s">
        <v>640</v>
      </c>
      <c r="F5" s="303" t="s">
        <v>638</v>
      </c>
      <c r="G5" s="485" t="s">
        <v>639</v>
      </c>
      <c r="H5" s="484" t="s">
        <v>640</v>
      </c>
      <c r="I5" s="303" t="s">
        <v>638</v>
      </c>
      <c r="J5" s="484" t="s">
        <v>639</v>
      </c>
      <c r="K5" s="484" t="s">
        <v>641</v>
      </c>
    </row>
    <row r="6" spans="1:11" x14ac:dyDescent="0.25">
      <c r="A6" s="159">
        <f>+'B) D RI'!A7</f>
        <v>5401</v>
      </c>
      <c r="B6" s="435" t="str">
        <f>+'B) D RI'!B7</f>
        <v>Aigle</v>
      </c>
      <c r="C6" s="462">
        <v>5585230.1979759242</v>
      </c>
      <c r="D6" s="233">
        <f>VLOOKUP(B6,Synthèse!B6:F314,5,FALSE)</f>
        <v>5260827.5786436517</v>
      </c>
      <c r="E6" s="329">
        <f>+D6-C6</f>
        <v>-324402.61933227256</v>
      </c>
      <c r="F6" s="470">
        <v>-4838567.4134616377</v>
      </c>
      <c r="G6" s="233">
        <v>-5386658.6243009008</v>
      </c>
      <c r="H6" s="329">
        <f>+G6-F6</f>
        <v>-548091.21083926316</v>
      </c>
      <c r="I6" s="432">
        <v>356993.36375883763</v>
      </c>
      <c r="J6" s="233">
        <f>VLOOKUP(B6,'M) Police'!B6:O314,14,FALSE)</f>
        <v>343599.43522800837</v>
      </c>
      <c r="K6" s="329">
        <f>+J6-I6</f>
        <v>-13393.92853082926</v>
      </c>
    </row>
    <row r="7" spans="1:11" x14ac:dyDescent="0.25">
      <c r="A7" s="159">
        <f>+'B) D RI'!A8</f>
        <v>5402</v>
      </c>
      <c r="B7" s="435" t="str">
        <f>+'B) D RI'!B8</f>
        <v>Bex</v>
      </c>
      <c r="C7" s="432">
        <v>3152818.1427217349</v>
      </c>
      <c r="D7" s="233">
        <f>VLOOKUP(B7,Synthèse!B7:F315,5,FALSE)</f>
        <v>3027604.6396933645</v>
      </c>
      <c r="E7" s="329">
        <f t="shared" ref="E7:E70" si="0">+D7-C7</f>
        <v>-125213.50302837044</v>
      </c>
      <c r="F7" s="470">
        <v>-5216973.3253202233</v>
      </c>
      <c r="G7" s="233">
        <v>-5411239.2416816512</v>
      </c>
      <c r="H7" s="329">
        <f t="shared" ref="H7:H70" si="1">+G7-F7</f>
        <v>-194265.91636142787</v>
      </c>
      <c r="I7" s="432">
        <v>219528.90146110728</v>
      </c>
      <c r="J7" s="233">
        <f>VLOOKUP(B7,'M) Police'!B7:O315,14,FALSE)</f>
        <v>214604.70446045502</v>
      </c>
      <c r="K7" s="329">
        <f t="shared" ref="K7:K70" si="2">+J7-I7</f>
        <v>-4924.1970006522606</v>
      </c>
    </row>
    <row r="8" spans="1:11" x14ac:dyDescent="0.25">
      <c r="A8" s="159">
        <f>+'B) D RI'!A9</f>
        <v>5403</v>
      </c>
      <c r="B8" s="435" t="str">
        <f>+'B) D RI'!B9</f>
        <v>Chessel</v>
      </c>
      <c r="C8" s="432">
        <v>152692.52041078772</v>
      </c>
      <c r="D8" s="233">
        <f>VLOOKUP(B8,Synthèse!B8:F316,5,FALSE)</f>
        <v>181036.62000155236</v>
      </c>
      <c r="E8" s="329">
        <f t="shared" si="0"/>
        <v>28344.099590764643</v>
      </c>
      <c r="F8" s="470">
        <v>-132438.89862845713</v>
      </c>
      <c r="G8" s="233">
        <v>-85824.920907864042</v>
      </c>
      <c r="H8" s="329">
        <f t="shared" si="1"/>
        <v>46613.977720593088</v>
      </c>
      <c r="I8" s="432">
        <v>26208.558105026685</v>
      </c>
      <c r="J8" s="233">
        <f>VLOOKUP(B8,'M) Police'!B8:O316,14,FALSE)</f>
        <v>31379.882149178302</v>
      </c>
      <c r="K8" s="329">
        <f t="shared" si="2"/>
        <v>5171.3240441516173</v>
      </c>
    </row>
    <row r="9" spans="1:11" x14ac:dyDescent="0.25">
      <c r="A9" s="159">
        <f>+'B) D RI'!A10</f>
        <v>5404</v>
      </c>
      <c r="B9" s="435" t="str">
        <f>+'B) D RI'!B10</f>
        <v>Corbeyrier</v>
      </c>
      <c r="C9" s="432">
        <v>216400.2947608837</v>
      </c>
      <c r="D9" s="233">
        <f>VLOOKUP(B9,Synthèse!B9:F317,5,FALSE)</f>
        <v>212853.32983987691</v>
      </c>
      <c r="E9" s="329">
        <f t="shared" si="0"/>
        <v>-3546.9649210067873</v>
      </c>
      <c r="F9" s="470">
        <v>-161215.71893751647</v>
      </c>
      <c r="G9" s="233">
        <v>-97075.795666622347</v>
      </c>
      <c r="H9" s="329">
        <f t="shared" si="1"/>
        <v>64139.923270894127</v>
      </c>
      <c r="I9" s="432">
        <v>35407.498545996837</v>
      </c>
      <c r="J9" s="233">
        <f>VLOOKUP(B9,'M) Police'!B9:O316,14,FALSE)</f>
        <v>36913.417463283513</v>
      </c>
      <c r="K9" s="329">
        <f t="shared" si="2"/>
        <v>1505.9189172866754</v>
      </c>
    </row>
    <row r="10" spans="1:11" x14ac:dyDescent="0.25">
      <c r="A10" s="159">
        <f>+'B) D RI'!A11</f>
        <v>5405</v>
      </c>
      <c r="B10" s="435" t="str">
        <f>+'B) D RI'!B11</f>
        <v>Gryon</v>
      </c>
      <c r="C10" s="432">
        <v>1284230.4154042851</v>
      </c>
      <c r="D10" s="233">
        <f>VLOOKUP(B10,Synthèse!B10:F318,5,FALSE)</f>
        <v>1776866.6268886912</v>
      </c>
      <c r="E10" s="329">
        <f t="shared" si="0"/>
        <v>492636.21148440614</v>
      </c>
      <c r="F10" s="470">
        <v>578582.00032612134</v>
      </c>
      <c r="G10" s="233">
        <v>391416.36817353719</v>
      </c>
      <c r="H10" s="329">
        <f t="shared" si="1"/>
        <v>-187165.63215258415</v>
      </c>
      <c r="I10" s="432">
        <v>200553.66189412202</v>
      </c>
      <c r="J10" s="233">
        <f>VLOOKUP(B10,'M) Police'!B10:O316,14,FALSE)</f>
        <v>198211.67885785425</v>
      </c>
      <c r="K10" s="329">
        <f t="shared" si="2"/>
        <v>-2341.9830362677749</v>
      </c>
    </row>
    <row r="11" spans="1:11" x14ac:dyDescent="0.25">
      <c r="A11" s="159">
        <f>+'B) D RI'!A12</f>
        <v>5406</v>
      </c>
      <c r="B11" s="435" t="str">
        <f>+'B) D RI'!B12</f>
        <v>Lavey-Morcles</v>
      </c>
      <c r="C11" s="432">
        <v>319468.97795483534</v>
      </c>
      <c r="D11" s="233">
        <f>VLOOKUP(B11,Synthèse!B11:F319,5,FALSE)</f>
        <v>341022.5278879205</v>
      </c>
      <c r="E11" s="329">
        <f t="shared" si="0"/>
        <v>21553.54993308516</v>
      </c>
      <c r="F11" s="470">
        <v>-216863.47802002993</v>
      </c>
      <c r="G11" s="233">
        <v>-182652.39127948036</v>
      </c>
      <c r="H11" s="329">
        <f t="shared" si="1"/>
        <v>34211.086740549566</v>
      </c>
      <c r="I11" s="432">
        <v>62886.848723855815</v>
      </c>
      <c r="J11" s="233">
        <f>VLOOKUP(B11,'M) Police'!B11:O316,14,FALSE)</f>
        <v>65654.08257347258</v>
      </c>
      <c r="K11" s="329">
        <f t="shared" si="2"/>
        <v>2767.2338496167649</v>
      </c>
    </row>
    <row r="12" spans="1:11" x14ac:dyDescent="0.25">
      <c r="A12" s="159">
        <f>+'B) D RI'!A13</f>
        <v>5407</v>
      </c>
      <c r="B12" s="435" t="str">
        <f>+'B) D RI'!B13</f>
        <v>Leysin</v>
      </c>
      <c r="C12" s="432">
        <v>1515020.4877690799</v>
      </c>
      <c r="D12" s="233">
        <f>VLOOKUP(B12,Synthèse!B12:F320,5,FALSE)</f>
        <v>1534486.4139272748</v>
      </c>
      <c r="E12" s="329">
        <f t="shared" si="0"/>
        <v>19465.926158194896</v>
      </c>
      <c r="F12" s="470">
        <v>-4274485.9166221358</v>
      </c>
      <c r="G12" s="233">
        <v>-3410531.7128768908</v>
      </c>
      <c r="H12" s="329">
        <f t="shared" si="1"/>
        <v>863954.203745245</v>
      </c>
      <c r="I12" s="432">
        <v>251245.69442443119</v>
      </c>
      <c r="J12" s="233">
        <f>VLOOKUP(B12,'M) Police'!B12:O316,14,FALSE)</f>
        <v>268479.66797041777</v>
      </c>
      <c r="K12" s="329">
        <f t="shared" si="2"/>
        <v>17233.973545986577</v>
      </c>
    </row>
    <row r="13" spans="1:11" x14ac:dyDescent="0.25">
      <c r="A13" s="159">
        <f>+'B) D RI'!A14</f>
        <v>5408</v>
      </c>
      <c r="B13" s="435" t="str">
        <f>+'B) D RI'!B14</f>
        <v>Noville</v>
      </c>
      <c r="C13" s="432">
        <v>648034.21051753045</v>
      </c>
      <c r="D13" s="233">
        <f>VLOOKUP(B13,Synthèse!B13:F321,5,FALSE)</f>
        <v>827851.96909378935</v>
      </c>
      <c r="E13" s="329">
        <f t="shared" si="0"/>
        <v>179817.7585762589</v>
      </c>
      <c r="F13" s="470">
        <v>42946.152185922256</v>
      </c>
      <c r="G13" s="233">
        <v>160334.22065465775</v>
      </c>
      <c r="H13" s="329">
        <f t="shared" si="1"/>
        <v>117388.0684687355</v>
      </c>
      <c r="I13" s="432">
        <v>104929.27738346871</v>
      </c>
      <c r="J13" s="233">
        <f>VLOOKUP(B13,'M) Police'!B13:O316,14,FALSE)</f>
        <v>120532.56544159286</v>
      </c>
      <c r="K13" s="329">
        <f t="shared" si="2"/>
        <v>15603.288058124148</v>
      </c>
    </row>
    <row r="14" spans="1:11" x14ac:dyDescent="0.25">
      <c r="A14" s="159">
        <f>+'B) D RI'!A15</f>
        <v>5409</v>
      </c>
      <c r="B14" s="435" t="str">
        <f>+'B) D RI'!B15</f>
        <v>Ollon</v>
      </c>
      <c r="C14" s="432">
        <v>7484894.4632142717</v>
      </c>
      <c r="D14" s="233">
        <f>VLOOKUP(B14,Synthèse!B14:F322,5,FALSE)</f>
        <v>7472621.3673177278</v>
      </c>
      <c r="E14" s="329">
        <f t="shared" si="0"/>
        <v>-12273.095896543935</v>
      </c>
      <c r="F14" s="470">
        <v>1996736.0067068969</v>
      </c>
      <c r="G14" s="233">
        <v>1636423.9229220704</v>
      </c>
      <c r="H14" s="329">
        <f t="shared" si="1"/>
        <v>-360312.08378482657</v>
      </c>
      <c r="I14" s="432">
        <v>476549.91600217717</v>
      </c>
      <c r="J14" s="233">
        <f>VLOOKUP(B14,'M) Police'!B14:O316,14,FALSE)</f>
        <v>458905.21154603118</v>
      </c>
      <c r="K14" s="329">
        <f t="shared" si="2"/>
        <v>-17644.704456145992</v>
      </c>
    </row>
    <row r="15" spans="1:11" x14ac:dyDescent="0.25">
      <c r="A15" s="159">
        <f>+'B) D RI'!A16</f>
        <v>5410</v>
      </c>
      <c r="B15" s="435" t="str">
        <f>+'B) D RI'!B16</f>
        <v>Ormont-Dessous</v>
      </c>
      <c r="C15" s="432">
        <v>669178.04752131249</v>
      </c>
      <c r="D15" s="233">
        <f>VLOOKUP(B15,Synthèse!B15:F323,5,FALSE)</f>
        <v>797690.64907908998</v>
      </c>
      <c r="E15" s="329">
        <f t="shared" si="0"/>
        <v>128512.6015577775</v>
      </c>
      <c r="F15" s="470">
        <v>-596048.02935921145</v>
      </c>
      <c r="G15" s="233">
        <v>-316543.36113793706</v>
      </c>
      <c r="H15" s="329">
        <f t="shared" si="1"/>
        <v>279504.66822127439</v>
      </c>
      <c r="I15" s="432">
        <v>111150.60384239774</v>
      </c>
      <c r="J15" s="233">
        <f>VLOOKUP(B15,'M) Police'!B15:O316,14,FALSE)</f>
        <v>131438.70034262</v>
      </c>
      <c r="K15" s="329">
        <f t="shared" si="2"/>
        <v>20288.096500222251</v>
      </c>
    </row>
    <row r="16" spans="1:11" x14ac:dyDescent="0.25">
      <c r="A16" s="159">
        <f>+'B) D RI'!A17</f>
        <v>5411</v>
      </c>
      <c r="B16" s="435" t="str">
        <f>+'B) D RI'!B17</f>
        <v>Ormont-Dessus</v>
      </c>
      <c r="C16" s="432">
        <v>1354757.1991872212</v>
      </c>
      <c r="D16" s="233">
        <f>VLOOKUP(B16,Synthèse!B16:F324,5,FALSE)</f>
        <v>1438636.4957075645</v>
      </c>
      <c r="E16" s="329">
        <f t="shared" si="0"/>
        <v>83879.296520343283</v>
      </c>
      <c r="F16" s="470">
        <v>205393.93269902468</v>
      </c>
      <c r="G16" s="233">
        <v>349633.93954522535</v>
      </c>
      <c r="H16" s="329">
        <f t="shared" si="1"/>
        <v>144240.00684620067</v>
      </c>
      <c r="I16" s="432">
        <v>223756.5090677226</v>
      </c>
      <c r="J16" s="233">
        <f>VLOOKUP(B16,'M) Police'!B16:O316,14,FALSE)</f>
        <v>214615.73220102218</v>
      </c>
      <c r="K16" s="329">
        <f t="shared" si="2"/>
        <v>-9140.7768667004129</v>
      </c>
    </row>
    <row r="17" spans="1:11" x14ac:dyDescent="0.25">
      <c r="A17" s="159">
        <f>+'B) D RI'!A18</f>
        <v>5412</v>
      </c>
      <c r="B17" s="435" t="str">
        <f>+'B) D RI'!B18</f>
        <v>Rennaz</v>
      </c>
      <c r="C17" s="432">
        <v>500459.94296183903</v>
      </c>
      <c r="D17" s="233">
        <f>VLOOKUP(B17,Synthèse!B17:F325,5,FALSE)</f>
        <v>850687.91946018953</v>
      </c>
      <c r="E17" s="329">
        <f t="shared" si="0"/>
        <v>350227.9764983505</v>
      </c>
      <c r="F17" s="470">
        <v>92177.286337251979</v>
      </c>
      <c r="G17" s="233">
        <v>262337.2864978697</v>
      </c>
      <c r="H17" s="329">
        <f t="shared" si="1"/>
        <v>170160.00016061772</v>
      </c>
      <c r="I17" s="432">
        <v>80073.034040125465</v>
      </c>
      <c r="J17" s="233">
        <f>VLOOKUP(B17,'M) Police'!B17:O317,14,FALSE)</f>
        <v>83223.67702473799</v>
      </c>
      <c r="K17" s="329">
        <f t="shared" si="2"/>
        <v>3150.6429846125247</v>
      </c>
    </row>
    <row r="18" spans="1:11" x14ac:dyDescent="0.25">
      <c r="A18" s="159">
        <f>+'B) D RI'!A19</f>
        <v>5413</v>
      </c>
      <c r="B18" s="435" t="str">
        <f>+'B) D RI'!B19</f>
        <v>Roche</v>
      </c>
      <c r="C18" s="432">
        <v>766046.87459570635</v>
      </c>
      <c r="D18" s="233">
        <f>VLOOKUP(B18,Synthèse!B18:F326,5,FALSE)</f>
        <v>828116.82240755495</v>
      </c>
      <c r="E18" s="329">
        <f t="shared" si="0"/>
        <v>62069.9478118486</v>
      </c>
      <c r="F18" s="470">
        <v>-189116.49771225825</v>
      </c>
      <c r="G18" s="233">
        <v>-388813.97242217453</v>
      </c>
      <c r="H18" s="329">
        <f t="shared" si="1"/>
        <v>-199697.47470991628</v>
      </c>
      <c r="I18" s="432">
        <v>122720.28717561344</v>
      </c>
      <c r="J18" s="233">
        <f>VLOOKUP(B18,'M) Police'!B18:O318,14,FALSE)</f>
        <v>120117.04465433431</v>
      </c>
      <c r="K18" s="329">
        <f t="shared" si="2"/>
        <v>-2603.2425212791277</v>
      </c>
    </row>
    <row r="19" spans="1:11" x14ac:dyDescent="0.25">
      <c r="A19" s="159">
        <f>+'B) D RI'!A20</f>
        <v>5414</v>
      </c>
      <c r="B19" s="435" t="str">
        <f>+'B) D RI'!B20</f>
        <v>Villeneuve</v>
      </c>
      <c r="C19" s="432">
        <v>3138632.2764347261</v>
      </c>
      <c r="D19" s="233">
        <f>VLOOKUP(B19,Synthèse!B19:F327,5,FALSE)</f>
        <v>3673292.2412578398</v>
      </c>
      <c r="E19" s="329">
        <f t="shared" si="0"/>
        <v>534659.96482311375</v>
      </c>
      <c r="F19" s="470">
        <v>-2233151.9786416003</v>
      </c>
      <c r="G19" s="233">
        <v>-2629834.9686352159</v>
      </c>
      <c r="H19" s="329">
        <f t="shared" si="1"/>
        <v>-396682.98999361554</v>
      </c>
      <c r="I19" s="432">
        <v>494385.8715706488</v>
      </c>
      <c r="J19" s="233">
        <f>VLOOKUP(B19,'M) Police'!B19:O319,14,FALSE)</f>
        <v>498088.09349166305</v>
      </c>
      <c r="K19" s="329">
        <f t="shared" si="2"/>
        <v>3702.2219210142503</v>
      </c>
    </row>
    <row r="20" spans="1:11" x14ac:dyDescent="0.25">
      <c r="A20" s="159">
        <f>+'B) D RI'!A21</f>
        <v>5415</v>
      </c>
      <c r="B20" s="435" t="str">
        <f>+'B) D RI'!B21</f>
        <v>Yvorne</v>
      </c>
      <c r="C20" s="432">
        <v>662153.06851199665</v>
      </c>
      <c r="D20" s="233">
        <f>VLOOKUP(B20,Synthèse!B20:F328,5,FALSE)</f>
        <v>587224.80917261972</v>
      </c>
      <c r="E20" s="329">
        <f t="shared" si="0"/>
        <v>-74928.259339376935</v>
      </c>
      <c r="F20" s="470">
        <v>230477.19265192072</v>
      </c>
      <c r="G20" s="233">
        <v>169115.2196206798</v>
      </c>
      <c r="H20" s="329">
        <f t="shared" si="1"/>
        <v>-61361.973031240923</v>
      </c>
      <c r="I20" s="432">
        <v>111573.22329564673</v>
      </c>
      <c r="J20" s="233">
        <f>VLOOKUP(B20,'M) Police'!B20:O320,14,FALSE)</f>
        <v>106183.8580588325</v>
      </c>
      <c r="K20" s="329">
        <f t="shared" si="2"/>
        <v>-5389.3652368142357</v>
      </c>
    </row>
    <row r="21" spans="1:11" x14ac:dyDescent="0.25">
      <c r="A21" s="159">
        <f>+'B) D RI'!A22</f>
        <v>5421</v>
      </c>
      <c r="B21" s="435" t="str">
        <f>+'B) D RI'!B22</f>
        <v>Apples</v>
      </c>
      <c r="C21" s="432">
        <v>922812.7411839983</v>
      </c>
      <c r="D21" s="233">
        <f>VLOOKUP(B21,Synthèse!B21:F329,5,FALSE)</f>
        <v>1089196.7473636433</v>
      </c>
      <c r="E21" s="329">
        <f t="shared" si="0"/>
        <v>166384.00617964496</v>
      </c>
      <c r="F21" s="470">
        <v>480442.55547947099</v>
      </c>
      <c r="G21" s="233">
        <v>876157.85563807748</v>
      </c>
      <c r="H21" s="329">
        <f t="shared" si="1"/>
        <v>395715.30015860649</v>
      </c>
      <c r="I21" s="432">
        <v>187433.67381385126</v>
      </c>
      <c r="J21" s="233">
        <f>VLOOKUP(B21,'M) Police'!B21:O321,14,FALSE)</f>
        <v>210021.36969439749</v>
      </c>
      <c r="K21" s="329">
        <f t="shared" si="2"/>
        <v>22587.695880546235</v>
      </c>
    </row>
    <row r="22" spans="1:11" x14ac:dyDescent="0.25">
      <c r="A22" s="159">
        <f>+'B) D RI'!A23</f>
        <v>5422</v>
      </c>
      <c r="B22" s="435" t="str">
        <f>+'B) D RI'!B23</f>
        <v>Aubonne</v>
      </c>
      <c r="C22" s="432">
        <v>4585383.8257899387</v>
      </c>
      <c r="D22" s="233">
        <f>VLOOKUP(B22,Synthèse!B22:F330,5,FALSE)</f>
        <v>6301970.4613599787</v>
      </c>
      <c r="E22" s="329">
        <f t="shared" si="0"/>
        <v>1716586.63557004</v>
      </c>
      <c r="F22" s="470">
        <v>3073671.2681910065</v>
      </c>
      <c r="G22" s="233">
        <v>3397271.7682914827</v>
      </c>
      <c r="H22" s="329">
        <f t="shared" si="1"/>
        <v>323600.5001004762</v>
      </c>
      <c r="I22" s="432">
        <v>560449.41413425514</v>
      </c>
      <c r="J22" s="233">
        <f>VLOOKUP(B22,'M) Police'!B22:O322,14,FALSE)</f>
        <v>560733.82053618063</v>
      </c>
      <c r="K22" s="329">
        <f t="shared" si="2"/>
        <v>284.40640192548744</v>
      </c>
    </row>
    <row r="23" spans="1:11" x14ac:dyDescent="0.25">
      <c r="A23" s="159">
        <f>+'B) D RI'!A24</f>
        <v>5423</v>
      </c>
      <c r="B23" s="435" t="str">
        <f>+'B) D RI'!B24</f>
        <v>Ballens</v>
      </c>
      <c r="C23" s="432">
        <v>242431.56127653297</v>
      </c>
      <c r="D23" s="233">
        <f>VLOOKUP(B23,Synthèse!B23:F331,5,FALSE)</f>
        <v>225408.94784142531</v>
      </c>
      <c r="E23" s="329">
        <f t="shared" si="0"/>
        <v>-17022.613435107662</v>
      </c>
      <c r="F23" s="470">
        <v>34214.582209596731</v>
      </c>
      <c r="G23" s="233">
        <v>-97250.847994836324</v>
      </c>
      <c r="H23" s="329">
        <f t="shared" si="1"/>
        <v>-131465.43020443304</v>
      </c>
      <c r="I23" s="432">
        <v>48724.654189078559</v>
      </c>
      <c r="J23" s="233">
        <f>VLOOKUP(B23,'M) Police'!B23:O323,14,FALSE)</f>
        <v>42626.237512255291</v>
      </c>
      <c r="K23" s="329">
        <f t="shared" si="2"/>
        <v>-6098.4166768232681</v>
      </c>
    </row>
    <row r="24" spans="1:11" x14ac:dyDescent="0.25">
      <c r="A24" s="159">
        <f>+'B) D RI'!A25</f>
        <v>5424</v>
      </c>
      <c r="B24" s="435" t="str">
        <f>+'B) D RI'!B25</f>
        <v>Berolle</v>
      </c>
      <c r="C24" s="432">
        <v>160577.22302096285</v>
      </c>
      <c r="D24" s="233">
        <f>VLOOKUP(B24,Synthèse!B24:F332,5,FALSE)</f>
        <v>140310.73124882783</v>
      </c>
      <c r="E24" s="329">
        <f t="shared" si="0"/>
        <v>-20266.491772135021</v>
      </c>
      <c r="F24" s="470">
        <v>4679.5562627029576</v>
      </c>
      <c r="G24" s="233">
        <v>4607.8365445262898</v>
      </c>
      <c r="H24" s="329">
        <f t="shared" si="1"/>
        <v>-71.719718176667811</v>
      </c>
      <c r="I24" s="432">
        <v>28623.551050517643</v>
      </c>
      <c r="J24" s="233">
        <f>VLOOKUP(B24,'M) Police'!B24:O324,14,FALSE)</f>
        <v>28855.019119818931</v>
      </c>
      <c r="K24" s="329">
        <f t="shared" si="2"/>
        <v>231.46806930128878</v>
      </c>
    </row>
    <row r="25" spans="1:11" x14ac:dyDescent="0.25">
      <c r="A25" s="159">
        <f>+'B) D RI'!A26</f>
        <v>5425</v>
      </c>
      <c r="B25" s="435" t="str">
        <f>+'B) D RI'!B26</f>
        <v>Bière</v>
      </c>
      <c r="C25" s="432">
        <v>783224.18709232565</v>
      </c>
      <c r="D25" s="233">
        <f>VLOOKUP(B25,Synthèse!B25:F333,5,FALSE)</f>
        <v>670850.14856350399</v>
      </c>
      <c r="E25" s="329">
        <f t="shared" si="0"/>
        <v>-112374.03852882166</v>
      </c>
      <c r="F25" s="470">
        <v>-599283.35438204091</v>
      </c>
      <c r="G25" s="233">
        <v>-598363.78694690869</v>
      </c>
      <c r="H25" s="329">
        <f t="shared" si="1"/>
        <v>919.56743513222318</v>
      </c>
      <c r="I25" s="432">
        <v>124204.44533972006</v>
      </c>
      <c r="J25" s="233">
        <f>VLOOKUP(B25,'M) Police'!B25:O325,14,FALSE)</f>
        <v>121782.72332348659</v>
      </c>
      <c r="K25" s="329">
        <f t="shared" si="2"/>
        <v>-2421.7220162334706</v>
      </c>
    </row>
    <row r="26" spans="1:11" x14ac:dyDescent="0.25">
      <c r="A26" s="159">
        <f>+'B) D RI'!A27</f>
        <v>5426</v>
      </c>
      <c r="B26" s="435" t="str">
        <f>+'B) D RI'!B27</f>
        <v>Bougy-Villars</v>
      </c>
      <c r="C26" s="432">
        <v>3857522.2878023651</v>
      </c>
      <c r="D26" s="233">
        <f>VLOOKUP(B26,Synthèse!B26:F334,5,FALSE)</f>
        <v>2514377.337031682</v>
      </c>
      <c r="E26" s="329">
        <f t="shared" si="0"/>
        <v>-1343144.9507706831</v>
      </c>
      <c r="F26" s="470">
        <v>-1941974.9531249458</v>
      </c>
      <c r="G26" s="233">
        <v>-229734.60407713719</v>
      </c>
      <c r="H26" s="329">
        <f t="shared" si="1"/>
        <v>1712240.3490478084</v>
      </c>
      <c r="I26" s="432">
        <v>91421.55439532215</v>
      </c>
      <c r="J26" s="233">
        <f>VLOOKUP(B26,'M) Police'!B26:O326,14,FALSE)</f>
        <v>98478.353722950138</v>
      </c>
      <c r="K26" s="329">
        <f t="shared" si="2"/>
        <v>7056.7993276279885</v>
      </c>
    </row>
    <row r="27" spans="1:11" x14ac:dyDescent="0.25">
      <c r="A27" s="159">
        <f>+'B) D RI'!A28</f>
        <v>5427</v>
      </c>
      <c r="B27" s="435" t="str">
        <f>+'B) D RI'!B28</f>
        <v>Féchy</v>
      </c>
      <c r="C27" s="432">
        <v>1643479.0629502658</v>
      </c>
      <c r="D27" s="233">
        <f>VLOOKUP(B27,Synthèse!B27:F335,5,FALSE)</f>
        <v>1875694.8237199374</v>
      </c>
      <c r="E27" s="329">
        <f t="shared" si="0"/>
        <v>232215.76076967153</v>
      </c>
      <c r="F27" s="470">
        <v>1134862.2326559313</v>
      </c>
      <c r="G27" s="233">
        <v>1201158.8401076724</v>
      </c>
      <c r="H27" s="329">
        <f t="shared" si="1"/>
        <v>66296.607451741118</v>
      </c>
      <c r="I27" s="432">
        <v>161547.63233084924</v>
      </c>
      <c r="J27" s="233">
        <f>VLOOKUP(B27,'M) Police'!B27:O327,14,FALSE)</f>
        <v>158035.31286165139</v>
      </c>
      <c r="K27" s="329">
        <f t="shared" si="2"/>
        <v>-3512.319469197857</v>
      </c>
    </row>
    <row r="28" spans="1:11" x14ac:dyDescent="0.25">
      <c r="A28" s="159">
        <f>+'B) D RI'!A29</f>
        <v>5428</v>
      </c>
      <c r="B28" s="435" t="str">
        <f>+'B) D RI'!B29</f>
        <v>Gimel</v>
      </c>
      <c r="C28" s="432">
        <v>1191700.9579992131</v>
      </c>
      <c r="D28" s="233">
        <f>VLOOKUP(B28,Synthèse!B28:F336,5,FALSE)</f>
        <v>1295950.6159311985</v>
      </c>
      <c r="E28" s="329">
        <f t="shared" si="0"/>
        <v>104249.65793198533</v>
      </c>
      <c r="F28" s="470">
        <v>-249245.23840591573</v>
      </c>
      <c r="G28" s="233">
        <v>-389568.70620942884</v>
      </c>
      <c r="H28" s="329">
        <f t="shared" si="1"/>
        <v>-140323.46780351311</v>
      </c>
      <c r="I28" s="432">
        <v>182434.89729585851</v>
      </c>
      <c r="J28" s="233">
        <f>VLOOKUP(B28,'M) Police'!B28:O328,14,FALSE)</f>
        <v>184298.86045038345</v>
      </c>
      <c r="K28" s="329">
        <f t="shared" si="2"/>
        <v>1863.9631545249431</v>
      </c>
    </row>
    <row r="29" spans="1:11" x14ac:dyDescent="0.25">
      <c r="A29" s="159">
        <f>+'B) D RI'!A30</f>
        <v>5429</v>
      </c>
      <c r="B29" s="435" t="str">
        <f>+'B) D RI'!B30</f>
        <v>Longirod</v>
      </c>
      <c r="C29" s="432">
        <v>267512.75049324293</v>
      </c>
      <c r="D29" s="233">
        <f>VLOOKUP(B29,Synthèse!B29:F337,5,FALSE)</f>
        <v>238204.95186419465</v>
      </c>
      <c r="E29" s="329">
        <f t="shared" si="0"/>
        <v>-29307.79862904828</v>
      </c>
      <c r="F29" s="470">
        <v>-152893.61988788124</v>
      </c>
      <c r="G29" s="233">
        <v>-110901.24016445779</v>
      </c>
      <c r="H29" s="329">
        <f t="shared" si="1"/>
        <v>41992.379723423452</v>
      </c>
      <c r="I29" s="432">
        <v>37980.453236958681</v>
      </c>
      <c r="J29" s="233">
        <f>VLOOKUP(B29,'M) Police'!B29:O329,14,FALSE)</f>
        <v>42329.551906893648</v>
      </c>
      <c r="K29" s="329">
        <f t="shared" si="2"/>
        <v>4349.0986699349669</v>
      </c>
    </row>
    <row r="30" spans="1:11" x14ac:dyDescent="0.25">
      <c r="A30" s="159">
        <f>+'B) D RI'!A31</f>
        <v>5430</v>
      </c>
      <c r="B30" s="435" t="str">
        <f>+'B) D RI'!B31</f>
        <v>Marchissy</v>
      </c>
      <c r="C30" s="432">
        <v>207435.65992393947</v>
      </c>
      <c r="D30" s="233">
        <f>VLOOKUP(B30,Synthèse!B30:F338,5,FALSE)</f>
        <v>236050.54726042808</v>
      </c>
      <c r="E30" s="329">
        <f t="shared" si="0"/>
        <v>28614.887336488609</v>
      </c>
      <c r="F30" s="470">
        <v>-197905.93256645702</v>
      </c>
      <c r="G30" s="233">
        <v>-42738.771821511298</v>
      </c>
      <c r="H30" s="329">
        <f t="shared" si="1"/>
        <v>155167.16074494572</v>
      </c>
      <c r="I30" s="432">
        <v>32877.423972985409</v>
      </c>
      <c r="J30" s="233">
        <f>VLOOKUP(B30,'M) Police'!B30:O330,14,FALSE)</f>
        <v>41990.161679931312</v>
      </c>
      <c r="K30" s="329">
        <f t="shared" si="2"/>
        <v>9112.7377069459035</v>
      </c>
    </row>
    <row r="31" spans="1:11" x14ac:dyDescent="0.25">
      <c r="A31" s="159">
        <f>+'B) D RI'!A32</f>
        <v>5431</v>
      </c>
      <c r="B31" s="435" t="str">
        <f>+'B) D RI'!B32</f>
        <v>Mollens</v>
      </c>
      <c r="C31" s="432">
        <v>194294.84080726534</v>
      </c>
      <c r="D31" s="233">
        <f>VLOOKUP(B31,Synthèse!B31:F339,5,FALSE)</f>
        <v>173861.84461220918</v>
      </c>
      <c r="E31" s="329">
        <f t="shared" si="0"/>
        <v>-20432.996195056156</v>
      </c>
      <c r="F31" s="470">
        <v>116431.08823917515</v>
      </c>
      <c r="G31" s="233">
        <v>-4888.6958352300353</v>
      </c>
      <c r="H31" s="329">
        <f t="shared" si="1"/>
        <v>-121319.78407440518</v>
      </c>
      <c r="I31" s="432">
        <v>35687.091913828655</v>
      </c>
      <c r="J31" s="233">
        <f>VLOOKUP(B31,'M) Police'!B31:O331,14,FALSE)</f>
        <v>26674.997725305635</v>
      </c>
      <c r="K31" s="329">
        <f t="shared" si="2"/>
        <v>-9012.0941885230204</v>
      </c>
    </row>
    <row r="32" spans="1:11" x14ac:dyDescent="0.25">
      <c r="A32" s="159">
        <f>+'B) D RI'!A33</f>
        <v>5432</v>
      </c>
      <c r="B32" s="435" t="str">
        <f>+'B) D RI'!B33</f>
        <v>Montherod</v>
      </c>
      <c r="C32" s="432">
        <v>326822.10097195103</v>
      </c>
      <c r="D32" s="233">
        <f>VLOOKUP(B32,Synthèse!B32:F340,5,FALSE)</f>
        <v>294815.87484045548</v>
      </c>
      <c r="E32" s="329">
        <f t="shared" si="0"/>
        <v>-32006.226131495554</v>
      </c>
      <c r="F32" s="470">
        <v>127788.6885446145</v>
      </c>
      <c r="G32" s="233">
        <v>128796.73547876366</v>
      </c>
      <c r="H32" s="329">
        <f t="shared" si="1"/>
        <v>1008.0469341491553</v>
      </c>
      <c r="I32" s="432">
        <v>56048.757727107361</v>
      </c>
      <c r="J32" s="233">
        <f>VLOOKUP(B32,'M) Police'!B32:O332,14,FALSE)</f>
        <v>56681.732860901087</v>
      </c>
      <c r="K32" s="329">
        <f t="shared" si="2"/>
        <v>632.97513379372685</v>
      </c>
    </row>
    <row r="33" spans="1:11" x14ac:dyDescent="0.25">
      <c r="A33" s="159">
        <f>+'B) D RI'!A34</f>
        <v>5434</v>
      </c>
      <c r="B33" s="435" t="str">
        <f>+'B) D RI'!B34</f>
        <v>Saint-George</v>
      </c>
      <c r="C33" s="432">
        <v>646624.98454410268</v>
      </c>
      <c r="D33" s="233">
        <f>VLOOKUP(B33,Synthèse!B33:F341,5,FALSE)</f>
        <v>712105.91592040891</v>
      </c>
      <c r="E33" s="329">
        <f t="shared" si="0"/>
        <v>65480.931376306224</v>
      </c>
      <c r="F33" s="470">
        <v>335654.25520780944</v>
      </c>
      <c r="G33" s="233">
        <v>296449.86022574041</v>
      </c>
      <c r="H33" s="329">
        <f t="shared" si="1"/>
        <v>-39204.394982069032</v>
      </c>
      <c r="I33" s="432">
        <v>112668.48819628073</v>
      </c>
      <c r="J33" s="233">
        <f>VLOOKUP(B33,'M) Police'!B33:O333,14,FALSE)</f>
        <v>112954.86306881357</v>
      </c>
      <c r="K33" s="329">
        <f t="shared" si="2"/>
        <v>286.3748725328478</v>
      </c>
    </row>
    <row r="34" spans="1:11" x14ac:dyDescent="0.25">
      <c r="A34" s="159">
        <f>+'B) D RI'!A35</f>
        <v>5435</v>
      </c>
      <c r="B34" s="435" t="str">
        <f>+'B) D RI'!B35</f>
        <v>Saint-Livres</v>
      </c>
      <c r="C34" s="432">
        <v>348678.33798485994</v>
      </c>
      <c r="D34" s="233">
        <f>VLOOKUP(B34,Synthèse!B34:F342,5,FALSE)</f>
        <v>397584.51334110874</v>
      </c>
      <c r="E34" s="329">
        <f t="shared" si="0"/>
        <v>48906.175356248801</v>
      </c>
      <c r="F34" s="470">
        <v>97370.814937940217</v>
      </c>
      <c r="G34" s="233">
        <v>232140.98304557014</v>
      </c>
      <c r="H34" s="329">
        <f t="shared" si="1"/>
        <v>134770.16810762993</v>
      </c>
      <c r="I34" s="432">
        <v>70554.135013908657</v>
      </c>
      <c r="J34" s="233">
        <f>VLOOKUP(B34,'M) Police'!B34:O334,14,FALSE)</f>
        <v>74761.773689715701</v>
      </c>
      <c r="K34" s="329">
        <f t="shared" si="2"/>
        <v>4207.6386758070439</v>
      </c>
    </row>
    <row r="35" spans="1:11" x14ac:dyDescent="0.25">
      <c r="A35" s="159">
        <f>+'B) D RI'!A36</f>
        <v>5436</v>
      </c>
      <c r="B35" s="435" t="str">
        <f>+'B) D RI'!B36</f>
        <v>Saint-Oyens</v>
      </c>
      <c r="C35" s="432">
        <v>190610.4554646324</v>
      </c>
      <c r="D35" s="233">
        <f>VLOOKUP(B35,Synthèse!B35:F343,5,FALSE)</f>
        <v>277835.18668153818</v>
      </c>
      <c r="E35" s="329">
        <f t="shared" si="0"/>
        <v>87224.731216905784</v>
      </c>
      <c r="F35" s="470">
        <v>-22159.327252657007</v>
      </c>
      <c r="G35" s="233">
        <v>-13518.47033734947</v>
      </c>
      <c r="H35" s="329">
        <f t="shared" si="1"/>
        <v>8640.8569153075368</v>
      </c>
      <c r="I35" s="432">
        <v>33082.826413403847</v>
      </c>
      <c r="J35" s="233">
        <f>VLOOKUP(B35,'M) Police'!B35:O335,14,FALSE)</f>
        <v>47223.95820437753</v>
      </c>
      <c r="K35" s="329">
        <f t="shared" si="2"/>
        <v>14141.131790973683</v>
      </c>
    </row>
    <row r="36" spans="1:11" x14ac:dyDescent="0.25">
      <c r="A36" s="159">
        <f>+'B) D RI'!A37</f>
        <v>5437</v>
      </c>
      <c r="B36" s="435" t="str">
        <f>+'B) D RI'!B37</f>
        <v>Saubraz</v>
      </c>
      <c r="C36" s="432">
        <v>204937.26520195827</v>
      </c>
      <c r="D36" s="233">
        <f>VLOOKUP(B36,Synthèse!B36:F344,5,FALSE)</f>
        <v>208081.8305467038</v>
      </c>
      <c r="E36" s="329">
        <f t="shared" si="0"/>
        <v>3144.5653447455261</v>
      </c>
      <c r="F36" s="470">
        <v>-126108.86976373637</v>
      </c>
      <c r="G36" s="233">
        <v>-51620.738688090809</v>
      </c>
      <c r="H36" s="329">
        <f t="shared" si="1"/>
        <v>74488.131075645564</v>
      </c>
      <c r="I36" s="432">
        <v>31975.782060000754</v>
      </c>
      <c r="J36" s="233">
        <f>VLOOKUP(B36,'M) Police'!B36:O336,14,FALSE)</f>
        <v>35415.680870856391</v>
      </c>
      <c r="K36" s="329">
        <f t="shared" si="2"/>
        <v>3439.8988108556368</v>
      </c>
    </row>
    <row r="37" spans="1:11" x14ac:dyDescent="0.25">
      <c r="A37" s="159">
        <f>+'B) D RI'!A38</f>
        <v>5451</v>
      </c>
      <c r="B37" s="435" t="str">
        <f>+'B) D RI'!B38</f>
        <v>Avenches</v>
      </c>
      <c r="C37" s="432">
        <v>2236478.1333562289</v>
      </c>
      <c r="D37" s="233">
        <f>VLOOKUP(B37,Synthèse!B37:F345,5,FALSE)</f>
        <v>2897818.4814556595</v>
      </c>
      <c r="E37" s="329">
        <f t="shared" si="0"/>
        <v>661340.34809943056</v>
      </c>
      <c r="F37" s="470">
        <v>-2382574.045484574</v>
      </c>
      <c r="G37" s="233">
        <v>-510345.29811447486</v>
      </c>
      <c r="H37" s="329">
        <f t="shared" si="1"/>
        <v>1872228.7473700992</v>
      </c>
      <c r="I37" s="432">
        <v>334278.34953861427</v>
      </c>
      <c r="J37" s="233">
        <f>VLOOKUP(B37,'M) Police'!B37:O337,14,FALSE)</f>
        <v>458702.47820932226</v>
      </c>
      <c r="K37" s="329">
        <f t="shared" si="2"/>
        <v>124424.12867070799</v>
      </c>
    </row>
    <row r="38" spans="1:11" x14ac:dyDescent="0.25">
      <c r="A38" s="159">
        <f>+'B) D RI'!A39</f>
        <v>5456</v>
      </c>
      <c r="B38" s="435" t="str">
        <f>+'B) D RI'!B39</f>
        <v>Cudrefin</v>
      </c>
      <c r="C38" s="432">
        <v>863474.26668898389</v>
      </c>
      <c r="D38" s="233">
        <f>VLOOKUP(B38,Synthèse!B38:F346,5,FALSE)</f>
        <v>1126301.4520630981</v>
      </c>
      <c r="E38" s="329">
        <f t="shared" si="0"/>
        <v>262827.1853741142</v>
      </c>
      <c r="F38" s="470">
        <v>113073.12736156903</v>
      </c>
      <c r="G38" s="233">
        <v>342572.98526097758</v>
      </c>
      <c r="H38" s="329">
        <f t="shared" si="1"/>
        <v>229499.85789940855</v>
      </c>
      <c r="I38" s="432">
        <v>160070.45107940756</v>
      </c>
      <c r="J38" s="233">
        <f>VLOOKUP(B38,'M) Police'!B38:O338,14,FALSE)</f>
        <v>181789.93043636763</v>
      </c>
      <c r="K38" s="329">
        <f t="shared" si="2"/>
        <v>21719.479356960073</v>
      </c>
    </row>
    <row r="39" spans="1:11" x14ac:dyDescent="0.25">
      <c r="A39" s="159">
        <f>+'B) D RI'!A40</f>
        <v>5458</v>
      </c>
      <c r="B39" s="435" t="str">
        <f>+'B) D RI'!B40</f>
        <v>Faoug</v>
      </c>
      <c r="C39" s="432">
        <v>552979.47068260692</v>
      </c>
      <c r="D39" s="233">
        <f>VLOOKUP(B39,Synthèse!B39:F347,5,FALSE)</f>
        <v>571820.85525296233</v>
      </c>
      <c r="E39" s="329">
        <f t="shared" si="0"/>
        <v>18841.384570355411</v>
      </c>
      <c r="F39" s="470">
        <v>308428.14469045389</v>
      </c>
      <c r="G39" s="233">
        <v>236928.28461568145</v>
      </c>
      <c r="H39" s="329">
        <f t="shared" si="1"/>
        <v>-71499.860074772441</v>
      </c>
      <c r="I39" s="432">
        <v>99394.977581289219</v>
      </c>
      <c r="J39" s="233">
        <f>VLOOKUP(B39,'M) Police'!B39:O339,14,FALSE)</f>
        <v>93382.971110053477</v>
      </c>
      <c r="K39" s="329">
        <f t="shared" si="2"/>
        <v>-6012.0064712357416</v>
      </c>
    </row>
    <row r="40" spans="1:11" x14ac:dyDescent="0.25">
      <c r="A40" s="159">
        <f>+'B) D RI'!A41</f>
        <v>5464</v>
      </c>
      <c r="B40" s="435" t="str">
        <f>+'B) D RI'!B41</f>
        <v>Vully-les-Lacs</v>
      </c>
      <c r="C40" s="432">
        <v>1987687.0748046502</v>
      </c>
      <c r="D40" s="233">
        <f>VLOOKUP(B40,Synthèse!B40:F348,5,FALSE)</f>
        <v>1910962.335613104</v>
      </c>
      <c r="E40" s="329">
        <f t="shared" si="0"/>
        <v>-76724.739191546105</v>
      </c>
      <c r="F40" s="470">
        <v>-149015.95764744352</v>
      </c>
      <c r="G40" s="233">
        <v>-150786.37129815109</v>
      </c>
      <c r="H40" s="329">
        <f t="shared" si="1"/>
        <v>-1770.4136507075746</v>
      </c>
      <c r="I40" s="432">
        <v>300851.42011861037</v>
      </c>
      <c r="J40" s="233">
        <f>VLOOKUP(B40,'M) Police'!B40:O340,14,FALSE)</f>
        <v>317815.89751510066</v>
      </c>
      <c r="K40" s="329">
        <f t="shared" si="2"/>
        <v>16964.477396490285</v>
      </c>
    </row>
    <row r="41" spans="1:11" x14ac:dyDescent="0.25">
      <c r="A41" s="159">
        <f>+'B) D RI'!A42</f>
        <v>5471</v>
      </c>
      <c r="B41" s="435" t="str">
        <f>+'B) D RI'!B42</f>
        <v>Bettens</v>
      </c>
      <c r="C41" s="432">
        <v>276510.45251795498</v>
      </c>
      <c r="D41" s="233">
        <f>VLOOKUP(B41,Synthèse!B41:F349,5,FALSE)</f>
        <v>308380.79950997222</v>
      </c>
      <c r="E41" s="329">
        <f t="shared" si="0"/>
        <v>31870.346992017236</v>
      </c>
      <c r="F41" s="470">
        <v>28990.965012185821</v>
      </c>
      <c r="G41" s="233">
        <v>102649.46812868686</v>
      </c>
      <c r="H41" s="329">
        <f t="shared" si="1"/>
        <v>73658.50311650103</v>
      </c>
      <c r="I41" s="432">
        <v>51651.367539613144</v>
      </c>
      <c r="J41" s="233">
        <f>VLOOKUP(B41,'M) Police'!B41:O341,14,FALSE)</f>
        <v>56825.939153790925</v>
      </c>
      <c r="K41" s="329">
        <f t="shared" si="2"/>
        <v>5174.5716141777812</v>
      </c>
    </row>
    <row r="42" spans="1:11" x14ac:dyDescent="0.25">
      <c r="A42" s="159">
        <f>+'B) D RI'!A43</f>
        <v>5472</v>
      </c>
      <c r="B42" s="435" t="str">
        <f>+'B) D RI'!B43</f>
        <v>Bournens</v>
      </c>
      <c r="C42" s="432">
        <v>269778.82912894071</v>
      </c>
      <c r="D42" s="233">
        <f>VLOOKUP(B42,Synthèse!B42:F350,5,FALSE)</f>
        <v>262945.76231326681</v>
      </c>
      <c r="E42" s="329">
        <f t="shared" si="0"/>
        <v>-6833.0668156738975</v>
      </c>
      <c r="F42" s="470">
        <v>128057.22418470349</v>
      </c>
      <c r="G42" s="233">
        <v>212848.02822973684</v>
      </c>
      <c r="H42" s="329">
        <f t="shared" si="1"/>
        <v>84790.80404503335</v>
      </c>
      <c r="I42" s="432">
        <v>45094.839527749209</v>
      </c>
      <c r="J42" s="233">
        <f>VLOOKUP(B42,'M) Police'!B42:O342,14,FALSE)</f>
        <v>51292.517802037866</v>
      </c>
      <c r="K42" s="329">
        <f t="shared" si="2"/>
        <v>6197.6782742886571</v>
      </c>
    </row>
    <row r="43" spans="1:11" x14ac:dyDescent="0.25">
      <c r="A43" s="159">
        <f>+'B) D RI'!A44</f>
        <v>5473</v>
      </c>
      <c r="B43" s="435" t="str">
        <f>+'B) D RI'!B44</f>
        <v>Boussens</v>
      </c>
      <c r="C43" s="432">
        <v>552131.16861878755</v>
      </c>
      <c r="D43" s="233">
        <f>VLOOKUP(B43,Synthèse!B43:F351,5,FALSE)</f>
        <v>577617.53929260478</v>
      </c>
      <c r="E43" s="329">
        <f t="shared" si="0"/>
        <v>25486.370673817233</v>
      </c>
      <c r="F43" s="470">
        <v>298295.17859372677</v>
      </c>
      <c r="G43" s="233">
        <v>469878.56544487574</v>
      </c>
      <c r="H43" s="329">
        <f t="shared" si="1"/>
        <v>171583.38685114897</v>
      </c>
      <c r="I43" s="432">
        <v>103245.59930878313</v>
      </c>
      <c r="J43" s="233">
        <f>VLOOKUP(B43,'M) Police'!B43:O343,14,FALSE)</f>
        <v>113876.04047548462</v>
      </c>
      <c r="K43" s="329">
        <f t="shared" si="2"/>
        <v>10630.441166701494</v>
      </c>
    </row>
    <row r="44" spans="1:11" x14ac:dyDescent="0.25">
      <c r="A44" s="159">
        <f>+'B) D RI'!A45</f>
        <v>5474</v>
      </c>
      <c r="B44" s="435" t="str">
        <f>+'B) D RI'!B45</f>
        <v>La Chaux (Cossonay)</v>
      </c>
      <c r="C44" s="432">
        <v>246522.67299209847</v>
      </c>
      <c r="D44" s="233">
        <f>VLOOKUP(B44,Synthèse!B44:F352,5,FALSE)</f>
        <v>188061.72172226873</v>
      </c>
      <c r="E44" s="329">
        <f t="shared" si="0"/>
        <v>-58460.951269829733</v>
      </c>
      <c r="F44" s="470">
        <v>-52782.160359766072</v>
      </c>
      <c r="G44" s="233">
        <v>-16601.675417125298</v>
      </c>
      <c r="H44" s="329">
        <f t="shared" si="1"/>
        <v>36180.484942640775</v>
      </c>
      <c r="I44" s="432">
        <v>40958.535239088204</v>
      </c>
      <c r="J44" s="233">
        <f>VLOOKUP(B44,'M) Police'!B44:O344,14,FALSE)</f>
        <v>40258.244401375254</v>
      </c>
      <c r="K44" s="329">
        <f t="shared" si="2"/>
        <v>-700.29083771294972</v>
      </c>
    </row>
    <row r="45" spans="1:11" x14ac:dyDescent="0.25">
      <c r="A45" s="159">
        <f>+'B) D RI'!A46</f>
        <v>5475</v>
      </c>
      <c r="B45" s="435" t="str">
        <f>+'B) D RI'!B46</f>
        <v>Chavannes-le-Veyron</v>
      </c>
      <c r="C45" s="432">
        <v>74452.110240418755</v>
      </c>
      <c r="D45" s="233">
        <f>VLOOKUP(B45,Synthèse!B45:F353,5,FALSE)</f>
        <v>104839.12065729185</v>
      </c>
      <c r="E45" s="329">
        <f t="shared" si="0"/>
        <v>30387.01041687309</v>
      </c>
      <c r="F45" s="470">
        <v>-101766.86482130294</v>
      </c>
      <c r="G45" s="233">
        <v>859.23928533071012</v>
      </c>
      <c r="H45" s="329">
        <f t="shared" si="1"/>
        <v>102626.10410663365</v>
      </c>
      <c r="I45" s="432">
        <v>8318.7889159451988</v>
      </c>
      <c r="J45" s="233">
        <f>VLOOKUP(B45,'M) Police'!B45:O345,14,FALSE)</f>
        <v>15498.294343926063</v>
      </c>
      <c r="K45" s="329">
        <f t="shared" si="2"/>
        <v>7179.5054279808646</v>
      </c>
    </row>
    <row r="46" spans="1:11" x14ac:dyDescent="0.25">
      <c r="A46" s="159">
        <f>+'B) D RI'!A47</f>
        <v>5476</v>
      </c>
      <c r="B46" s="435" t="str">
        <f>+'B) D RI'!B47</f>
        <v>Chevilly</v>
      </c>
      <c r="C46" s="432">
        <v>181627.09810638143</v>
      </c>
      <c r="D46" s="233">
        <f>VLOOKUP(B46,Synthèse!B46:F354,5,FALSE)</f>
        <v>155371.90607600784</v>
      </c>
      <c r="E46" s="329">
        <f t="shared" si="0"/>
        <v>-26255.192030373582</v>
      </c>
      <c r="F46" s="470">
        <v>63905.606206573342</v>
      </c>
      <c r="G46" s="233">
        <v>68705.953346496201</v>
      </c>
      <c r="H46" s="329">
        <f t="shared" si="1"/>
        <v>4800.3471399228583</v>
      </c>
      <c r="I46" s="432">
        <v>32514.440872485837</v>
      </c>
      <c r="J46" s="233">
        <f>VLOOKUP(B46,'M) Police'!B46:O346,14,FALSE)</f>
        <v>32955.674546046983</v>
      </c>
      <c r="K46" s="329">
        <f t="shared" si="2"/>
        <v>441.23367356114613</v>
      </c>
    </row>
    <row r="47" spans="1:11" x14ac:dyDescent="0.25">
      <c r="A47" s="159">
        <f>+'B) D RI'!A48</f>
        <v>5477</v>
      </c>
      <c r="B47" s="435" t="str">
        <f>+'B) D RI'!B48</f>
        <v>Cossonay</v>
      </c>
      <c r="C47" s="432">
        <v>2234039.9111241056</v>
      </c>
      <c r="D47" s="233">
        <f>VLOOKUP(B47,Synthèse!B47:F355,5,FALSE)</f>
        <v>2362677.7056328813</v>
      </c>
      <c r="E47" s="329">
        <f t="shared" si="0"/>
        <v>128637.7945087757</v>
      </c>
      <c r="F47" s="470">
        <v>-111359.09156795766</v>
      </c>
      <c r="G47" s="233">
        <v>-65324.005899478449</v>
      </c>
      <c r="H47" s="329">
        <f t="shared" si="1"/>
        <v>46035.085668479209</v>
      </c>
      <c r="I47" s="432">
        <v>399670.17956559273</v>
      </c>
      <c r="J47" s="233">
        <f>VLOOKUP(B47,'M) Police'!B47:O347,14,FALSE)</f>
        <v>414956.72680484469</v>
      </c>
      <c r="K47" s="329">
        <f t="shared" si="2"/>
        <v>15286.547239251959</v>
      </c>
    </row>
    <row r="48" spans="1:11" x14ac:dyDescent="0.25">
      <c r="A48" s="159">
        <f>+'B) D RI'!A49</f>
        <v>5478</v>
      </c>
      <c r="B48" s="435" t="str">
        <f>+'B) D RI'!B49</f>
        <v>Cottens</v>
      </c>
      <c r="C48" s="432">
        <v>228766.64378584054</v>
      </c>
      <c r="D48" s="233">
        <f>VLOOKUP(B48,Synthèse!B48:F356,5,FALSE)</f>
        <v>233592.05209671013</v>
      </c>
      <c r="E48" s="329">
        <f t="shared" si="0"/>
        <v>4825.4083108695922</v>
      </c>
      <c r="F48" s="470">
        <v>52308.102521344379</v>
      </c>
      <c r="G48" s="233">
        <v>30933.741224101199</v>
      </c>
      <c r="H48" s="329">
        <f t="shared" si="1"/>
        <v>-21374.36129724318</v>
      </c>
      <c r="I48" s="432">
        <v>45703.121228274693</v>
      </c>
      <c r="J48" s="233">
        <f>VLOOKUP(B48,'M) Police'!B48:O348,14,FALSE)</f>
        <v>44486.512467297624</v>
      </c>
      <c r="K48" s="329">
        <f t="shared" si="2"/>
        <v>-1216.6087609770693</v>
      </c>
    </row>
    <row r="49" spans="1:11" x14ac:dyDescent="0.25">
      <c r="A49" s="159">
        <f>+'B) D RI'!A50</f>
        <v>5479</v>
      </c>
      <c r="B49" s="435" t="str">
        <f>+'B) D RI'!B50</f>
        <v>Cuarnens</v>
      </c>
      <c r="C49" s="432">
        <v>225690.2008939918</v>
      </c>
      <c r="D49" s="233">
        <f>VLOOKUP(B49,Synthèse!B49:F357,5,FALSE)</f>
        <v>283872.27689316927</v>
      </c>
      <c r="E49" s="329">
        <f t="shared" si="0"/>
        <v>58182.075999177468</v>
      </c>
      <c r="F49" s="470">
        <v>-317294.37435106427</v>
      </c>
      <c r="G49" s="233">
        <v>25460.705703718646</v>
      </c>
      <c r="H49" s="329">
        <f t="shared" si="1"/>
        <v>342755.08005478291</v>
      </c>
      <c r="I49" s="432">
        <v>36418.715992411926</v>
      </c>
      <c r="J49" s="233">
        <f>VLOOKUP(B49,'M) Police'!B49:O349,14,FALSE)</f>
        <v>51310.026613820271</v>
      </c>
      <c r="K49" s="329">
        <f t="shared" si="2"/>
        <v>14891.310621408345</v>
      </c>
    </row>
    <row r="50" spans="1:11" x14ac:dyDescent="0.25">
      <c r="A50" s="159">
        <f>+'B) D RI'!A51</f>
        <v>5480</v>
      </c>
      <c r="B50" s="435" t="str">
        <f>+'B) D RI'!B51</f>
        <v>Daillens</v>
      </c>
      <c r="C50" s="432">
        <v>623422.50651606149</v>
      </c>
      <c r="D50" s="233">
        <f>VLOOKUP(B50,Synthèse!B50:F358,5,FALSE)</f>
        <v>783870.01273702527</v>
      </c>
      <c r="E50" s="329">
        <f t="shared" si="0"/>
        <v>160447.50622096378</v>
      </c>
      <c r="F50" s="470">
        <v>180447.1001679789</v>
      </c>
      <c r="G50" s="233">
        <v>456120.92132553295</v>
      </c>
      <c r="H50" s="329">
        <f t="shared" si="1"/>
        <v>275673.82115755405</v>
      </c>
      <c r="I50" s="432">
        <v>107260.27635719301</v>
      </c>
      <c r="J50" s="233">
        <f>VLOOKUP(B50,'M) Police'!B50:O350,14,FALSE)</f>
        <v>125723.80688622301</v>
      </c>
      <c r="K50" s="329">
        <f t="shared" si="2"/>
        <v>18463.530529030002</v>
      </c>
    </row>
    <row r="51" spans="1:11" x14ac:dyDescent="0.25">
      <c r="A51" s="159">
        <f>+'B) D RI'!A52</f>
        <v>5481</v>
      </c>
      <c r="B51" s="435" t="str">
        <f>+'B) D RI'!B52</f>
        <v>Dizy</v>
      </c>
      <c r="C51" s="432">
        <v>146401.35845656387</v>
      </c>
      <c r="D51" s="233">
        <f>VLOOKUP(B51,Synthèse!B51:F359,5,FALSE)</f>
        <v>179041.77439980823</v>
      </c>
      <c r="E51" s="329">
        <f t="shared" si="0"/>
        <v>32640.415943244356</v>
      </c>
      <c r="F51" s="470">
        <v>116657.79037000037</v>
      </c>
      <c r="G51" s="233">
        <v>188174.01200500075</v>
      </c>
      <c r="H51" s="329">
        <f t="shared" si="1"/>
        <v>71516.221635000387</v>
      </c>
      <c r="I51" s="432">
        <v>28502.118213784401</v>
      </c>
      <c r="J51" s="233">
        <f>VLOOKUP(B51,'M) Police'!B51:O351,14,FALSE)</f>
        <v>32902.307953639596</v>
      </c>
      <c r="K51" s="329">
        <f t="shared" si="2"/>
        <v>4400.1897398551955</v>
      </c>
    </row>
    <row r="52" spans="1:11" x14ac:dyDescent="0.25">
      <c r="A52" s="159">
        <f>+'B) D RI'!A53</f>
        <v>5482</v>
      </c>
      <c r="B52" s="435" t="str">
        <f>+'B) D RI'!B53</f>
        <v>Eclépens</v>
      </c>
      <c r="C52" s="432">
        <v>598138.38767662155</v>
      </c>
      <c r="D52" s="233">
        <f>VLOOKUP(B52,Synthèse!B52:F360,5,FALSE)</f>
        <v>850017.65544406069</v>
      </c>
      <c r="E52" s="329">
        <f t="shared" si="0"/>
        <v>251879.26776743913</v>
      </c>
      <c r="F52" s="470">
        <v>-21719.254215227818</v>
      </c>
      <c r="G52" s="233">
        <v>610940.58793455514</v>
      </c>
      <c r="H52" s="329">
        <f t="shared" si="1"/>
        <v>632659.84214978293</v>
      </c>
      <c r="I52" s="432">
        <v>70192.704754092032</v>
      </c>
      <c r="J52" s="233">
        <f>VLOOKUP(B52,'M) Police'!B52:O352,14,FALSE)</f>
        <v>140232.91127811017</v>
      </c>
      <c r="K52" s="329">
        <f t="shared" si="2"/>
        <v>70040.20652401814</v>
      </c>
    </row>
    <row r="53" spans="1:11" x14ac:dyDescent="0.25">
      <c r="A53" s="159">
        <f>+'B) D RI'!A54</f>
        <v>5483</v>
      </c>
      <c r="B53" s="435" t="str">
        <f>+'B) D RI'!B54</f>
        <v>Ferreyres</v>
      </c>
      <c r="C53" s="432">
        <v>152622.07403882308</v>
      </c>
      <c r="D53" s="233">
        <f>VLOOKUP(B53,Synthèse!B53:F361,5,FALSE)</f>
        <v>152220.8060194476</v>
      </c>
      <c r="E53" s="329">
        <f t="shared" si="0"/>
        <v>-401.26801937547862</v>
      </c>
      <c r="F53" s="470">
        <v>30489.038836143365</v>
      </c>
      <c r="G53" s="233">
        <v>-8355.7396684507185</v>
      </c>
      <c r="H53" s="329">
        <f t="shared" si="1"/>
        <v>-38844.778504594084</v>
      </c>
      <c r="I53" s="432">
        <v>31005.173170888513</v>
      </c>
      <c r="J53" s="233">
        <f>VLOOKUP(B53,'M) Police'!B53:O353,14,FALSE)</f>
        <v>27361.491129595121</v>
      </c>
      <c r="K53" s="329">
        <f t="shared" si="2"/>
        <v>-3643.6820412933921</v>
      </c>
    </row>
    <row r="54" spans="1:11" x14ac:dyDescent="0.25">
      <c r="A54" s="159">
        <f>+'B) D RI'!A55</f>
        <v>5484</v>
      </c>
      <c r="B54" s="435" t="str">
        <f>+'B) D RI'!B55</f>
        <v>Gollion</v>
      </c>
      <c r="C54" s="432">
        <v>549756.07639007224</v>
      </c>
      <c r="D54" s="233">
        <f>VLOOKUP(B54,Synthèse!B54:F362,5,FALSE)</f>
        <v>615139.93368374591</v>
      </c>
      <c r="E54" s="329">
        <f t="shared" si="0"/>
        <v>65383.857293673675</v>
      </c>
      <c r="F54" s="470">
        <v>77280.312236739745</v>
      </c>
      <c r="G54" s="233">
        <v>227605.38567975175</v>
      </c>
      <c r="H54" s="329">
        <f t="shared" si="1"/>
        <v>150325.07344301202</v>
      </c>
      <c r="I54" s="432">
        <v>91972.64988633708</v>
      </c>
      <c r="J54" s="233">
        <f>VLOOKUP(B54,'M) Police'!B54:O354,14,FALSE)</f>
        <v>99649.908233321359</v>
      </c>
      <c r="K54" s="329">
        <f t="shared" si="2"/>
        <v>7677.2583469842793</v>
      </c>
    </row>
    <row r="55" spans="1:11" x14ac:dyDescent="0.25">
      <c r="A55" s="159">
        <f>+'B) D RI'!A56</f>
        <v>5485</v>
      </c>
      <c r="B55" s="435" t="str">
        <f>+'B) D RI'!B56</f>
        <v>Grancy</v>
      </c>
      <c r="C55" s="432">
        <v>259994.23226107363</v>
      </c>
      <c r="D55" s="233">
        <f>VLOOKUP(B55,Synthèse!B55:F363,5,FALSE)</f>
        <v>289776.01702386874</v>
      </c>
      <c r="E55" s="329">
        <f t="shared" si="0"/>
        <v>29781.784762795112</v>
      </c>
      <c r="F55" s="470">
        <v>125831.97204089817</v>
      </c>
      <c r="G55" s="233">
        <v>-119758.83472612977</v>
      </c>
      <c r="H55" s="329">
        <f t="shared" si="1"/>
        <v>-245590.80676702794</v>
      </c>
      <c r="I55" s="432">
        <v>47866.335716128917</v>
      </c>
      <c r="J55" s="233">
        <f>VLOOKUP(B55,'M) Police'!B55:O355,14,FALSE)</f>
        <v>57366.145845860854</v>
      </c>
      <c r="K55" s="329">
        <f t="shared" si="2"/>
        <v>9499.8101297319372</v>
      </c>
    </row>
    <row r="56" spans="1:11" x14ac:dyDescent="0.25">
      <c r="A56" s="159">
        <f>+'B) D RI'!A57</f>
        <v>5486</v>
      </c>
      <c r="B56" s="435" t="str">
        <f>+'B) D RI'!B57</f>
        <v>L'Isle</v>
      </c>
      <c r="C56" s="432">
        <v>569044.77046730672</v>
      </c>
      <c r="D56" s="233">
        <f>VLOOKUP(B56,Synthèse!B56:F364,5,FALSE)</f>
        <v>548684.08795243397</v>
      </c>
      <c r="E56" s="329">
        <f t="shared" si="0"/>
        <v>-20360.682514872751</v>
      </c>
      <c r="F56" s="470">
        <v>-253034.73962937092</v>
      </c>
      <c r="G56" s="233">
        <v>-134090.05407251458</v>
      </c>
      <c r="H56" s="329">
        <f t="shared" si="1"/>
        <v>118944.68555685633</v>
      </c>
      <c r="I56" s="432">
        <v>93839.164952690815</v>
      </c>
      <c r="J56" s="233">
        <f>VLOOKUP(B56,'M) Police'!B56:O356,14,FALSE)</f>
        <v>96341.988536100107</v>
      </c>
      <c r="K56" s="329">
        <f t="shared" si="2"/>
        <v>2502.823583409292</v>
      </c>
    </row>
    <row r="57" spans="1:11" x14ac:dyDescent="0.25">
      <c r="A57" s="159">
        <f>+'B) D RI'!A58</f>
        <v>5487</v>
      </c>
      <c r="B57" s="435" t="str">
        <f>+'B) D RI'!B58</f>
        <v>Lussery-Villars</v>
      </c>
      <c r="C57" s="432">
        <v>218911.59243544188</v>
      </c>
      <c r="D57" s="233">
        <f>VLOOKUP(B57,Synthèse!B57:F365,5,FALSE)</f>
        <v>226343.57777210837</v>
      </c>
      <c r="E57" s="329">
        <f t="shared" si="0"/>
        <v>7431.9853366664902</v>
      </c>
      <c r="F57" s="470">
        <v>54251.211239281212</v>
      </c>
      <c r="G57" s="233">
        <v>84369.40756254732</v>
      </c>
      <c r="H57" s="329">
        <f t="shared" si="1"/>
        <v>30118.196323266107</v>
      </c>
      <c r="I57" s="432">
        <v>41354.384545581255</v>
      </c>
      <c r="J57" s="233">
        <f>VLOOKUP(B57,'M) Police'!B57:O357,14,FALSE)</f>
        <v>46047.866025273986</v>
      </c>
      <c r="K57" s="329">
        <f t="shared" si="2"/>
        <v>4693.4814796927312</v>
      </c>
    </row>
    <row r="58" spans="1:11" x14ac:dyDescent="0.25">
      <c r="A58" s="159">
        <f>+'B) D RI'!A59</f>
        <v>5488</v>
      </c>
      <c r="B58" s="435" t="str">
        <f>+'B) D RI'!B59</f>
        <v>Mauraz</v>
      </c>
      <c r="C58" s="432">
        <v>24261.751772291955</v>
      </c>
      <c r="D58" s="233">
        <f>VLOOKUP(B58,Synthèse!B58:F366,5,FALSE)</f>
        <v>34235.156405899754</v>
      </c>
      <c r="E58" s="329">
        <f t="shared" si="0"/>
        <v>9973.404633607799</v>
      </c>
      <c r="F58" s="470">
        <v>-781.41694085191375</v>
      </c>
      <c r="G58" s="233">
        <v>12229.227083346424</v>
      </c>
      <c r="H58" s="329">
        <f t="shared" si="1"/>
        <v>13010.644024198338</v>
      </c>
      <c r="I58" s="432">
        <v>5070.2227475275722</v>
      </c>
      <c r="J58" s="233">
        <f>VLOOKUP(B58,'M) Police'!B58:O358,14,FALSE)</f>
        <v>5974.2711836517883</v>
      </c>
      <c r="K58" s="329">
        <f t="shared" si="2"/>
        <v>904.0484361242161</v>
      </c>
    </row>
    <row r="59" spans="1:11" x14ac:dyDescent="0.25">
      <c r="A59" s="159">
        <f>+'B) D RI'!A60</f>
        <v>5489</v>
      </c>
      <c r="B59" s="435" t="str">
        <f>+'B) D RI'!B60</f>
        <v>Mex</v>
      </c>
      <c r="C59" s="432">
        <v>971926.06684096903</v>
      </c>
      <c r="D59" s="233">
        <f>VLOOKUP(B59,Synthèse!B59:F367,5,FALSE)</f>
        <v>1835639.8539548172</v>
      </c>
      <c r="E59" s="329">
        <f t="shared" si="0"/>
        <v>863713.78711384814</v>
      </c>
      <c r="F59" s="470">
        <v>787695.78684305109</v>
      </c>
      <c r="G59" s="233">
        <v>1141017.7821211005</v>
      </c>
      <c r="H59" s="329">
        <f t="shared" si="1"/>
        <v>353321.99527804938</v>
      </c>
      <c r="I59" s="432">
        <v>120954.86792774947</v>
      </c>
      <c r="J59" s="233">
        <f>VLOOKUP(B59,'M) Police'!B59:O359,14,FALSE)</f>
        <v>141639.70963008711</v>
      </c>
      <c r="K59" s="329">
        <f t="shared" si="2"/>
        <v>20684.841702337639</v>
      </c>
    </row>
    <row r="60" spans="1:11" x14ac:dyDescent="0.25">
      <c r="A60" s="159">
        <f>+'B) D RI'!A61</f>
        <v>5490</v>
      </c>
      <c r="B60" s="435" t="str">
        <f>+'B) D RI'!B61</f>
        <v>Moiry</v>
      </c>
      <c r="C60" s="432">
        <v>129193.32061451112</v>
      </c>
      <c r="D60" s="233">
        <f>VLOOKUP(B60,Synthèse!B60:F368,5,FALSE)</f>
        <v>152086.86434792582</v>
      </c>
      <c r="E60" s="329">
        <f t="shared" si="0"/>
        <v>22893.543733414699</v>
      </c>
      <c r="F60" s="470">
        <v>-84777.738488564137</v>
      </c>
      <c r="G60" s="233">
        <v>-15127.28490510158</v>
      </c>
      <c r="H60" s="329">
        <f t="shared" si="1"/>
        <v>69650.453583462557</v>
      </c>
      <c r="I60" s="432">
        <v>23645.953043129084</v>
      </c>
      <c r="J60" s="233">
        <f>VLOOKUP(B60,'M) Police'!B60:O360,14,FALSE)</f>
        <v>29030.828481330471</v>
      </c>
      <c r="K60" s="329">
        <f t="shared" si="2"/>
        <v>5384.8754382013867</v>
      </c>
    </row>
    <row r="61" spans="1:11" x14ac:dyDescent="0.25">
      <c r="A61" s="159">
        <f>+'B) D RI'!A62</f>
        <v>5491</v>
      </c>
      <c r="B61" s="435" t="str">
        <f>+'B) D RI'!B62</f>
        <v>Mont-la-Ville</v>
      </c>
      <c r="C61" s="432">
        <v>190506.0100475084</v>
      </c>
      <c r="D61" s="233">
        <f>VLOOKUP(B61,Synthèse!B61:F369,5,FALSE)</f>
        <v>226216.89680226782</v>
      </c>
      <c r="E61" s="329">
        <f t="shared" si="0"/>
        <v>35710.886754759413</v>
      </c>
      <c r="F61" s="470">
        <v>-244930.91889101604</v>
      </c>
      <c r="G61" s="233">
        <v>-165878.5465890909</v>
      </c>
      <c r="H61" s="329">
        <f t="shared" si="1"/>
        <v>79052.372301925148</v>
      </c>
      <c r="I61" s="432">
        <v>27268.01782684795</v>
      </c>
      <c r="J61" s="233">
        <f>VLOOKUP(B61,'M) Police'!B61:O361,14,FALSE)</f>
        <v>37982.177222071463</v>
      </c>
      <c r="K61" s="329">
        <f t="shared" si="2"/>
        <v>10714.159395223513</v>
      </c>
    </row>
    <row r="62" spans="1:11" x14ac:dyDescent="0.25">
      <c r="A62" s="159">
        <f>+'B) D RI'!A63</f>
        <v>5492</v>
      </c>
      <c r="B62" s="435" t="str">
        <f>+'B) D RI'!B63</f>
        <v>Montricher</v>
      </c>
      <c r="C62" s="432">
        <v>7926858.4090533834</v>
      </c>
      <c r="D62" s="233">
        <f>VLOOKUP(B62,Synthèse!B62:F370,5,FALSE)</f>
        <v>9952742.6145970523</v>
      </c>
      <c r="E62" s="329">
        <f t="shared" si="0"/>
        <v>2025884.2055436689</v>
      </c>
      <c r="F62" s="470">
        <v>2725011.2979791211</v>
      </c>
      <c r="G62" s="233">
        <v>685690.93930919655</v>
      </c>
      <c r="H62" s="329">
        <f t="shared" si="1"/>
        <v>-2039320.3586699245</v>
      </c>
      <c r="I62" s="432">
        <v>289761.7784718012</v>
      </c>
      <c r="J62" s="233">
        <f>VLOOKUP(B62,'M) Police'!B62:O362,14,FALSE)</f>
        <v>306788.87465867942</v>
      </c>
      <c r="K62" s="329">
        <f t="shared" si="2"/>
        <v>17027.096186878218</v>
      </c>
    </row>
    <row r="63" spans="1:11" x14ac:dyDescent="0.25">
      <c r="A63" s="159">
        <f>+'B) D RI'!A64</f>
        <v>5493</v>
      </c>
      <c r="B63" s="435" t="str">
        <f>+'B) D RI'!B64</f>
        <v>Orny</v>
      </c>
      <c r="C63" s="432">
        <v>264996.16247949679</v>
      </c>
      <c r="D63" s="233">
        <f>VLOOKUP(B63,Synthèse!B63:F371,5,FALSE)</f>
        <v>210916.14232955314</v>
      </c>
      <c r="E63" s="329">
        <f t="shared" si="0"/>
        <v>-54080.020149943652</v>
      </c>
      <c r="F63" s="470">
        <v>-67279.584840256401</v>
      </c>
      <c r="G63" s="233">
        <v>-616395.03762029414</v>
      </c>
      <c r="H63" s="329">
        <f t="shared" si="1"/>
        <v>-549115.45278003777</v>
      </c>
      <c r="I63" s="432">
        <v>28608.564877505007</v>
      </c>
      <c r="J63" s="233">
        <f>VLOOKUP(B63,'M) Police'!B63:O363,14,FALSE)</f>
        <v>33271.6003224265</v>
      </c>
      <c r="K63" s="329">
        <f t="shared" si="2"/>
        <v>4663.0354449214938</v>
      </c>
    </row>
    <row r="64" spans="1:11" x14ac:dyDescent="0.25">
      <c r="A64" s="159">
        <f>+'B) D RI'!A65</f>
        <v>5494</v>
      </c>
      <c r="B64" s="435" t="str">
        <f>+'B) D RI'!B65</f>
        <v>Pampigny</v>
      </c>
      <c r="C64" s="432">
        <v>670911.58448577684</v>
      </c>
      <c r="D64" s="233">
        <f>VLOOKUP(B64,Synthèse!B64:F372,5,FALSE)</f>
        <v>706098.58666810638</v>
      </c>
      <c r="E64" s="329">
        <f t="shared" si="0"/>
        <v>35187.002182329539</v>
      </c>
      <c r="F64" s="470">
        <v>-32100.499515946023</v>
      </c>
      <c r="G64" s="233">
        <v>110141.75771241714</v>
      </c>
      <c r="H64" s="329">
        <f t="shared" si="1"/>
        <v>142242.25722836316</v>
      </c>
      <c r="I64" s="432">
        <v>116124.28468884091</v>
      </c>
      <c r="J64" s="233">
        <f>VLOOKUP(B64,'M) Police'!B64:O364,14,FALSE)</f>
        <v>116903.50260121148</v>
      </c>
      <c r="K64" s="329">
        <f t="shared" si="2"/>
        <v>779.21791237057187</v>
      </c>
    </row>
    <row r="65" spans="1:11" x14ac:dyDescent="0.25">
      <c r="A65" s="159">
        <f>+'B) D RI'!A66</f>
        <v>5495</v>
      </c>
      <c r="B65" s="435" t="str">
        <f>+'B) D RI'!B66</f>
        <v>Penthalaz</v>
      </c>
      <c r="C65" s="432">
        <v>1669096.2281530984</v>
      </c>
      <c r="D65" s="233">
        <f>VLOOKUP(B65,Synthèse!B65:F373,5,FALSE)</f>
        <v>1607880.8116554348</v>
      </c>
      <c r="E65" s="329">
        <f t="shared" si="0"/>
        <v>-61215.416497663595</v>
      </c>
      <c r="F65" s="470">
        <v>-522367.67742991773</v>
      </c>
      <c r="G65" s="233">
        <v>-875913.42276005482</v>
      </c>
      <c r="H65" s="329">
        <f t="shared" si="1"/>
        <v>-353545.74533013708</v>
      </c>
      <c r="I65" s="432">
        <v>313191.55269076285</v>
      </c>
      <c r="J65" s="233">
        <f>VLOOKUP(B65,'M) Police'!B65:O365,14,FALSE)</f>
        <v>286893.82583091443</v>
      </c>
      <c r="K65" s="329">
        <f t="shared" si="2"/>
        <v>-26297.726859848422</v>
      </c>
    </row>
    <row r="66" spans="1:11" x14ac:dyDescent="0.25">
      <c r="A66" s="159">
        <f>+'B) D RI'!A67</f>
        <v>5496</v>
      </c>
      <c r="B66" s="435" t="str">
        <f>+'B) D RI'!B67</f>
        <v>Penthaz</v>
      </c>
      <c r="C66" s="432">
        <v>880075.08237704483</v>
      </c>
      <c r="D66" s="233">
        <f>VLOOKUP(B66,Synthèse!B66:F374,5,FALSE)</f>
        <v>1093939.9453562843</v>
      </c>
      <c r="E66" s="329">
        <f t="shared" si="0"/>
        <v>213864.86297923943</v>
      </c>
      <c r="F66" s="470">
        <v>-24981.000777576177</v>
      </c>
      <c r="G66" s="233">
        <v>79521.093938095757</v>
      </c>
      <c r="H66" s="329">
        <f t="shared" si="1"/>
        <v>104502.09471567193</v>
      </c>
      <c r="I66" s="432">
        <v>166134.09806879482</v>
      </c>
      <c r="J66" s="233">
        <f>VLOOKUP(B66,'M) Police'!B66:O366,14,FALSE)</f>
        <v>177183.03251397127</v>
      </c>
      <c r="K66" s="329">
        <f t="shared" si="2"/>
        <v>11048.934445176448</v>
      </c>
    </row>
    <row r="67" spans="1:11" x14ac:dyDescent="0.25">
      <c r="A67" s="159">
        <f>+'B) D RI'!A68</f>
        <v>5497</v>
      </c>
      <c r="B67" s="435" t="str">
        <f>+'B) D RI'!B68</f>
        <v>Pompaples</v>
      </c>
      <c r="C67" s="432">
        <v>506895.47513519332</v>
      </c>
      <c r="D67" s="233">
        <f>VLOOKUP(B67,Synthèse!B67:F375,5,FALSE)</f>
        <v>465512.77255481365</v>
      </c>
      <c r="E67" s="329">
        <f t="shared" si="0"/>
        <v>-41382.702580379671</v>
      </c>
      <c r="F67" s="470">
        <v>-124287.40666033825</v>
      </c>
      <c r="G67" s="233">
        <v>-105999.89343407424</v>
      </c>
      <c r="H67" s="329">
        <f t="shared" si="1"/>
        <v>18287.513226264011</v>
      </c>
      <c r="I67" s="432">
        <v>69653.471982212533</v>
      </c>
      <c r="J67" s="233">
        <f>VLOOKUP(B67,'M) Police'!B67:O367,14,FALSE)</f>
        <v>69058.885857429384</v>
      </c>
      <c r="K67" s="329">
        <f t="shared" si="2"/>
        <v>-594.58612478314899</v>
      </c>
    </row>
    <row r="68" spans="1:11" x14ac:dyDescent="0.25">
      <c r="A68" s="159">
        <f>+'B) D RI'!A69</f>
        <v>5498</v>
      </c>
      <c r="B68" s="435" t="str">
        <f>+'B) D RI'!B69</f>
        <v>La Sarraz</v>
      </c>
      <c r="C68" s="432">
        <v>1289514.4210880904</v>
      </c>
      <c r="D68" s="233">
        <f>VLOOKUP(B68,Synthèse!B68:F376,5,FALSE)</f>
        <v>1339134.1764196185</v>
      </c>
      <c r="E68" s="329">
        <f t="shared" si="0"/>
        <v>49619.75533152814</v>
      </c>
      <c r="F68" s="470">
        <v>-603003.42243810277</v>
      </c>
      <c r="G68" s="233">
        <v>-448660.85329768644</v>
      </c>
      <c r="H68" s="329">
        <f t="shared" si="1"/>
        <v>154342.56914041634</v>
      </c>
      <c r="I68" s="432">
        <v>232438.16137118466</v>
      </c>
      <c r="J68" s="233">
        <f>VLOOKUP(B68,'M) Police'!B68:O368,14,FALSE)</f>
        <v>241573.28778841411</v>
      </c>
      <c r="K68" s="329">
        <f t="shared" si="2"/>
        <v>9135.1264172294468</v>
      </c>
    </row>
    <row r="69" spans="1:11" x14ac:dyDescent="0.25">
      <c r="A69" s="159">
        <f>+'B) D RI'!A70</f>
        <v>5499</v>
      </c>
      <c r="B69" s="435" t="str">
        <f>+'B) D RI'!B70</f>
        <v>Senarclens</v>
      </c>
      <c r="C69" s="432">
        <v>339302.56163059</v>
      </c>
      <c r="D69" s="233">
        <f>VLOOKUP(B69,Synthèse!B69:F377,5,FALSE)</f>
        <v>395732.73345348297</v>
      </c>
      <c r="E69" s="329">
        <f t="shared" si="0"/>
        <v>56430.171822892968</v>
      </c>
      <c r="F69" s="470">
        <v>172784.98854352266</v>
      </c>
      <c r="G69" s="233">
        <v>404650.58845983061</v>
      </c>
      <c r="H69" s="329">
        <f t="shared" si="1"/>
        <v>231865.59991630795</v>
      </c>
      <c r="I69" s="432">
        <v>58951.315019892441</v>
      </c>
      <c r="J69" s="233">
        <f>VLOOKUP(B69,'M) Police'!B69:O369,14,FALSE)</f>
        <v>71533.838059505535</v>
      </c>
      <c r="K69" s="329">
        <f t="shared" si="2"/>
        <v>12582.523039613094</v>
      </c>
    </row>
    <row r="70" spans="1:11" x14ac:dyDescent="0.25">
      <c r="A70" s="159">
        <f>+'B) D RI'!A71</f>
        <v>5500</v>
      </c>
      <c r="B70" s="435" t="str">
        <f>+'B) D RI'!B71</f>
        <v>Sévery</v>
      </c>
      <c r="C70" s="432">
        <v>128577.3282113887</v>
      </c>
      <c r="D70" s="233">
        <f>VLOOKUP(B70,Synthèse!B70:F378,5,FALSE)</f>
        <v>124739.43338327511</v>
      </c>
      <c r="E70" s="329">
        <f t="shared" si="0"/>
        <v>-3837.8948281135818</v>
      </c>
      <c r="F70" s="470">
        <v>46200.522200013504</v>
      </c>
      <c r="G70" s="233">
        <v>-20231.380545851316</v>
      </c>
      <c r="H70" s="329">
        <f t="shared" si="1"/>
        <v>-66431.90274586482</v>
      </c>
      <c r="I70" s="432">
        <v>25469.904775838993</v>
      </c>
      <c r="J70" s="233">
        <f>VLOOKUP(B70,'M) Police'!B70:O370,14,FALSE)</f>
        <v>19412.461168258036</v>
      </c>
      <c r="K70" s="329">
        <f t="shared" si="2"/>
        <v>-6057.4436075809572</v>
      </c>
    </row>
    <row r="71" spans="1:11" x14ac:dyDescent="0.25">
      <c r="A71" s="159">
        <f>+'B) D RI'!A72</f>
        <v>5501</v>
      </c>
      <c r="B71" s="435" t="str">
        <f>+'B) D RI'!B72</f>
        <v>Sullens</v>
      </c>
      <c r="C71" s="432">
        <v>712587.88303510018</v>
      </c>
      <c r="D71" s="233">
        <f>VLOOKUP(B71,Synthèse!B71:F379,5,FALSE)</f>
        <v>642923.65317478101</v>
      </c>
      <c r="E71" s="329">
        <f t="shared" ref="E71:E134" si="3">+D71-C71</f>
        <v>-69664.229860319174</v>
      </c>
      <c r="F71" s="470">
        <v>394092.8568188257</v>
      </c>
      <c r="G71" s="233">
        <v>426174.42763832217</v>
      </c>
      <c r="H71" s="329">
        <f t="shared" ref="H71:H134" si="4">+G71-F71</f>
        <v>32081.570819496468</v>
      </c>
      <c r="I71" s="432">
        <v>112783.29105830076</v>
      </c>
      <c r="J71" s="233">
        <f>VLOOKUP(B71,'M) Police'!B71:O371,14,FALSE)</f>
        <v>116492.90954884407</v>
      </c>
      <c r="K71" s="329">
        <f t="shared" ref="K71:K134" si="5">+J71-I71</f>
        <v>3709.6184905433038</v>
      </c>
    </row>
    <row r="72" spans="1:11" x14ac:dyDescent="0.25">
      <c r="A72" s="159">
        <f>+'B) D RI'!A73</f>
        <v>5503</v>
      </c>
      <c r="B72" s="435" t="str">
        <f>+'B) D RI'!B73</f>
        <v>Vufflens-la-Ville</v>
      </c>
      <c r="C72" s="432">
        <v>1296379.1760947427</v>
      </c>
      <c r="D72" s="233">
        <f>VLOOKUP(B72,Synthèse!B72:F380,5,FALSE)</f>
        <v>1666013.6143486779</v>
      </c>
      <c r="E72" s="329">
        <f t="shared" si="3"/>
        <v>369634.43825393519</v>
      </c>
      <c r="F72" s="470">
        <v>1035521.5479542027</v>
      </c>
      <c r="G72" s="233">
        <v>1254488.9413059379</v>
      </c>
      <c r="H72" s="329">
        <f t="shared" si="4"/>
        <v>218967.3933517352</v>
      </c>
      <c r="I72" s="432">
        <v>193118.57370314575</v>
      </c>
      <c r="J72" s="233">
        <f>VLOOKUP(B72,'M) Police'!B72:O372,14,FALSE)</f>
        <v>206816.61721325104</v>
      </c>
      <c r="K72" s="329">
        <f t="shared" si="5"/>
        <v>13698.043510105286</v>
      </c>
    </row>
    <row r="73" spans="1:11" x14ac:dyDescent="0.25">
      <c r="A73" s="159">
        <f>+'B) D RI'!A74</f>
        <v>5511</v>
      </c>
      <c r="B73" s="435" t="str">
        <f>+'B) D RI'!B74</f>
        <v>Assens</v>
      </c>
      <c r="C73" s="432">
        <v>700608.8871391787</v>
      </c>
      <c r="D73" s="233">
        <f>VLOOKUP(B73,Synthèse!B73:F381,5,FALSE)</f>
        <v>733534.70104568289</v>
      </c>
      <c r="E73" s="329">
        <f t="shared" si="3"/>
        <v>32925.813906504191</v>
      </c>
      <c r="F73" s="470">
        <v>185324.82717405201</v>
      </c>
      <c r="G73" s="233">
        <v>378104.48527192784</v>
      </c>
      <c r="H73" s="329">
        <f t="shared" si="4"/>
        <v>192779.65809787583</v>
      </c>
      <c r="I73" s="432">
        <v>125926.05547738091</v>
      </c>
      <c r="J73" s="233">
        <f>VLOOKUP(B73,'M) Police'!B73:O373,14,FALSE)</f>
        <v>141505.67209733778</v>
      </c>
      <c r="K73" s="329">
        <f t="shared" si="5"/>
        <v>15579.616619956869</v>
      </c>
    </row>
    <row r="74" spans="1:11" x14ac:dyDescent="0.25">
      <c r="A74" s="159">
        <f>+'B) D RI'!A75</f>
        <v>5512</v>
      </c>
      <c r="B74" s="435" t="str">
        <f>+'B) D RI'!B75</f>
        <v>Bercher</v>
      </c>
      <c r="C74" s="432">
        <v>685897.50769321667</v>
      </c>
      <c r="D74" s="233">
        <f>VLOOKUP(B74,Synthèse!B74:F382,5,FALSE)</f>
        <v>665397.0364161625</v>
      </c>
      <c r="E74" s="329">
        <f t="shared" si="3"/>
        <v>-20500.471277054166</v>
      </c>
      <c r="F74" s="470">
        <v>-72838.254170574626</v>
      </c>
      <c r="G74" s="233">
        <v>-50986.554657770437</v>
      </c>
      <c r="H74" s="329">
        <f t="shared" si="4"/>
        <v>21851.699512804189</v>
      </c>
      <c r="I74" s="432">
        <v>110091.28461928107</v>
      </c>
      <c r="J74" s="233">
        <f>VLOOKUP(B74,'M) Police'!B74:O374,14,FALSE)</f>
        <v>116514.02998199768</v>
      </c>
      <c r="K74" s="329">
        <f t="shared" si="5"/>
        <v>6422.7453627166105</v>
      </c>
    </row>
    <row r="75" spans="1:11" x14ac:dyDescent="0.25">
      <c r="A75" s="159">
        <f>+'B) D RI'!A76</f>
        <v>5513</v>
      </c>
      <c r="B75" s="435" t="str">
        <f>+'B) D RI'!B76</f>
        <v>Bioley-Orjulaz</v>
      </c>
      <c r="C75" s="432">
        <v>387697.69659238163</v>
      </c>
      <c r="D75" s="233">
        <f>VLOOKUP(B75,Synthèse!B75:F383,5,FALSE)</f>
        <v>419870.56328135764</v>
      </c>
      <c r="E75" s="329">
        <f t="shared" si="3"/>
        <v>32172.866688976006</v>
      </c>
      <c r="F75" s="470">
        <v>367078.63838108821</v>
      </c>
      <c r="G75" s="233">
        <v>384422.50312366296</v>
      </c>
      <c r="H75" s="329">
        <f t="shared" si="4"/>
        <v>17343.864742574748</v>
      </c>
      <c r="I75" s="432">
        <v>71003.063351085293</v>
      </c>
      <c r="J75" s="233">
        <f>VLOOKUP(B75,'M) Police'!B75:O375,14,FALSE)</f>
        <v>71325.791792531905</v>
      </c>
      <c r="K75" s="329">
        <f t="shared" si="5"/>
        <v>322.72844144661212</v>
      </c>
    </row>
    <row r="76" spans="1:11" x14ac:dyDescent="0.25">
      <c r="A76" s="159">
        <f>+'B) D RI'!A77</f>
        <v>5514</v>
      </c>
      <c r="B76" s="435" t="str">
        <f>+'B) D RI'!B77</f>
        <v>Bottens</v>
      </c>
      <c r="C76" s="432">
        <v>743346.59870561224</v>
      </c>
      <c r="D76" s="233">
        <f>VLOOKUP(B76,Synthèse!B76:F384,5,FALSE)</f>
        <v>710138.727464861</v>
      </c>
      <c r="E76" s="329">
        <f t="shared" si="3"/>
        <v>-33207.871240751236</v>
      </c>
      <c r="F76" s="470">
        <v>265560.25741109956</v>
      </c>
      <c r="G76" s="233">
        <v>387458.2262533264</v>
      </c>
      <c r="H76" s="329">
        <f t="shared" si="4"/>
        <v>121897.96884222684</v>
      </c>
      <c r="I76" s="432">
        <v>127674.76009205848</v>
      </c>
      <c r="J76" s="233">
        <f>VLOOKUP(B76,'M) Police'!B76:O376,14,FALSE)</f>
        <v>139058.35884187135</v>
      </c>
      <c r="K76" s="329">
        <f t="shared" si="5"/>
        <v>11383.598749812867</v>
      </c>
    </row>
    <row r="77" spans="1:11" x14ac:dyDescent="0.25">
      <c r="A77" s="159">
        <f>+'B) D RI'!A78</f>
        <v>5515</v>
      </c>
      <c r="B77" s="435" t="str">
        <f>+'B) D RI'!B78</f>
        <v>Bretigny-sur-Morrens</v>
      </c>
      <c r="C77" s="432">
        <v>429251.86354196089</v>
      </c>
      <c r="D77" s="233">
        <f>VLOOKUP(B77,Synthèse!B77:F385,5,FALSE)</f>
        <v>526904.71819679707</v>
      </c>
      <c r="E77" s="329">
        <f t="shared" si="3"/>
        <v>97652.854654836177</v>
      </c>
      <c r="F77" s="470">
        <v>108974.60935432531</v>
      </c>
      <c r="G77" s="233">
        <v>183957.64577904114</v>
      </c>
      <c r="H77" s="329">
        <f t="shared" si="4"/>
        <v>74983.036424715829</v>
      </c>
      <c r="I77" s="432">
        <v>80870.807573688871</v>
      </c>
      <c r="J77" s="233">
        <f>VLOOKUP(B77,'M) Police'!B77:O377,14,FALSE)</f>
        <v>89718.169853563755</v>
      </c>
      <c r="K77" s="329">
        <f t="shared" si="5"/>
        <v>8847.3622798748838</v>
      </c>
    </row>
    <row r="78" spans="1:11" x14ac:dyDescent="0.25">
      <c r="A78" s="159">
        <f>+'B) D RI'!A79</f>
        <v>5516</v>
      </c>
      <c r="B78" s="435" t="str">
        <f>+'B) D RI'!B79</f>
        <v>Cugy</v>
      </c>
      <c r="C78" s="432">
        <v>1867095.2278269618</v>
      </c>
      <c r="D78" s="233">
        <f>VLOOKUP(B78,Synthèse!B78:F386,5,FALSE)</f>
        <v>1885791.1833915627</v>
      </c>
      <c r="E78" s="329">
        <f t="shared" si="3"/>
        <v>18695.955564600881</v>
      </c>
      <c r="F78" s="470">
        <v>835470.52042236237</v>
      </c>
      <c r="G78" s="233">
        <v>1009354.1860106927</v>
      </c>
      <c r="H78" s="329">
        <f t="shared" si="4"/>
        <v>173883.66558833036</v>
      </c>
      <c r="I78" s="432">
        <v>338943.54400169972</v>
      </c>
      <c r="J78" s="233">
        <f>VLOOKUP(B78,'M) Police'!B78:O378,14,FALSE)</f>
        <v>347028.15841736342</v>
      </c>
      <c r="K78" s="329">
        <f t="shared" si="5"/>
        <v>8084.6144156637019</v>
      </c>
    </row>
    <row r="79" spans="1:11" x14ac:dyDescent="0.25">
      <c r="A79" s="159">
        <f>+'B) D RI'!A80</f>
        <v>5518</v>
      </c>
      <c r="B79" s="435" t="str">
        <f>+'B) D RI'!B80</f>
        <v>Echallens</v>
      </c>
      <c r="C79" s="432">
        <v>3526061.1337132086</v>
      </c>
      <c r="D79" s="233">
        <f>VLOOKUP(B79,Synthèse!B79:F387,5,FALSE)</f>
        <v>3076160.1489487821</v>
      </c>
      <c r="E79" s="329">
        <f t="shared" si="3"/>
        <v>-449900.98476442648</v>
      </c>
      <c r="F79" s="470">
        <v>-1036543.7187221992</v>
      </c>
      <c r="G79" s="233">
        <v>-1083399.18377036</v>
      </c>
      <c r="H79" s="329">
        <f t="shared" si="4"/>
        <v>-46855.465048160753</v>
      </c>
      <c r="I79" s="432">
        <v>591767.20206660626</v>
      </c>
      <c r="J79" s="233">
        <f>VLOOKUP(B79,'M) Police'!B79:O379,14,FALSE)</f>
        <v>579822.61868235318</v>
      </c>
      <c r="K79" s="329">
        <f t="shared" si="5"/>
        <v>-11944.583384253085</v>
      </c>
    </row>
    <row r="80" spans="1:11" x14ac:dyDescent="0.25">
      <c r="A80" s="159">
        <f>+'B) D RI'!A81</f>
        <v>5520</v>
      </c>
      <c r="B80" s="435" t="str">
        <f>+'B) D RI'!B81</f>
        <v>Essertines-sur-Yverdon</v>
      </c>
      <c r="C80" s="432">
        <v>485288.44277312397</v>
      </c>
      <c r="D80" s="233">
        <f>VLOOKUP(B80,Synthèse!B80:F388,5,FALSE)</f>
        <v>578147.92336709856</v>
      </c>
      <c r="E80" s="329">
        <f t="shared" si="3"/>
        <v>92859.480593974586</v>
      </c>
      <c r="F80" s="470">
        <v>15720.37615090434</v>
      </c>
      <c r="G80" s="233">
        <v>79518.271497802489</v>
      </c>
      <c r="H80" s="329">
        <f t="shared" si="4"/>
        <v>63797.895346898149</v>
      </c>
      <c r="I80" s="432">
        <v>88210.132302785001</v>
      </c>
      <c r="J80" s="233">
        <f>VLOOKUP(B80,'M) Police'!B80:O380,14,FALSE)</f>
        <v>98546.049670381122</v>
      </c>
      <c r="K80" s="329">
        <f t="shared" si="5"/>
        <v>10335.917367596121</v>
      </c>
    </row>
    <row r="81" spans="1:11" x14ac:dyDescent="0.25">
      <c r="A81" s="159">
        <f>+'B) D RI'!A82</f>
        <v>5521</v>
      </c>
      <c r="B81" s="435" t="str">
        <f>+'B) D RI'!B82</f>
        <v>Etagnières</v>
      </c>
      <c r="C81" s="432">
        <v>669351.28224100918</v>
      </c>
      <c r="D81" s="233">
        <f>VLOOKUP(B81,Synthèse!B81:F389,5,FALSE)</f>
        <v>724706.04007727432</v>
      </c>
      <c r="E81" s="329">
        <f t="shared" si="3"/>
        <v>55354.75783626514</v>
      </c>
      <c r="F81" s="470">
        <v>396212.61328967795</v>
      </c>
      <c r="G81" s="233">
        <v>502916.14363620343</v>
      </c>
      <c r="H81" s="329">
        <f t="shared" si="4"/>
        <v>106703.53034652548</v>
      </c>
      <c r="I81" s="432">
        <v>127664.47089830064</v>
      </c>
      <c r="J81" s="233">
        <f>VLOOKUP(B81,'M) Police'!B81:O381,14,FALSE)</f>
        <v>132334.53162176945</v>
      </c>
      <c r="K81" s="329">
        <f t="shared" si="5"/>
        <v>4670.0607234688068</v>
      </c>
    </row>
    <row r="82" spans="1:11" x14ac:dyDescent="0.25">
      <c r="A82" s="159">
        <f>+'B) D RI'!A83</f>
        <v>5522</v>
      </c>
      <c r="B82" s="435" t="str">
        <f>+'B) D RI'!B83</f>
        <v>Fey</v>
      </c>
      <c r="C82" s="432">
        <v>367444.34815126867</v>
      </c>
      <c r="D82" s="233">
        <f>VLOOKUP(B82,Synthèse!B82:F390,5,FALSE)</f>
        <v>381629.06914763118</v>
      </c>
      <c r="E82" s="329">
        <f t="shared" si="3"/>
        <v>14184.720996362506</v>
      </c>
      <c r="F82" s="470">
        <v>-69191.736320312557</v>
      </c>
      <c r="G82" s="233">
        <v>61873.45498089942</v>
      </c>
      <c r="H82" s="329">
        <f t="shared" si="4"/>
        <v>131065.19130121198</v>
      </c>
      <c r="I82" s="432">
        <v>60016.280799539876</v>
      </c>
      <c r="J82" s="233">
        <f>VLOOKUP(B82,'M) Police'!B82:O382,14,FALSE)</f>
        <v>67787.900956325626</v>
      </c>
      <c r="K82" s="329">
        <f t="shared" si="5"/>
        <v>7771.6201567857497</v>
      </c>
    </row>
    <row r="83" spans="1:11" x14ac:dyDescent="0.25">
      <c r="A83" s="159">
        <f>+'B) D RI'!A84</f>
        <v>5523</v>
      </c>
      <c r="B83" s="435" t="str">
        <f>+'B) D RI'!B84</f>
        <v>Froideville</v>
      </c>
      <c r="C83" s="432">
        <v>1470494.4515820872</v>
      </c>
      <c r="D83" s="233">
        <f>VLOOKUP(B83,Synthèse!B83:F391,5,FALSE)</f>
        <v>1377747.3352987433</v>
      </c>
      <c r="E83" s="329">
        <f t="shared" si="3"/>
        <v>-92747.116283343872</v>
      </c>
      <c r="F83" s="470">
        <v>-98820.583098633942</v>
      </c>
      <c r="G83" s="233">
        <v>103039.6368223227</v>
      </c>
      <c r="H83" s="329">
        <f t="shared" si="4"/>
        <v>201860.21992095665</v>
      </c>
      <c r="I83" s="432">
        <v>242137.3768649009</v>
      </c>
      <c r="J83" s="233">
        <f>VLOOKUP(B83,'M) Police'!B83:O383,14,FALSE)</f>
        <v>256128.56163834443</v>
      </c>
      <c r="K83" s="329">
        <f t="shared" si="5"/>
        <v>13991.184773443529</v>
      </c>
    </row>
    <row r="84" spans="1:11" x14ac:dyDescent="0.25">
      <c r="A84" s="159">
        <f>+'B) D RI'!A85</f>
        <v>5527</v>
      </c>
      <c r="B84" s="435" t="str">
        <f>+'B) D RI'!B85</f>
        <v>Morrens</v>
      </c>
      <c r="C84" s="432">
        <v>604379.06150004664</v>
      </c>
      <c r="D84" s="233">
        <f>VLOOKUP(B84,Synthèse!B84:F392,5,FALSE)</f>
        <v>688443.0607351287</v>
      </c>
      <c r="E84" s="329">
        <f t="shared" si="3"/>
        <v>84063.999235082068</v>
      </c>
      <c r="F84" s="470">
        <v>346740.50404999591</v>
      </c>
      <c r="G84" s="233">
        <v>331955.53654218384</v>
      </c>
      <c r="H84" s="329">
        <f t="shared" si="4"/>
        <v>-14784.967507812078</v>
      </c>
      <c r="I84" s="432">
        <v>118097.26176070122</v>
      </c>
      <c r="J84" s="233">
        <f>VLOOKUP(B84,'M) Police'!B84:O384,14,FALSE)</f>
        <v>116754.16027327285</v>
      </c>
      <c r="K84" s="329">
        <f t="shared" si="5"/>
        <v>-1343.1014874283719</v>
      </c>
    </row>
    <row r="85" spans="1:11" x14ac:dyDescent="0.25">
      <c r="A85" s="159">
        <f>+'B) D RI'!A86</f>
        <v>5529</v>
      </c>
      <c r="B85" s="435" t="str">
        <f>+'B) D RI'!B86</f>
        <v>Oulens-sous-Echallens</v>
      </c>
      <c r="C85" s="432">
        <v>337536.35202291672</v>
      </c>
      <c r="D85" s="233">
        <f>VLOOKUP(B85,Synthèse!B85:F393,5,FALSE)</f>
        <v>342943.85121897486</v>
      </c>
      <c r="E85" s="329">
        <f t="shared" si="3"/>
        <v>5407.4991960581392</v>
      </c>
      <c r="F85" s="470">
        <v>79273.350657133182</v>
      </c>
      <c r="G85" s="233">
        <v>102606.42104509592</v>
      </c>
      <c r="H85" s="329">
        <f t="shared" si="4"/>
        <v>23333.07038796274</v>
      </c>
      <c r="I85" s="432">
        <v>62694.14348713962</v>
      </c>
      <c r="J85" s="233">
        <f>VLOOKUP(B85,'M) Police'!B85:O385,14,FALSE)</f>
        <v>66212.435551170784</v>
      </c>
      <c r="K85" s="329">
        <f t="shared" si="5"/>
        <v>3518.292064031164</v>
      </c>
    </row>
    <row r="86" spans="1:11" x14ac:dyDescent="0.25">
      <c r="A86" s="159">
        <f>+'B) D RI'!A87</f>
        <v>5530</v>
      </c>
      <c r="B86" s="435" t="str">
        <f>+'B) D RI'!B87</f>
        <v>Pailly</v>
      </c>
      <c r="C86" s="432">
        <v>236797.99227257207</v>
      </c>
      <c r="D86" s="233">
        <f>VLOOKUP(B86,Synthèse!B86:F394,5,FALSE)</f>
        <v>345912.63835451961</v>
      </c>
      <c r="E86" s="329">
        <f t="shared" si="3"/>
        <v>109114.64608194755</v>
      </c>
      <c r="F86" s="470">
        <v>-349618.43541563663</v>
      </c>
      <c r="G86" s="233">
        <v>-131984.66385927578</v>
      </c>
      <c r="H86" s="329">
        <f t="shared" si="4"/>
        <v>217633.77155636085</v>
      </c>
      <c r="I86" s="432">
        <v>48077.216103020903</v>
      </c>
      <c r="J86" s="233">
        <f>VLOOKUP(B86,'M) Police'!B86:O386,14,FALSE)</f>
        <v>53679.960456529909</v>
      </c>
      <c r="K86" s="329">
        <f t="shared" si="5"/>
        <v>5602.744353509006</v>
      </c>
    </row>
    <row r="87" spans="1:11" x14ac:dyDescent="0.25">
      <c r="A87" s="159">
        <f>+'B) D RI'!A88</f>
        <v>5531</v>
      </c>
      <c r="B87" s="435" t="str">
        <f>+'B) D RI'!B88</f>
        <v>Penthéréaz</v>
      </c>
      <c r="C87" s="432">
        <v>211120.45804267723</v>
      </c>
      <c r="D87" s="233">
        <f>VLOOKUP(B87,Synthèse!B87:F395,5,FALSE)</f>
        <v>251879.32154466404</v>
      </c>
      <c r="E87" s="329">
        <f t="shared" si="3"/>
        <v>40758.863501986809</v>
      </c>
      <c r="F87" s="470">
        <v>-45435.928527722892</v>
      </c>
      <c r="G87" s="233">
        <v>102031.44588595055</v>
      </c>
      <c r="H87" s="329">
        <f t="shared" si="4"/>
        <v>147467.37441367345</v>
      </c>
      <c r="I87" s="432">
        <v>38183.414602420824</v>
      </c>
      <c r="J87" s="233">
        <f>VLOOKUP(B87,'M) Police'!B87:O387,14,FALSE)</f>
        <v>46651.247527129002</v>
      </c>
      <c r="K87" s="329">
        <f t="shared" si="5"/>
        <v>8467.8329247081783</v>
      </c>
    </row>
    <row r="88" spans="1:11" x14ac:dyDescent="0.25">
      <c r="A88" s="159">
        <f>+'B) D RI'!A89</f>
        <v>5533</v>
      </c>
      <c r="B88" s="435" t="str">
        <f>+'B) D RI'!B89</f>
        <v>Poliez-Pittet</v>
      </c>
      <c r="C88" s="432">
        <v>433378.5296243779</v>
      </c>
      <c r="D88" s="233">
        <f>VLOOKUP(B88,Synthèse!B88:F396,5,FALSE)</f>
        <v>411501.52774460596</v>
      </c>
      <c r="E88" s="329">
        <f t="shared" si="3"/>
        <v>-21877.001879771939</v>
      </c>
      <c r="F88" s="470">
        <v>164221.42444306039</v>
      </c>
      <c r="G88" s="233">
        <v>128842.30213249296</v>
      </c>
      <c r="H88" s="329">
        <f t="shared" si="4"/>
        <v>-35379.122310567429</v>
      </c>
      <c r="I88" s="432">
        <v>85513.481469880033</v>
      </c>
      <c r="J88" s="233">
        <f>VLOOKUP(B88,'M) Police'!B88:O388,14,FALSE)</f>
        <v>79385.404471044545</v>
      </c>
      <c r="K88" s="329">
        <f t="shared" si="5"/>
        <v>-6128.0769988354878</v>
      </c>
    </row>
    <row r="89" spans="1:11" x14ac:dyDescent="0.25">
      <c r="A89" s="159">
        <f>+'B) D RI'!A90</f>
        <v>5534</v>
      </c>
      <c r="B89" s="435" t="str">
        <f>+'B) D RI'!B90</f>
        <v>Rueyres</v>
      </c>
      <c r="C89" s="432">
        <v>307495.54059854336</v>
      </c>
      <c r="D89" s="233">
        <f>VLOOKUP(B89,Synthèse!B89:F397,5,FALSE)</f>
        <v>145050.28410417156</v>
      </c>
      <c r="E89" s="329">
        <f t="shared" si="3"/>
        <v>-162445.2564943718</v>
      </c>
      <c r="F89" s="470">
        <v>100721.10714258635</v>
      </c>
      <c r="G89" s="233">
        <v>78548.455574498832</v>
      </c>
      <c r="H89" s="329">
        <f t="shared" si="4"/>
        <v>-22172.651568087516</v>
      </c>
      <c r="I89" s="432">
        <v>34139.831127932121</v>
      </c>
      <c r="J89" s="233">
        <f>VLOOKUP(B89,'M) Police'!B89:O389,14,FALSE)</f>
        <v>27383.86146205373</v>
      </c>
      <c r="K89" s="329">
        <f t="shared" si="5"/>
        <v>-6755.9696658783905</v>
      </c>
    </row>
    <row r="90" spans="1:11" x14ac:dyDescent="0.25">
      <c r="A90" s="159">
        <f>+'B) D RI'!A91</f>
        <v>5535</v>
      </c>
      <c r="B90" s="435" t="str">
        <f>+'B) D RI'!B91</f>
        <v>Saint-Barthélemy</v>
      </c>
      <c r="C90" s="432">
        <v>333997.3175840287</v>
      </c>
      <c r="D90" s="233">
        <f>VLOOKUP(B90,Synthèse!B90:F398,5,FALSE)</f>
        <v>408789.71935458115</v>
      </c>
      <c r="E90" s="329">
        <f t="shared" si="3"/>
        <v>74792.401770552446</v>
      </c>
      <c r="F90" s="470">
        <v>-12802.385506632912</v>
      </c>
      <c r="G90" s="233">
        <v>32147.06506890836</v>
      </c>
      <c r="H90" s="329">
        <f t="shared" si="4"/>
        <v>44949.450575541268</v>
      </c>
      <c r="I90" s="432">
        <v>64840.108338089689</v>
      </c>
      <c r="J90" s="233">
        <f>VLOOKUP(B90,'M) Police'!B90:O390,14,FALSE)</f>
        <v>67861.105938646127</v>
      </c>
      <c r="K90" s="329">
        <f t="shared" si="5"/>
        <v>3020.9976005564386</v>
      </c>
    </row>
    <row r="91" spans="1:11" x14ac:dyDescent="0.25">
      <c r="A91" s="159">
        <f>+'B) D RI'!A92</f>
        <v>5537</v>
      </c>
      <c r="B91" s="435" t="str">
        <f>+'B) D RI'!B92</f>
        <v>Villars-le-Terroir</v>
      </c>
      <c r="C91" s="432">
        <v>512555.29323144577</v>
      </c>
      <c r="D91" s="233">
        <f>VLOOKUP(B91,Synthèse!B91:F399,5,FALSE)</f>
        <v>607714.88751484023</v>
      </c>
      <c r="E91" s="329">
        <f t="shared" si="3"/>
        <v>95159.594283394457</v>
      </c>
      <c r="F91" s="470">
        <v>-32639.479547072726</v>
      </c>
      <c r="G91" s="233">
        <v>151736.90543447359</v>
      </c>
      <c r="H91" s="329">
        <f t="shared" si="4"/>
        <v>184376.38498154632</v>
      </c>
      <c r="I91" s="432">
        <v>93817.25234076925</v>
      </c>
      <c r="J91" s="233">
        <f>VLOOKUP(B91,'M) Police'!B91:O391,14,FALSE)</f>
        <v>115599.28666801419</v>
      </c>
      <c r="K91" s="329">
        <f t="shared" si="5"/>
        <v>21782.034327244939</v>
      </c>
    </row>
    <row r="92" spans="1:11" x14ac:dyDescent="0.25">
      <c r="A92" s="159">
        <f>+'B) D RI'!A93</f>
        <v>5539</v>
      </c>
      <c r="B92" s="435" t="str">
        <f>+'B) D RI'!B93</f>
        <v>Vuarrens</v>
      </c>
      <c r="C92" s="432">
        <v>392833.48222621856</v>
      </c>
      <c r="D92" s="233">
        <f>VLOOKUP(B92,Synthèse!B92:F400,5,FALSE)</f>
        <v>508335.96908175765</v>
      </c>
      <c r="E92" s="329">
        <f t="shared" si="3"/>
        <v>115502.48685553909</v>
      </c>
      <c r="F92" s="470">
        <v>-480892.5066147662</v>
      </c>
      <c r="G92" s="233">
        <v>13666.592245923923</v>
      </c>
      <c r="H92" s="329">
        <f t="shared" si="4"/>
        <v>494559.09886069014</v>
      </c>
      <c r="I92" s="432">
        <v>70583.090603626202</v>
      </c>
      <c r="J92" s="233">
        <f>VLOOKUP(B92,'M) Police'!B92:O392,14,FALSE)</f>
        <v>88947.691071805981</v>
      </c>
      <c r="K92" s="329">
        <f t="shared" si="5"/>
        <v>18364.600468179779</v>
      </c>
    </row>
    <row r="93" spans="1:11" x14ac:dyDescent="0.25">
      <c r="A93" s="159">
        <f>+'B) D RI'!A94</f>
        <v>5540</v>
      </c>
      <c r="B93" s="435" t="str">
        <f>+'B) D RI'!B94</f>
        <v>Montilliez</v>
      </c>
      <c r="C93" s="432">
        <v>969162.03656765807</v>
      </c>
      <c r="D93" s="233">
        <f>VLOOKUP(B93,Synthèse!B93:F401,5,FALSE)</f>
        <v>971882.71162086877</v>
      </c>
      <c r="E93" s="329">
        <f t="shared" si="3"/>
        <v>2720.6750532106962</v>
      </c>
      <c r="F93" s="470">
        <v>15726.321784710075</v>
      </c>
      <c r="G93" s="233">
        <v>-283063.97429936391</v>
      </c>
      <c r="H93" s="329">
        <f t="shared" si="4"/>
        <v>-298790.29608407395</v>
      </c>
      <c r="I93" s="432">
        <v>173079.86495407988</v>
      </c>
      <c r="J93" s="233">
        <f>VLOOKUP(B93,'M) Police'!B93:O393,14,FALSE)</f>
        <v>184634.15319213818</v>
      </c>
      <c r="K93" s="329">
        <f t="shared" si="5"/>
        <v>11554.288238058303</v>
      </c>
    </row>
    <row r="94" spans="1:11" x14ac:dyDescent="0.25">
      <c r="A94" s="159">
        <f>+'B) D RI'!A95</f>
        <v>5541</v>
      </c>
      <c r="B94" s="435" t="str">
        <f>+'B) D RI'!B95</f>
        <v>Goumoëns</v>
      </c>
      <c r="C94" s="432">
        <v>669023.4622012414</v>
      </c>
      <c r="D94" s="233">
        <f>VLOOKUP(B94,Synthèse!B94:F402,5,FALSE)</f>
        <v>857298.51543233497</v>
      </c>
      <c r="E94" s="329">
        <f t="shared" si="3"/>
        <v>188275.05323109357</v>
      </c>
      <c r="F94" s="470">
        <v>64728.586984218695</v>
      </c>
      <c r="G94" s="233">
        <v>137106.067284233</v>
      </c>
      <c r="H94" s="329">
        <f t="shared" si="4"/>
        <v>72377.4803000143</v>
      </c>
      <c r="I94" s="432">
        <v>102661.02582463429</v>
      </c>
      <c r="J94" s="233">
        <f>VLOOKUP(B94,'M) Police'!B94:O394,14,FALSE)</f>
        <v>111635.93108519302</v>
      </c>
      <c r="K94" s="329">
        <f t="shared" si="5"/>
        <v>8974.9052605587349</v>
      </c>
    </row>
    <row r="95" spans="1:11" x14ac:dyDescent="0.25">
      <c r="A95" s="159">
        <f>+'B) D RI'!A96</f>
        <v>5551</v>
      </c>
      <c r="B95" s="435" t="str">
        <f>+'B) D RI'!B96</f>
        <v>Bonvillars</v>
      </c>
      <c r="C95" s="432">
        <v>311842.16981317103</v>
      </c>
      <c r="D95" s="233">
        <f>VLOOKUP(B95,Synthèse!B95:F403,5,FALSE)</f>
        <v>382344.40658126521</v>
      </c>
      <c r="E95" s="329">
        <f t="shared" si="3"/>
        <v>70502.236768094182</v>
      </c>
      <c r="F95" s="470">
        <v>208283.92673855892</v>
      </c>
      <c r="G95" s="233">
        <v>344472.60680055723</v>
      </c>
      <c r="H95" s="329">
        <f t="shared" si="4"/>
        <v>136188.68006199831</v>
      </c>
      <c r="I95" s="432">
        <v>59300.48215114919</v>
      </c>
      <c r="J95" s="233">
        <f>VLOOKUP(B95,'M) Police'!B95:O395,14,FALSE)</f>
        <v>70716.984685376112</v>
      </c>
      <c r="K95" s="329">
        <f t="shared" si="5"/>
        <v>11416.502534226922</v>
      </c>
    </row>
    <row r="96" spans="1:11" x14ac:dyDescent="0.25">
      <c r="A96" s="159">
        <f>+'B) D RI'!A97</f>
        <v>5552</v>
      </c>
      <c r="B96" s="435" t="str">
        <f>+'B) D RI'!B97</f>
        <v>Bullet</v>
      </c>
      <c r="C96" s="432">
        <v>330498.63842268812</v>
      </c>
      <c r="D96" s="233">
        <f>VLOOKUP(B96,Synthèse!B96:F404,5,FALSE)</f>
        <v>310384.760243333</v>
      </c>
      <c r="E96" s="329">
        <f t="shared" si="3"/>
        <v>-20113.878179355117</v>
      </c>
      <c r="F96" s="470">
        <v>-205802.69167761391</v>
      </c>
      <c r="G96" s="233">
        <v>-169747.48815201243</v>
      </c>
      <c r="H96" s="329">
        <f t="shared" si="4"/>
        <v>36055.203525601479</v>
      </c>
      <c r="I96" s="432">
        <v>48854.116539655151</v>
      </c>
      <c r="J96" s="233">
        <f>VLOOKUP(B96,'M) Police'!B96:O396,14,FALSE)</f>
        <v>54606.385277027242</v>
      </c>
      <c r="K96" s="329">
        <f t="shared" si="5"/>
        <v>5752.268737372091</v>
      </c>
    </row>
    <row r="97" spans="1:11" x14ac:dyDescent="0.25">
      <c r="A97" s="159">
        <f>+'B) D RI'!A98</f>
        <v>5553</v>
      </c>
      <c r="B97" s="435" t="str">
        <f>+'B) D RI'!B98</f>
        <v>Champagne</v>
      </c>
      <c r="C97" s="432">
        <v>668621.69001395931</v>
      </c>
      <c r="D97" s="233">
        <f>VLOOKUP(B97,Synthèse!B97:F405,5,FALSE)</f>
        <v>696054.00553579291</v>
      </c>
      <c r="E97" s="329">
        <f t="shared" si="3"/>
        <v>27432.315521833603</v>
      </c>
      <c r="F97" s="470">
        <v>-30154.848214605357</v>
      </c>
      <c r="G97" s="233">
        <v>216324.69345201668</v>
      </c>
      <c r="H97" s="329">
        <f t="shared" si="4"/>
        <v>246479.54166662204</v>
      </c>
      <c r="I97" s="432">
        <v>103780.44974203678</v>
      </c>
      <c r="J97" s="233">
        <f>VLOOKUP(B97,'M) Police'!B97:O397,14,FALSE)</f>
        <v>117519.87902881976</v>
      </c>
      <c r="K97" s="329">
        <f t="shared" si="5"/>
        <v>13739.429286782979</v>
      </c>
    </row>
    <row r="98" spans="1:11" x14ac:dyDescent="0.25">
      <c r="A98" s="159">
        <f>+'B) D RI'!A99</f>
        <v>5554</v>
      </c>
      <c r="B98" s="435" t="str">
        <f>+'B) D RI'!B99</f>
        <v>Concise</v>
      </c>
      <c r="C98" s="432">
        <v>515180.95743669727</v>
      </c>
      <c r="D98" s="233">
        <f>VLOOKUP(B98,Synthèse!B98:F406,5,FALSE)</f>
        <v>578180.48759965913</v>
      </c>
      <c r="E98" s="329">
        <f t="shared" si="3"/>
        <v>62999.530162961863</v>
      </c>
      <c r="F98" s="470">
        <v>22758.664703854098</v>
      </c>
      <c r="G98" s="233">
        <v>11123.485624455425</v>
      </c>
      <c r="H98" s="329">
        <f t="shared" si="4"/>
        <v>-11635.179079398673</v>
      </c>
      <c r="I98" s="432">
        <v>91155.98671121712</v>
      </c>
      <c r="J98" s="233">
        <f>VLOOKUP(B98,'M) Police'!B98:O398,14,FALSE)</f>
        <v>92184.656861734446</v>
      </c>
      <c r="K98" s="329">
        <f t="shared" si="5"/>
        <v>1028.670150517326</v>
      </c>
    </row>
    <row r="99" spans="1:11" x14ac:dyDescent="0.25">
      <c r="A99" s="159">
        <f>+'B) D RI'!A100</f>
        <v>5555</v>
      </c>
      <c r="B99" s="435" t="str">
        <f>+'B) D RI'!B100</f>
        <v>Corcelles-près-Concise</v>
      </c>
      <c r="C99" s="432">
        <v>208259.80920206429</v>
      </c>
      <c r="D99" s="233">
        <f>VLOOKUP(B99,Synthèse!B99:F407,5,FALSE)</f>
        <v>236907.72776799268</v>
      </c>
      <c r="E99" s="329">
        <f t="shared" si="3"/>
        <v>28647.918565928383</v>
      </c>
      <c r="F99" s="470">
        <v>-54391.558288731176</v>
      </c>
      <c r="G99" s="233">
        <v>-38153.539838470344</v>
      </c>
      <c r="H99" s="329">
        <f t="shared" si="4"/>
        <v>16238.018450260832</v>
      </c>
      <c r="I99" s="432">
        <v>34333.363243545478</v>
      </c>
      <c r="J99" s="233">
        <f>VLOOKUP(B99,'M) Police'!B99:O399,14,FALSE)</f>
        <v>39802.444002671517</v>
      </c>
      <c r="K99" s="329">
        <f t="shared" si="5"/>
        <v>5469.0807591260382</v>
      </c>
    </row>
    <row r="100" spans="1:11" x14ac:dyDescent="0.25">
      <c r="A100" s="159">
        <f>+'B) D RI'!A101</f>
        <v>5556</v>
      </c>
      <c r="B100" s="435" t="str">
        <f>+'B) D RI'!B101</f>
        <v>Fiez</v>
      </c>
      <c r="C100" s="432">
        <v>213480.60897623253</v>
      </c>
      <c r="D100" s="233">
        <f>VLOOKUP(B100,Synthèse!B100:F408,5,FALSE)</f>
        <v>233715.54761505467</v>
      </c>
      <c r="E100" s="329">
        <f t="shared" si="3"/>
        <v>20234.938638822146</v>
      </c>
      <c r="F100" s="470">
        <v>23341.877462093711</v>
      </c>
      <c r="G100" s="233">
        <v>23473.065105395643</v>
      </c>
      <c r="H100" s="329">
        <f t="shared" si="4"/>
        <v>131.18764330193153</v>
      </c>
      <c r="I100" s="432">
        <v>39303.407969504355</v>
      </c>
      <c r="J100" s="233">
        <f>VLOOKUP(B100,'M) Police'!B100:O400,14,FALSE)</f>
        <v>39119.291287799562</v>
      </c>
      <c r="K100" s="329">
        <f t="shared" si="5"/>
        <v>-184.11668170479243</v>
      </c>
    </row>
    <row r="101" spans="1:11" x14ac:dyDescent="0.25">
      <c r="A101" s="159">
        <f>+'B) D RI'!A102</f>
        <v>5557</v>
      </c>
      <c r="B101" s="435" t="str">
        <f>+'B) D RI'!B102</f>
        <v>Fontaines-sur-Grandson</v>
      </c>
      <c r="C101" s="432">
        <v>78506.011855483273</v>
      </c>
      <c r="D101" s="233">
        <f>VLOOKUP(B101,Synthèse!B101:F409,5,FALSE)</f>
        <v>102647.4664359577</v>
      </c>
      <c r="E101" s="329">
        <f t="shared" si="3"/>
        <v>24141.454580474427</v>
      </c>
      <c r="F101" s="470">
        <v>-75462.172476855616</v>
      </c>
      <c r="G101" s="233">
        <v>-50383.590823569291</v>
      </c>
      <c r="H101" s="329">
        <f t="shared" si="4"/>
        <v>25078.581653286325</v>
      </c>
      <c r="I101" s="432">
        <v>12427.107734779052</v>
      </c>
      <c r="J101" s="233">
        <f>VLOOKUP(B101,'M) Police'!B101:O401,14,FALSE)</f>
        <v>16901.684612485005</v>
      </c>
      <c r="K101" s="329">
        <f t="shared" si="5"/>
        <v>4474.5768777059529</v>
      </c>
    </row>
    <row r="102" spans="1:11" x14ac:dyDescent="0.25">
      <c r="A102" s="159">
        <f>+'B) D RI'!A103</f>
        <v>5559</v>
      </c>
      <c r="B102" s="435" t="str">
        <f>+'B) D RI'!B103</f>
        <v>Giez</v>
      </c>
      <c r="C102" s="432">
        <v>441965.99366533163</v>
      </c>
      <c r="D102" s="233">
        <f>VLOOKUP(B102,Synthèse!B102:F410,5,FALSE)</f>
        <v>415748.15193441528</v>
      </c>
      <c r="E102" s="329">
        <f t="shared" si="3"/>
        <v>-26217.841730916349</v>
      </c>
      <c r="F102" s="470">
        <v>295232.26268252189</v>
      </c>
      <c r="G102" s="233">
        <v>340468.36224627885</v>
      </c>
      <c r="H102" s="329">
        <f t="shared" si="4"/>
        <v>45236.099563756958</v>
      </c>
      <c r="I102" s="432">
        <v>57304.046385508016</v>
      </c>
      <c r="J102" s="233">
        <f>VLOOKUP(B102,'M) Police'!B102:O402,14,FALSE)</f>
        <v>60779.652230518419</v>
      </c>
      <c r="K102" s="329">
        <f t="shared" si="5"/>
        <v>3475.6058450104028</v>
      </c>
    </row>
    <row r="103" spans="1:11" x14ac:dyDescent="0.25">
      <c r="A103" s="159">
        <f>+'B) D RI'!A104</f>
        <v>5560</v>
      </c>
      <c r="B103" s="435" t="str">
        <f>+'B) D RI'!B104</f>
        <v>Grandevent</v>
      </c>
      <c r="C103" s="432">
        <v>103392.22637772764</v>
      </c>
      <c r="D103" s="233">
        <f>VLOOKUP(B103,Synthèse!B103:F411,5,FALSE)</f>
        <v>130904.6902604054</v>
      </c>
      <c r="E103" s="329">
        <f t="shared" si="3"/>
        <v>27512.463882677766</v>
      </c>
      <c r="F103" s="470">
        <v>4686.9742875896773</v>
      </c>
      <c r="G103" s="233">
        <v>32120.649376175155</v>
      </c>
      <c r="H103" s="329">
        <f t="shared" si="4"/>
        <v>27433.675088585478</v>
      </c>
      <c r="I103" s="432">
        <v>20107.4780399632</v>
      </c>
      <c r="J103" s="233">
        <f>VLOOKUP(B103,'M) Police'!B103:O403,14,FALSE)</f>
        <v>23009.962420005842</v>
      </c>
      <c r="K103" s="329">
        <f t="shared" si="5"/>
        <v>2902.4843800426424</v>
      </c>
    </row>
    <row r="104" spans="1:11" x14ac:dyDescent="0.25">
      <c r="A104" s="159">
        <f>+'B) D RI'!A105</f>
        <v>5561</v>
      </c>
      <c r="B104" s="435" t="str">
        <f>+'B) D RI'!B105</f>
        <v>Grandson</v>
      </c>
      <c r="C104" s="432">
        <v>2182204.8343348298</v>
      </c>
      <c r="D104" s="233">
        <f>VLOOKUP(B104,Synthèse!B104:F412,5,FALSE)</f>
        <v>2302842.3672370119</v>
      </c>
      <c r="E104" s="329">
        <f t="shared" si="3"/>
        <v>120637.53290218208</v>
      </c>
      <c r="F104" s="470">
        <v>-191660.8971714708</v>
      </c>
      <c r="G104" s="233">
        <v>145989.12167792756</v>
      </c>
      <c r="H104" s="329">
        <f t="shared" si="4"/>
        <v>337650.01884939836</v>
      </c>
      <c r="I104" s="432">
        <v>363600.7663802139</v>
      </c>
      <c r="J104" s="233">
        <f>VLOOKUP(B104,'M) Police'!B104:O404,14,FALSE)</f>
        <v>385673.78885800566</v>
      </c>
      <c r="K104" s="329">
        <f t="shared" si="5"/>
        <v>22073.022477791761</v>
      </c>
    </row>
    <row r="105" spans="1:11" x14ac:dyDescent="0.25">
      <c r="A105" s="159">
        <f>+'B) D RI'!A106</f>
        <v>5562</v>
      </c>
      <c r="B105" s="435" t="str">
        <f>+'B) D RI'!B106</f>
        <v>Mauborget</v>
      </c>
      <c r="C105" s="432">
        <v>63392.48660933182</v>
      </c>
      <c r="D105" s="233">
        <f>VLOOKUP(B105,Synthèse!B105:F413,5,FALSE)</f>
        <v>94476.520709423581</v>
      </c>
      <c r="E105" s="329">
        <f t="shared" si="3"/>
        <v>31084.034100091762</v>
      </c>
      <c r="F105" s="470">
        <v>-551.16455882187438</v>
      </c>
      <c r="G105" s="233">
        <v>69736.586930382822</v>
      </c>
      <c r="H105" s="329">
        <f t="shared" si="4"/>
        <v>70287.751489204704</v>
      </c>
      <c r="I105" s="432">
        <v>11223.88188347303</v>
      </c>
      <c r="J105" s="233">
        <f>VLOOKUP(B105,'M) Police'!B105:O405,14,FALSE)</f>
        <v>16263.560143515138</v>
      </c>
      <c r="K105" s="329">
        <f t="shared" si="5"/>
        <v>5039.6782600421084</v>
      </c>
    </row>
    <row r="106" spans="1:11" x14ac:dyDescent="0.25">
      <c r="A106" s="159">
        <f>+'B) D RI'!A107</f>
        <v>5563</v>
      </c>
      <c r="B106" s="435" t="str">
        <f>+'B) D RI'!B107</f>
        <v>Mutrux</v>
      </c>
      <c r="C106" s="432">
        <v>78044.999398174492</v>
      </c>
      <c r="D106" s="233">
        <f>VLOOKUP(B106,Synthèse!B106:F414,5,FALSE)</f>
        <v>54091.415504555254</v>
      </c>
      <c r="E106" s="329">
        <f t="shared" si="3"/>
        <v>-23953.583893619238</v>
      </c>
      <c r="F106" s="470">
        <v>-32648.906766272623</v>
      </c>
      <c r="G106" s="233">
        <v>-73130.615425276599</v>
      </c>
      <c r="H106" s="329">
        <f t="shared" si="4"/>
        <v>-40481.708659003976</v>
      </c>
      <c r="I106" s="432">
        <v>13601.402546412137</v>
      </c>
      <c r="J106" s="233">
        <f>VLOOKUP(B106,'M) Police'!B106:O406,14,FALSE)</f>
        <v>10236.49509153185</v>
      </c>
      <c r="K106" s="329">
        <f t="shared" si="5"/>
        <v>-3364.9074548802873</v>
      </c>
    </row>
    <row r="107" spans="1:11" x14ac:dyDescent="0.25">
      <c r="A107" s="159">
        <f>+'B) D RI'!A108</f>
        <v>5564</v>
      </c>
      <c r="B107" s="435" t="str">
        <f>+'B) D RI'!B108</f>
        <v>Novalles</v>
      </c>
      <c r="C107" s="432">
        <v>46157.290294648425</v>
      </c>
      <c r="D107" s="233">
        <f>VLOOKUP(B107,Synthèse!B107:F415,5,FALSE)</f>
        <v>55823.213473270596</v>
      </c>
      <c r="E107" s="329">
        <f t="shared" si="3"/>
        <v>9665.9231786221717</v>
      </c>
      <c r="F107" s="470">
        <v>-38817.367180130772</v>
      </c>
      <c r="G107" s="233">
        <v>-4765.4664213076503</v>
      </c>
      <c r="H107" s="329">
        <f t="shared" si="4"/>
        <v>34051.900758823118</v>
      </c>
      <c r="I107" s="432">
        <v>6489.0904458539808</v>
      </c>
      <c r="J107" s="233">
        <f>VLOOKUP(B107,'M) Police'!B107:O407,14,FALSE)</f>
        <v>8991.5617847181475</v>
      </c>
      <c r="K107" s="329">
        <f t="shared" si="5"/>
        <v>2502.4713388641667</v>
      </c>
    </row>
    <row r="108" spans="1:11" x14ac:dyDescent="0.25">
      <c r="A108" s="159">
        <f>+'B) D RI'!A109</f>
        <v>5565</v>
      </c>
      <c r="B108" s="435" t="str">
        <f>+'B) D RI'!B109</f>
        <v>Onnens</v>
      </c>
      <c r="C108" s="432">
        <v>288305.00604240404</v>
      </c>
      <c r="D108" s="233">
        <f>VLOOKUP(B108,Synthèse!B108:F416,5,FALSE)</f>
        <v>361664.56521130796</v>
      </c>
      <c r="E108" s="329">
        <f t="shared" si="3"/>
        <v>73359.559168903914</v>
      </c>
      <c r="F108" s="470">
        <v>147810.87295308709</v>
      </c>
      <c r="G108" s="233">
        <v>277958.7121119501</v>
      </c>
      <c r="H108" s="329">
        <f t="shared" si="4"/>
        <v>130147.839158863</v>
      </c>
      <c r="I108" s="432">
        <v>54906.40259760835</v>
      </c>
      <c r="J108" s="233">
        <f>VLOOKUP(B108,'M) Police'!B108:O408,14,FALSE)</f>
        <v>65806.0431732422</v>
      </c>
      <c r="K108" s="329">
        <f t="shared" si="5"/>
        <v>10899.64057563385</v>
      </c>
    </row>
    <row r="109" spans="1:11" x14ac:dyDescent="0.25">
      <c r="A109" s="159">
        <f>+'B) D RI'!A110</f>
        <v>5566</v>
      </c>
      <c r="B109" s="435" t="str">
        <f>+'B) D RI'!B110</f>
        <v>Provence</v>
      </c>
      <c r="C109" s="432">
        <v>177842.89924823426</v>
      </c>
      <c r="D109" s="233">
        <f>VLOOKUP(B109,Synthèse!B109:F417,5,FALSE)</f>
        <v>166862.38309871434</v>
      </c>
      <c r="E109" s="329">
        <f t="shared" si="3"/>
        <v>-10980.516149519914</v>
      </c>
      <c r="F109" s="470">
        <v>-242915.41182387387</v>
      </c>
      <c r="G109" s="233">
        <v>-215703.20354007964</v>
      </c>
      <c r="H109" s="329">
        <f t="shared" si="4"/>
        <v>27212.208283794229</v>
      </c>
      <c r="I109" s="432">
        <v>27105.090862420599</v>
      </c>
      <c r="J109" s="233">
        <f>VLOOKUP(B109,'M) Police'!B109:O409,14,FALSE)</f>
        <v>25503.753023805926</v>
      </c>
      <c r="K109" s="329">
        <f t="shared" si="5"/>
        <v>-1601.3378386146724</v>
      </c>
    </row>
    <row r="110" spans="1:11" x14ac:dyDescent="0.25">
      <c r="A110" s="159">
        <f>+'B) D RI'!A111</f>
        <v>5568</v>
      </c>
      <c r="B110" s="435" t="str">
        <f>+'B) D RI'!B111</f>
        <v>Sainte-Croix</v>
      </c>
      <c r="C110" s="432">
        <v>2332946.2998052933</v>
      </c>
      <c r="D110" s="233">
        <f>VLOOKUP(B110,Synthèse!B110:F418,5,FALSE)</f>
        <v>2314939.634079393</v>
      </c>
      <c r="E110" s="329">
        <f t="shared" si="3"/>
        <v>-18006.665725900326</v>
      </c>
      <c r="F110" s="470">
        <v>-3329207.876775586</v>
      </c>
      <c r="G110" s="233">
        <v>-2984692.4372819425</v>
      </c>
      <c r="H110" s="329">
        <f t="shared" si="4"/>
        <v>344515.43949364359</v>
      </c>
      <c r="I110" s="432">
        <v>301263.16308517841</v>
      </c>
      <c r="J110" s="233">
        <f>VLOOKUP(B110,'M) Police'!B110:O410,14,FALSE)</f>
        <v>316414.62372875318</v>
      </c>
      <c r="K110" s="329">
        <f t="shared" si="5"/>
        <v>15151.46064357477</v>
      </c>
    </row>
    <row r="111" spans="1:11" x14ac:dyDescent="0.25">
      <c r="A111" s="159">
        <f>+'B) D RI'!A112</f>
        <v>5571</v>
      </c>
      <c r="B111" s="435" t="str">
        <f>+'B) D RI'!B112</f>
        <v>Tévenon</v>
      </c>
      <c r="C111" s="432">
        <v>515073.76611054526</v>
      </c>
      <c r="D111" s="233">
        <f>VLOOKUP(B111,Synthèse!B111:F419,5,FALSE)</f>
        <v>413947.87758212717</v>
      </c>
      <c r="E111" s="329">
        <f t="shared" si="3"/>
        <v>-101125.88852841809</v>
      </c>
      <c r="F111" s="470">
        <v>-131341.87307660299</v>
      </c>
      <c r="G111" s="233">
        <v>-128555.09451991404</v>
      </c>
      <c r="H111" s="329">
        <f t="shared" si="4"/>
        <v>2786.7785566889506</v>
      </c>
      <c r="I111" s="432">
        <v>65444.468658360536</v>
      </c>
      <c r="J111" s="233">
        <f>VLOOKUP(B111,'M) Police'!B111:O411,14,FALSE)</f>
        <v>68633.046551764113</v>
      </c>
      <c r="K111" s="329">
        <f t="shared" si="5"/>
        <v>3188.577893403577</v>
      </c>
    </row>
    <row r="112" spans="1:11" x14ac:dyDescent="0.25">
      <c r="A112" s="159">
        <f>+'B) D RI'!A113</f>
        <v>5581</v>
      </c>
      <c r="B112" s="435" t="str">
        <f>+'B) D RI'!B113</f>
        <v>Belmont-sur-Lausanne</v>
      </c>
      <c r="C112" s="432">
        <v>3150862.8495600861</v>
      </c>
      <c r="D112" s="233">
        <f>VLOOKUP(B112,Synthèse!B112:F420,5,FALSE)</f>
        <v>3402402.5828547454</v>
      </c>
      <c r="E112" s="329">
        <f t="shared" si="3"/>
        <v>251539.73329465929</v>
      </c>
      <c r="F112" s="470">
        <v>1847742.9142836451</v>
      </c>
      <c r="G112" s="233">
        <v>1699674.4670944049</v>
      </c>
      <c r="H112" s="329">
        <f t="shared" si="4"/>
        <v>-148068.44718924025</v>
      </c>
      <c r="I112" s="432">
        <v>243515.92310777103</v>
      </c>
      <c r="J112" s="233">
        <f>VLOOKUP(B112,'M) Police'!B112:O412,14,FALSE)</f>
        <v>233734.0245878592</v>
      </c>
      <c r="K112" s="329">
        <f t="shared" si="5"/>
        <v>-9781.8985199118324</v>
      </c>
    </row>
    <row r="113" spans="1:11" x14ac:dyDescent="0.25">
      <c r="A113" s="159">
        <f>+'B) D RI'!A114</f>
        <v>5582</v>
      </c>
      <c r="B113" s="435" t="str">
        <f>+'B) D RI'!B114</f>
        <v>Cheseaux-sur-Lausanne</v>
      </c>
      <c r="C113" s="432">
        <v>3528663.4510750086</v>
      </c>
      <c r="D113" s="233">
        <f>VLOOKUP(B113,Synthèse!B113:F421,5,FALSE)</f>
        <v>3009985.984790151</v>
      </c>
      <c r="E113" s="329">
        <f t="shared" si="3"/>
        <v>-518677.4662848576</v>
      </c>
      <c r="F113" s="470">
        <v>2315734.7285596998</v>
      </c>
      <c r="G113" s="233">
        <v>1299615.8387981229</v>
      </c>
      <c r="H113" s="329">
        <f t="shared" si="4"/>
        <v>-1016118.8897615769</v>
      </c>
      <c r="I113" s="432">
        <v>642115.37809733138</v>
      </c>
      <c r="J113" s="233">
        <f>VLOOKUP(B113,'M) Police'!B113:O413,14,FALSE)</f>
        <v>550454.20774536754</v>
      </c>
      <c r="K113" s="329">
        <f t="shared" si="5"/>
        <v>-91661.170351963839</v>
      </c>
    </row>
    <row r="114" spans="1:11" x14ac:dyDescent="0.25">
      <c r="A114" s="159">
        <f>+'B) D RI'!A115</f>
        <v>5583</v>
      </c>
      <c r="B114" s="435" t="str">
        <f>+'B) D RI'!B115</f>
        <v>Crissier</v>
      </c>
      <c r="C114" s="432">
        <v>5553587.0135514196</v>
      </c>
      <c r="D114" s="233">
        <f>VLOOKUP(B114,Synthèse!B114:F422,5,FALSE)</f>
        <v>7140797.8733274527</v>
      </c>
      <c r="E114" s="329">
        <f t="shared" si="3"/>
        <v>1587210.8597760331</v>
      </c>
      <c r="F114" s="470">
        <v>-223755.98213511426</v>
      </c>
      <c r="G114" s="233">
        <v>795706.02332428819</v>
      </c>
      <c r="H114" s="329">
        <f t="shared" si="4"/>
        <v>1019462.0054594025</v>
      </c>
      <c r="I114" s="432">
        <v>405863.80652783276</v>
      </c>
      <c r="J114" s="233">
        <f>VLOOKUP(B114,'M) Police'!B114:O414,14,FALSE)</f>
        <v>426584.42035322805</v>
      </c>
      <c r="K114" s="329">
        <f t="shared" si="5"/>
        <v>20720.613825395296</v>
      </c>
    </row>
    <row r="115" spans="1:11" x14ac:dyDescent="0.25">
      <c r="A115" s="159">
        <f>+'B) D RI'!A116</f>
        <v>5584</v>
      </c>
      <c r="B115" s="435" t="str">
        <f>+'B) D RI'!B116</f>
        <v>Epalinges</v>
      </c>
      <c r="C115" s="432">
        <v>9152085.4364637248</v>
      </c>
      <c r="D115" s="233">
        <f>VLOOKUP(B115,Synthèse!B115:F423,5,FALSE)</f>
        <v>10686723.640535511</v>
      </c>
      <c r="E115" s="329">
        <f t="shared" si="3"/>
        <v>1534638.2040717863</v>
      </c>
      <c r="F115" s="470">
        <v>1175264.9803528721</v>
      </c>
      <c r="G115" s="233">
        <v>1077800.5821279008</v>
      </c>
      <c r="H115" s="329">
        <f t="shared" si="4"/>
        <v>-97464.398224971257</v>
      </c>
      <c r="I115" s="432">
        <v>1399618.6193262129</v>
      </c>
      <c r="J115" s="233">
        <f>VLOOKUP(B115,'M) Police'!B115:O415,14,FALSE)</f>
        <v>1407705.7083999347</v>
      </c>
      <c r="K115" s="329">
        <f t="shared" si="5"/>
        <v>8087.0890737217851</v>
      </c>
    </row>
    <row r="116" spans="1:11" x14ac:dyDescent="0.25">
      <c r="A116" s="159">
        <f>+'B) D RI'!A117</f>
        <v>5585</v>
      </c>
      <c r="B116" s="435" t="str">
        <f>+'B) D RI'!B117</f>
        <v>Jouxtens-Mézery</v>
      </c>
      <c r="C116" s="432">
        <v>6391322.2221203959</v>
      </c>
      <c r="D116" s="233">
        <f>VLOOKUP(B116,Synthèse!B116:F424,5,FALSE)</f>
        <v>6838772.0254295766</v>
      </c>
      <c r="E116" s="329">
        <f t="shared" si="3"/>
        <v>447449.80330918077</v>
      </c>
      <c r="F116" s="470">
        <v>2678255.1307097925</v>
      </c>
      <c r="G116" s="233">
        <v>3169026.7821175931</v>
      </c>
      <c r="H116" s="329">
        <f t="shared" si="4"/>
        <v>490771.65140780061</v>
      </c>
      <c r="I116" s="432">
        <v>348861.98606932041</v>
      </c>
      <c r="J116" s="233">
        <f>VLOOKUP(B116,'M) Police'!B116:O416,14,FALSE)</f>
        <v>357156.75364339678</v>
      </c>
      <c r="K116" s="329">
        <f t="shared" si="5"/>
        <v>8294.7675740763661</v>
      </c>
    </row>
    <row r="117" spans="1:11" x14ac:dyDescent="0.25">
      <c r="A117" s="159">
        <f>+'B) D RI'!A118</f>
        <v>5586</v>
      </c>
      <c r="B117" s="435" t="str">
        <f>+'B) D RI'!B118</f>
        <v>Lausanne</v>
      </c>
      <c r="C117" s="432">
        <v>107536585.06442791</v>
      </c>
      <c r="D117" s="233">
        <f>VLOOKUP(B117,Synthèse!B117:F425,5,FALSE)</f>
        <v>110479719.5812521</v>
      </c>
      <c r="E117" s="329">
        <f t="shared" si="3"/>
        <v>2943134.5168241858</v>
      </c>
      <c r="F117" s="470">
        <v>-70416740.598020673</v>
      </c>
      <c r="G117" s="233">
        <v>-81181803.609201699</v>
      </c>
      <c r="H117" s="329">
        <f t="shared" si="4"/>
        <v>-10765063.011181027</v>
      </c>
      <c r="I117" s="432">
        <v>7909755.6649899334</v>
      </c>
      <c r="J117" s="233">
        <f>VLOOKUP(B117,'M) Police'!B117:O417,14,FALSE)</f>
        <v>7458977.7196133723</v>
      </c>
      <c r="K117" s="329">
        <f t="shared" si="5"/>
        <v>-450777.94537656102</v>
      </c>
    </row>
    <row r="118" spans="1:11" x14ac:dyDescent="0.25">
      <c r="A118" s="159">
        <f>+'B) D RI'!A119</f>
        <v>5587</v>
      </c>
      <c r="B118" s="435" t="str">
        <f>+'B) D RI'!B119</f>
        <v>Le Mont-sur-Lausanne</v>
      </c>
      <c r="C118" s="432">
        <v>7348713.6283689076</v>
      </c>
      <c r="D118" s="233">
        <f>VLOOKUP(B118,Synthèse!B118:F426,5,FALSE)</f>
        <v>7235477.1323313424</v>
      </c>
      <c r="E118" s="329">
        <f t="shared" si="3"/>
        <v>-113236.49603756517</v>
      </c>
      <c r="F118" s="470">
        <v>2116359.0686823549</v>
      </c>
      <c r="G118" s="233">
        <v>2033113.4324236452</v>
      </c>
      <c r="H118" s="329">
        <f t="shared" si="4"/>
        <v>-83245.63625870971</v>
      </c>
      <c r="I118" s="432">
        <v>1221672.2296107151</v>
      </c>
      <c r="J118" s="233">
        <f>VLOOKUP(B118,'M) Police'!B118:O418,14,FALSE)</f>
        <v>1260693.4961105315</v>
      </c>
      <c r="K118" s="329">
        <f t="shared" si="5"/>
        <v>39021.26649981644</v>
      </c>
    </row>
    <row r="119" spans="1:11" x14ac:dyDescent="0.25">
      <c r="A119" s="159">
        <f>+'B) D RI'!A120</f>
        <v>5588</v>
      </c>
      <c r="B119" s="435" t="str">
        <f>+'B) D RI'!B120</f>
        <v>Paudex</v>
      </c>
      <c r="C119" s="432">
        <v>4636858.973893242</v>
      </c>
      <c r="D119" s="233">
        <f>VLOOKUP(B119,Synthèse!B119:F427,5,FALSE)</f>
        <v>2918344.8335107453</v>
      </c>
      <c r="E119" s="329">
        <f t="shared" si="3"/>
        <v>-1718514.1403824966</v>
      </c>
      <c r="F119" s="470">
        <v>2409460.4773391462</v>
      </c>
      <c r="G119" s="233">
        <v>1910143.9653228053</v>
      </c>
      <c r="H119" s="329">
        <f t="shared" si="4"/>
        <v>-499316.51201634086</v>
      </c>
      <c r="I119" s="432">
        <v>184923.82151453526</v>
      </c>
      <c r="J119" s="233">
        <f>VLOOKUP(B119,'M) Police'!B119:O419,14,FALSE)</f>
        <v>143289.86344400409</v>
      </c>
      <c r="K119" s="329">
        <f t="shared" si="5"/>
        <v>-41633.958070531167</v>
      </c>
    </row>
    <row r="120" spans="1:11" x14ac:dyDescent="0.25">
      <c r="A120" s="159">
        <f>+'B) D RI'!A121</f>
        <v>5589</v>
      </c>
      <c r="B120" s="435" t="str">
        <f>+'B) D RI'!B121</f>
        <v>Prilly</v>
      </c>
      <c r="C120" s="432">
        <v>8202721.6966108289</v>
      </c>
      <c r="D120" s="233">
        <f>VLOOKUP(B120,Synthèse!B120:F428,5,FALSE)</f>
        <v>7472473.0049135014</v>
      </c>
      <c r="E120" s="329">
        <f t="shared" si="3"/>
        <v>-730248.69169732742</v>
      </c>
      <c r="F120" s="470">
        <v>-2308317.5462629991</v>
      </c>
      <c r="G120" s="233">
        <v>-4098572.7906467975</v>
      </c>
      <c r="H120" s="329">
        <f t="shared" si="4"/>
        <v>-1790255.2443837984</v>
      </c>
      <c r="I120" s="432">
        <v>569688.99738944054</v>
      </c>
      <c r="J120" s="233">
        <f>VLOOKUP(B120,'M) Police'!B120:O420,14,FALSE)</f>
        <v>529754.94749597774</v>
      </c>
      <c r="K120" s="329">
        <f t="shared" si="5"/>
        <v>-39934.049893462798</v>
      </c>
    </row>
    <row r="121" spans="1:11" x14ac:dyDescent="0.25">
      <c r="A121" s="159">
        <f>+'B) D RI'!A122</f>
        <v>5590</v>
      </c>
      <c r="B121" s="435" t="str">
        <f>+'B) D RI'!B122</f>
        <v>Pully</v>
      </c>
      <c r="C121" s="432">
        <v>34357053.464080453</v>
      </c>
      <c r="D121" s="233">
        <f>VLOOKUP(B121,Synthèse!B121:F429,5,FALSE)</f>
        <v>35691411.196599394</v>
      </c>
      <c r="E121" s="329">
        <f t="shared" si="3"/>
        <v>1334357.7325189412</v>
      </c>
      <c r="F121" s="470">
        <v>11149736.391950743</v>
      </c>
      <c r="G121" s="233">
        <v>9545645.0768871158</v>
      </c>
      <c r="H121" s="329">
        <f t="shared" si="4"/>
        <v>-1604091.3150636274</v>
      </c>
      <c r="I121" s="432">
        <v>1743238.8928126988</v>
      </c>
      <c r="J121" s="233">
        <f>VLOOKUP(B121,'M) Police'!B121:O421,14,FALSE)</f>
        <v>1652029.9793145296</v>
      </c>
      <c r="K121" s="329">
        <f t="shared" si="5"/>
        <v>-91208.913498169277</v>
      </c>
    </row>
    <row r="122" spans="1:11" x14ac:dyDescent="0.25">
      <c r="A122" s="159">
        <f>+'B) D RI'!A123</f>
        <v>5591</v>
      </c>
      <c r="B122" s="435" t="str">
        <f>+'B) D RI'!B123</f>
        <v>Renens</v>
      </c>
      <c r="C122" s="432">
        <v>9697265.5253980719</v>
      </c>
      <c r="D122" s="233">
        <f>VLOOKUP(B122,Synthèse!B122:F430,5,FALSE)</f>
        <v>11478932.40415002</v>
      </c>
      <c r="E122" s="329">
        <f t="shared" si="3"/>
        <v>1781666.8787519485</v>
      </c>
      <c r="F122" s="470">
        <v>-18607893.585854575</v>
      </c>
      <c r="G122" s="233">
        <v>-19138761.54466141</v>
      </c>
      <c r="H122" s="329">
        <f t="shared" si="4"/>
        <v>-530867.95880683511</v>
      </c>
      <c r="I122" s="432">
        <v>689561.01348204562</v>
      </c>
      <c r="J122" s="233">
        <f>VLOOKUP(B122,'M) Police'!B122:O422,14,FALSE)</f>
        <v>721622.79721099453</v>
      </c>
      <c r="K122" s="329">
        <f t="shared" si="5"/>
        <v>32061.783728948911</v>
      </c>
    </row>
    <row r="123" spans="1:11" x14ac:dyDescent="0.25">
      <c r="A123" s="159">
        <f>+'B) D RI'!A124</f>
        <v>5592</v>
      </c>
      <c r="B123" s="435" t="str">
        <f>+'B) D RI'!B124</f>
        <v>Romanel-sur-Lausanne</v>
      </c>
      <c r="C123" s="432">
        <v>1958403.5639463358</v>
      </c>
      <c r="D123" s="233">
        <f>VLOOKUP(B123,Synthèse!B123:F431,5,FALSE)</f>
        <v>1921951.6449832679</v>
      </c>
      <c r="E123" s="329">
        <f t="shared" si="3"/>
        <v>-36451.918963067932</v>
      </c>
      <c r="F123" s="470">
        <v>344701.43508206127</v>
      </c>
      <c r="G123" s="233">
        <v>305526.94781823462</v>
      </c>
      <c r="H123" s="329">
        <f t="shared" si="4"/>
        <v>-39174.487263826653</v>
      </c>
      <c r="I123" s="432">
        <v>359429.77648529189</v>
      </c>
      <c r="J123" s="233">
        <f>VLOOKUP(B123,'M) Police'!B123:O423,14,FALSE)</f>
        <v>346742.3749750834</v>
      </c>
      <c r="K123" s="329">
        <f t="shared" si="5"/>
        <v>-12687.401510208496</v>
      </c>
    </row>
    <row r="124" spans="1:11" x14ac:dyDescent="0.25">
      <c r="A124" s="159">
        <f>+'B) D RI'!A125</f>
        <v>5601</v>
      </c>
      <c r="B124" s="435" t="str">
        <f>+'B) D RI'!B125</f>
        <v>Chexbres</v>
      </c>
      <c r="C124" s="432">
        <v>1785479.163502777</v>
      </c>
      <c r="D124" s="233">
        <f>VLOOKUP(B124,Synthèse!B124:F432,5,FALSE)</f>
        <v>1871865.9861869258</v>
      </c>
      <c r="E124" s="329">
        <f t="shared" si="3"/>
        <v>86386.822684148792</v>
      </c>
      <c r="F124" s="470">
        <v>1119700.3377115065</v>
      </c>
      <c r="G124" s="233">
        <v>1211187.5959483464</v>
      </c>
      <c r="H124" s="329">
        <f t="shared" si="4"/>
        <v>91487.258236839902</v>
      </c>
      <c r="I124" s="432">
        <v>129862.05694666103</v>
      </c>
      <c r="J124" s="233">
        <f>VLOOKUP(B124,'M) Police'!B124:O424,14,FALSE)</f>
        <v>127870.24660970089</v>
      </c>
      <c r="K124" s="329">
        <f t="shared" si="5"/>
        <v>-1991.8103369601449</v>
      </c>
    </row>
    <row r="125" spans="1:11" x14ac:dyDescent="0.25">
      <c r="A125" s="159">
        <f>+'B) D RI'!A126</f>
        <v>5604</v>
      </c>
      <c r="B125" s="435" t="str">
        <f>+'B) D RI'!B126</f>
        <v>Forel (Lavaux)</v>
      </c>
      <c r="C125" s="432">
        <v>1227288.1556597825</v>
      </c>
      <c r="D125" s="233">
        <f>VLOOKUP(B125,Synthèse!B125:F433,5,FALSE)</f>
        <v>1317869.5561890844</v>
      </c>
      <c r="E125" s="329">
        <f t="shared" si="3"/>
        <v>90581.400529301958</v>
      </c>
      <c r="F125" s="470">
        <v>196378.91745128372</v>
      </c>
      <c r="G125" s="233">
        <v>354805.92771198973</v>
      </c>
      <c r="H125" s="329">
        <f t="shared" si="4"/>
        <v>158427.01026070601</v>
      </c>
      <c r="I125" s="432">
        <v>224404.28283862351</v>
      </c>
      <c r="J125" s="233">
        <f>VLOOKUP(B125,'M) Police'!B125:O425,14,FALSE)</f>
        <v>235775.39033882384</v>
      </c>
      <c r="K125" s="329">
        <f t="shared" si="5"/>
        <v>11371.107500200334</v>
      </c>
    </row>
    <row r="126" spans="1:11" x14ac:dyDescent="0.25">
      <c r="A126" s="159">
        <f>+'B) D RI'!A127</f>
        <v>5606</v>
      </c>
      <c r="B126" s="435" t="str">
        <f>+'B) D RI'!B127</f>
        <v>Lutry</v>
      </c>
      <c r="C126" s="432">
        <v>19098497.312728494</v>
      </c>
      <c r="D126" s="233">
        <f>VLOOKUP(B126,Synthèse!B126:F434,5,FALSE)</f>
        <v>21119454.091036242</v>
      </c>
      <c r="E126" s="329">
        <f t="shared" si="3"/>
        <v>2020956.7783077471</v>
      </c>
      <c r="F126" s="470">
        <v>6786756.8865755256</v>
      </c>
      <c r="G126" s="233">
        <v>7416679.571719775</v>
      </c>
      <c r="H126" s="329">
        <f t="shared" si="4"/>
        <v>629922.68514424935</v>
      </c>
      <c r="I126" s="432">
        <v>947128.96673598257</v>
      </c>
      <c r="J126" s="233">
        <f>VLOOKUP(B126,'M) Police'!B126:O426,14,FALSE)</f>
        <v>970496.18579015206</v>
      </c>
      <c r="K126" s="329">
        <f t="shared" si="5"/>
        <v>23367.219054169487</v>
      </c>
    </row>
    <row r="127" spans="1:11" x14ac:dyDescent="0.25">
      <c r="A127" s="159">
        <f>+'B) D RI'!A128</f>
        <v>5607</v>
      </c>
      <c r="B127" s="435" t="str">
        <f>+'B) D RI'!B128</f>
        <v>Puidoux</v>
      </c>
      <c r="C127" s="432">
        <v>1898262.862625801</v>
      </c>
      <c r="D127" s="233">
        <f>VLOOKUP(B127,Synthèse!B127:F435,5,FALSE)</f>
        <v>2059974.6147459976</v>
      </c>
      <c r="E127" s="329">
        <f t="shared" si="3"/>
        <v>161711.75212019659</v>
      </c>
      <c r="F127" s="470">
        <v>-393140.3204904634</v>
      </c>
      <c r="G127" s="233">
        <v>325135.77748935018</v>
      </c>
      <c r="H127" s="329">
        <f t="shared" si="4"/>
        <v>718276.09797981358</v>
      </c>
      <c r="I127" s="432">
        <v>126478.84103339697</v>
      </c>
      <c r="J127" s="233">
        <f>VLOOKUP(B127,'M) Police'!B127:O427,14,FALSE)</f>
        <v>138958.03144541587</v>
      </c>
      <c r="K127" s="329">
        <f t="shared" si="5"/>
        <v>12479.190412018899</v>
      </c>
    </row>
    <row r="128" spans="1:11" x14ac:dyDescent="0.25">
      <c r="A128" s="159">
        <f>+'B) D RI'!A129</f>
        <v>5609</v>
      </c>
      <c r="B128" s="435" t="str">
        <f>+'B) D RI'!B129</f>
        <v>Rivaz</v>
      </c>
      <c r="C128" s="432">
        <v>293020.48204698216</v>
      </c>
      <c r="D128" s="233">
        <f>VLOOKUP(B128,Synthèse!B128:F436,5,FALSE)</f>
        <v>207586.41618621236</v>
      </c>
      <c r="E128" s="329">
        <f t="shared" si="3"/>
        <v>-85434.065860769799</v>
      </c>
      <c r="F128" s="470">
        <v>210172.41131103935</v>
      </c>
      <c r="G128" s="233">
        <v>152084.88605328923</v>
      </c>
      <c r="H128" s="329">
        <f t="shared" si="4"/>
        <v>-58087.525257750123</v>
      </c>
      <c r="I128" s="432">
        <v>21988.102669010699</v>
      </c>
      <c r="J128" s="233">
        <f>VLOOKUP(B128,'M) Police'!B128:O428,14,FALSE)</f>
        <v>16810.214514484884</v>
      </c>
      <c r="K128" s="329">
        <f t="shared" si="5"/>
        <v>-5177.8881545258155</v>
      </c>
    </row>
    <row r="129" spans="1:11" x14ac:dyDescent="0.25">
      <c r="A129" s="159">
        <f>+'B) D RI'!A130</f>
        <v>5610</v>
      </c>
      <c r="B129" s="435" t="str">
        <f>+'B) D RI'!B130</f>
        <v>St-Saphorin (Lavaux)</v>
      </c>
      <c r="C129" s="432">
        <v>375160.41594966501</v>
      </c>
      <c r="D129" s="233">
        <f>VLOOKUP(B129,Synthèse!B129:F437,5,FALSE)</f>
        <v>333443.07840950589</v>
      </c>
      <c r="E129" s="329">
        <f t="shared" si="3"/>
        <v>-41717.337540159118</v>
      </c>
      <c r="F129" s="470">
        <v>255270.59426592774</v>
      </c>
      <c r="G129" s="233">
        <v>346250.20291104028</v>
      </c>
      <c r="H129" s="329">
        <f t="shared" si="4"/>
        <v>90979.608645112545</v>
      </c>
      <c r="I129" s="432">
        <v>26048.550822401412</v>
      </c>
      <c r="J129" s="233">
        <f>VLOOKUP(B129,'M) Police'!B129:O429,14,FALSE)</f>
        <v>26727.004652744734</v>
      </c>
      <c r="K129" s="329">
        <f t="shared" si="5"/>
        <v>678.4538303433219</v>
      </c>
    </row>
    <row r="130" spans="1:11" x14ac:dyDescent="0.25">
      <c r="A130" s="159">
        <f>+'B) D RI'!A131</f>
        <v>5611</v>
      </c>
      <c r="B130" s="435" t="str">
        <f>+'B) D RI'!B131</f>
        <v>Savigny</v>
      </c>
      <c r="C130" s="432">
        <v>2042393.9542649062</v>
      </c>
      <c r="D130" s="233">
        <f>VLOOKUP(B130,Synthèse!B130:F438,5,FALSE)</f>
        <v>2856709.6186237587</v>
      </c>
      <c r="E130" s="329">
        <f t="shared" si="3"/>
        <v>814315.66435885243</v>
      </c>
      <c r="F130" s="470">
        <v>168362.80189549376</v>
      </c>
      <c r="G130" s="233">
        <v>1000982.3426433995</v>
      </c>
      <c r="H130" s="329">
        <f t="shared" si="4"/>
        <v>832619.54074790573</v>
      </c>
      <c r="I130" s="432">
        <v>150421.10580274896</v>
      </c>
      <c r="J130" s="233">
        <f>VLOOKUP(B130,'M) Police'!B130:O430,14,FALSE)</f>
        <v>171283.43447303801</v>
      </c>
      <c r="K130" s="329">
        <f t="shared" si="5"/>
        <v>20862.328670289047</v>
      </c>
    </row>
    <row r="131" spans="1:11" x14ac:dyDescent="0.25">
      <c r="A131" s="159">
        <f>+'B) D RI'!A132</f>
        <v>5613</v>
      </c>
      <c r="B131" s="435" t="str">
        <f>+'B) D RI'!B132</f>
        <v>Bourg-en-Lavaux</v>
      </c>
      <c r="C131" s="432">
        <v>5604022.0656588553</v>
      </c>
      <c r="D131" s="233">
        <f>VLOOKUP(B131,Synthèse!B131:F439,5,FALSE)</f>
        <v>5392500.8544032006</v>
      </c>
      <c r="E131" s="329">
        <f t="shared" si="3"/>
        <v>-211521.21125565469</v>
      </c>
      <c r="F131" s="470">
        <v>3436480.9981136234</v>
      </c>
      <c r="G131" s="233">
        <v>3494787.1874866728</v>
      </c>
      <c r="H131" s="329">
        <f t="shared" si="4"/>
        <v>58306.189373049419</v>
      </c>
      <c r="I131" s="432">
        <v>391672.93358639855</v>
      </c>
      <c r="J131" s="233">
        <f>VLOOKUP(B131,'M) Police'!B131:O431,14,FALSE)</f>
        <v>365566.55519708747</v>
      </c>
      <c r="K131" s="329">
        <f t="shared" si="5"/>
        <v>-26106.378389311081</v>
      </c>
    </row>
    <row r="132" spans="1:11" x14ac:dyDescent="0.25">
      <c r="A132" s="159">
        <f>+'B) D RI'!A133</f>
        <v>5621</v>
      </c>
      <c r="B132" s="435" t="str">
        <f>+'B) D RI'!B133</f>
        <v>Aclens</v>
      </c>
      <c r="C132" s="432">
        <v>490797.16628305963</v>
      </c>
      <c r="D132" s="233">
        <f>VLOOKUP(B132,Synthèse!B132:F440,5,FALSE)</f>
        <v>1038143.3396381473</v>
      </c>
      <c r="E132" s="329">
        <f t="shared" si="3"/>
        <v>547346.17335508764</v>
      </c>
      <c r="F132" s="470">
        <v>421373.37918487762</v>
      </c>
      <c r="G132" s="233">
        <v>630199.5305894682</v>
      </c>
      <c r="H132" s="329">
        <f t="shared" si="4"/>
        <v>208826.15140459058</v>
      </c>
      <c r="I132" s="432">
        <v>79100.20512598558</v>
      </c>
      <c r="J132" s="233">
        <f>VLOOKUP(B132,'M) Police'!B132:O432,14,FALSE)</f>
        <v>92727.083262799773</v>
      </c>
      <c r="K132" s="329">
        <f t="shared" si="5"/>
        <v>13626.878136814194</v>
      </c>
    </row>
    <row r="133" spans="1:11" x14ac:dyDescent="0.25">
      <c r="A133" s="159">
        <f>+'B) D RI'!A134</f>
        <v>5622</v>
      </c>
      <c r="B133" s="435" t="str">
        <f>+'B) D RI'!B134</f>
        <v>Bremblens</v>
      </c>
      <c r="C133" s="432">
        <v>727014.4868431366</v>
      </c>
      <c r="D133" s="233">
        <f>VLOOKUP(B133,Synthèse!B133:F441,5,FALSE)</f>
        <v>503492.42602582183</v>
      </c>
      <c r="E133" s="329">
        <f t="shared" si="3"/>
        <v>-223522.06081731478</v>
      </c>
      <c r="F133" s="470">
        <v>550803.02802833554</v>
      </c>
      <c r="G133" s="233">
        <v>421267.13010228012</v>
      </c>
      <c r="H133" s="329">
        <f t="shared" si="4"/>
        <v>-129535.89792605542</v>
      </c>
      <c r="I133" s="432">
        <v>86405.550915139378</v>
      </c>
      <c r="J133" s="233">
        <f>VLOOKUP(B133,'M) Police'!B133:O433,14,FALSE)</f>
        <v>77847.778944275546</v>
      </c>
      <c r="K133" s="329">
        <f t="shared" si="5"/>
        <v>-8557.7719708638324</v>
      </c>
    </row>
    <row r="134" spans="1:11" x14ac:dyDescent="0.25">
      <c r="A134" s="159">
        <f>+'B) D RI'!A135</f>
        <v>5623</v>
      </c>
      <c r="B134" s="435" t="str">
        <f>+'B) D RI'!B135</f>
        <v>Buchillon</v>
      </c>
      <c r="C134" s="432">
        <v>3302115.2162844669</v>
      </c>
      <c r="D134" s="233">
        <f>VLOOKUP(B134,Synthèse!B134:F442,5,FALSE)</f>
        <v>3949023.0559674012</v>
      </c>
      <c r="E134" s="329">
        <f t="shared" si="3"/>
        <v>646907.83968293434</v>
      </c>
      <c r="F134" s="470">
        <v>405993.24220609874</v>
      </c>
      <c r="G134" s="233">
        <v>1376219.6157307122</v>
      </c>
      <c r="H134" s="329">
        <f t="shared" si="4"/>
        <v>970226.37352461345</v>
      </c>
      <c r="I134" s="432">
        <v>91689.160634217158</v>
      </c>
      <c r="J134" s="233">
        <f>VLOOKUP(B134,'M) Police'!B134:O434,14,FALSE)</f>
        <v>118819.11224748321</v>
      </c>
      <c r="K134" s="329">
        <f t="shared" si="5"/>
        <v>27129.95161326605</v>
      </c>
    </row>
    <row r="135" spans="1:11" x14ac:dyDescent="0.25">
      <c r="A135" s="159">
        <f>+'B) D RI'!A136</f>
        <v>5624</v>
      </c>
      <c r="B135" s="435" t="str">
        <f>+'B) D RI'!B136</f>
        <v>Bussigny</v>
      </c>
      <c r="C135" s="432">
        <v>6078938.3111614361</v>
      </c>
      <c r="D135" s="233">
        <f>VLOOKUP(B135,Synthèse!B135:F443,5,FALSE)</f>
        <v>7252605.1112402212</v>
      </c>
      <c r="E135" s="329">
        <f t="shared" ref="E135:E198" si="6">+D135-C135</f>
        <v>1173666.800078785</v>
      </c>
      <c r="F135" s="470">
        <v>1064222.5446945317</v>
      </c>
      <c r="G135" s="233">
        <v>1991495.5650809924</v>
      </c>
      <c r="H135" s="329">
        <f t="shared" ref="H135:H198" si="7">+G135-F135</f>
        <v>927273.0203864607</v>
      </c>
      <c r="I135" s="432">
        <v>435012.49961467291</v>
      </c>
      <c r="J135" s="233">
        <f>VLOOKUP(B135,'M) Police'!B135:O435,14,FALSE)</f>
        <v>477220.12285406236</v>
      </c>
      <c r="K135" s="329">
        <f t="shared" ref="K135:K198" si="8">+J135-I135</f>
        <v>42207.623239389446</v>
      </c>
    </row>
    <row r="136" spans="1:11" x14ac:dyDescent="0.25">
      <c r="A136" s="159">
        <f>+'B) D RI'!A137</f>
        <v>5625</v>
      </c>
      <c r="B136" s="435" t="str">
        <f>+'B) D RI'!B137</f>
        <v>Bussy-Chardonney</v>
      </c>
      <c r="C136" s="432">
        <v>264733.36879072268</v>
      </c>
      <c r="D136" s="233">
        <f>VLOOKUP(B136,Synthèse!B136:F444,5,FALSE)</f>
        <v>263574.41611392424</v>
      </c>
      <c r="E136" s="329">
        <f t="shared" si="6"/>
        <v>-1158.9526767984498</v>
      </c>
      <c r="F136" s="470">
        <v>102899.84366806275</v>
      </c>
      <c r="G136" s="233">
        <v>74202.592129996017</v>
      </c>
      <c r="H136" s="329">
        <f t="shared" si="7"/>
        <v>-28697.251538066732</v>
      </c>
      <c r="I136" s="432">
        <v>43065.924669430504</v>
      </c>
      <c r="J136" s="233">
        <f>VLOOKUP(B136,'M) Police'!B136:O436,14,FALSE)</f>
        <v>41291.140263000736</v>
      </c>
      <c r="K136" s="329">
        <f t="shared" si="8"/>
        <v>-1774.7844064297678</v>
      </c>
    </row>
    <row r="137" spans="1:11" x14ac:dyDescent="0.25">
      <c r="A137" s="159">
        <f>+'B) D RI'!A138</f>
        <v>5627</v>
      </c>
      <c r="B137" s="435" t="str">
        <f>+'B) D RI'!B138</f>
        <v>Chavannes-près-Renens</v>
      </c>
      <c r="C137" s="432">
        <v>2995884.8319486836</v>
      </c>
      <c r="D137" s="233">
        <f>VLOOKUP(B137,Synthèse!B137:F445,5,FALSE)</f>
        <v>3310375.6673193788</v>
      </c>
      <c r="E137" s="329">
        <f t="shared" si="6"/>
        <v>314490.83537069522</v>
      </c>
      <c r="F137" s="470">
        <v>-5433862.2794954795</v>
      </c>
      <c r="G137" s="233">
        <v>-5366063.352507473</v>
      </c>
      <c r="H137" s="329">
        <f t="shared" si="7"/>
        <v>67798.926988006569</v>
      </c>
      <c r="I137" s="432">
        <v>223632.84224044779</v>
      </c>
      <c r="J137" s="233">
        <f>VLOOKUP(B137,'M) Police'!B137:O437,14,FALSE)</f>
        <v>226504.14323249494</v>
      </c>
      <c r="K137" s="329">
        <f t="shared" si="8"/>
        <v>2871.3009920471522</v>
      </c>
    </row>
    <row r="138" spans="1:11" x14ac:dyDescent="0.25">
      <c r="A138" s="159">
        <f>+'B) D RI'!A139</f>
        <v>5628</v>
      </c>
      <c r="B138" s="435" t="str">
        <f>+'B) D RI'!B139</f>
        <v>Chigny</v>
      </c>
      <c r="C138" s="432">
        <v>338905.96950190637</v>
      </c>
      <c r="D138" s="233">
        <f>VLOOKUP(B138,Synthèse!B138:F446,5,FALSE)</f>
        <v>636094.25534406211</v>
      </c>
      <c r="E138" s="329">
        <f t="shared" si="6"/>
        <v>297188.28584215575</v>
      </c>
      <c r="F138" s="470">
        <v>329696.26520203875</v>
      </c>
      <c r="G138" s="233">
        <v>452377.07115657581</v>
      </c>
      <c r="H138" s="329">
        <f t="shared" si="7"/>
        <v>122680.80595453706</v>
      </c>
      <c r="I138" s="432">
        <v>54913.73626507938</v>
      </c>
      <c r="J138" s="233">
        <f>VLOOKUP(B138,'M) Police'!B138:O438,14,FALSE)</f>
        <v>62665.907295615689</v>
      </c>
      <c r="K138" s="329">
        <f t="shared" si="8"/>
        <v>7752.1710305363085</v>
      </c>
    </row>
    <row r="139" spans="1:11" x14ac:dyDescent="0.25">
      <c r="A139" s="159">
        <f>+'B) D RI'!A140</f>
        <v>5629</v>
      </c>
      <c r="B139" s="435" t="str">
        <f>+'B) D RI'!B140</f>
        <v>Clarmont</v>
      </c>
      <c r="C139" s="432">
        <v>154999.76337871223</v>
      </c>
      <c r="D139" s="233">
        <f>VLOOKUP(B139,Synthèse!B139:F447,5,FALSE)</f>
        <v>131815.70658534818</v>
      </c>
      <c r="E139" s="329">
        <f t="shared" si="6"/>
        <v>-23184.056793364056</v>
      </c>
      <c r="F139" s="470">
        <v>54125.014011094034</v>
      </c>
      <c r="G139" s="233">
        <v>39135.335069405635</v>
      </c>
      <c r="H139" s="329">
        <f t="shared" si="7"/>
        <v>-14989.678941688398</v>
      </c>
      <c r="I139" s="432">
        <v>23919.738678251131</v>
      </c>
      <c r="J139" s="233">
        <f>VLOOKUP(B139,'M) Police'!B139:O439,14,FALSE)</f>
        <v>21736.425393302452</v>
      </c>
      <c r="K139" s="329">
        <f t="shared" si="8"/>
        <v>-2183.3132849486792</v>
      </c>
    </row>
    <row r="140" spans="1:11" x14ac:dyDescent="0.25">
      <c r="A140" s="159">
        <f>+'B) D RI'!A141</f>
        <v>5631</v>
      </c>
      <c r="B140" s="435" t="str">
        <f>+'B) D RI'!B141</f>
        <v>Denens</v>
      </c>
      <c r="C140" s="432">
        <v>941353.90801833849</v>
      </c>
      <c r="D140" s="233">
        <f>VLOOKUP(B140,Synthèse!B140:F448,5,FALSE)</f>
        <v>807652.57012702059</v>
      </c>
      <c r="E140" s="329">
        <f t="shared" si="6"/>
        <v>-133701.3378913179</v>
      </c>
      <c r="F140" s="470">
        <v>718235.60140487656</v>
      </c>
      <c r="G140" s="233">
        <v>750493.83283241617</v>
      </c>
      <c r="H140" s="329">
        <f t="shared" si="7"/>
        <v>32258.231427539606</v>
      </c>
      <c r="I140" s="432">
        <v>121666.18651951624</v>
      </c>
      <c r="J140" s="233">
        <f>VLOOKUP(B140,'M) Police'!B140:O440,14,FALSE)</f>
        <v>118086.52081517616</v>
      </c>
      <c r="K140" s="329">
        <f t="shared" si="8"/>
        <v>-3579.6657043400774</v>
      </c>
    </row>
    <row r="141" spans="1:11" x14ac:dyDescent="0.25">
      <c r="A141" s="159">
        <f>+'B) D RI'!A142</f>
        <v>5632</v>
      </c>
      <c r="B141" s="435" t="str">
        <f>+'B) D RI'!B142</f>
        <v>Denges</v>
      </c>
      <c r="C141" s="432">
        <v>1205503.2099036465</v>
      </c>
      <c r="D141" s="233">
        <f>VLOOKUP(B141,Synthèse!B141:F449,5,FALSE)</f>
        <v>1266253.605525515</v>
      </c>
      <c r="E141" s="329">
        <f t="shared" si="6"/>
        <v>60750.395621868549</v>
      </c>
      <c r="F141" s="470">
        <v>855774.10293809255</v>
      </c>
      <c r="G141" s="233">
        <v>862055.53659451194</v>
      </c>
      <c r="H141" s="329">
        <f t="shared" si="7"/>
        <v>6281.4336564193945</v>
      </c>
      <c r="I141" s="432">
        <v>210691.062227441</v>
      </c>
      <c r="J141" s="233">
        <f>VLOOKUP(B141,'M) Police'!B141:O441,14,FALSE)</f>
        <v>215361.60887117073</v>
      </c>
      <c r="K141" s="329">
        <f t="shared" si="8"/>
        <v>4670.5466437297291</v>
      </c>
    </row>
    <row r="142" spans="1:11" x14ac:dyDescent="0.25">
      <c r="A142" s="159">
        <f>+'B) D RI'!A143</f>
        <v>5633</v>
      </c>
      <c r="B142" s="435" t="str">
        <f>+'B) D RI'!B143</f>
        <v>Echandens</v>
      </c>
      <c r="C142" s="432">
        <v>2409874.203503429</v>
      </c>
      <c r="D142" s="233">
        <f>VLOOKUP(B142,Synthèse!B142:F450,5,FALSE)</f>
        <v>2233699.6101071974</v>
      </c>
      <c r="E142" s="329">
        <f t="shared" si="6"/>
        <v>-176174.59339623153</v>
      </c>
      <c r="F142" s="470">
        <v>1705295.2524072155</v>
      </c>
      <c r="G142" s="233">
        <v>1425111.3880951311</v>
      </c>
      <c r="H142" s="329">
        <f t="shared" si="7"/>
        <v>-280183.86431208439</v>
      </c>
      <c r="I142" s="432">
        <v>418552.67879006616</v>
      </c>
      <c r="J142" s="233">
        <f>VLOOKUP(B142,'M) Police'!B142:O442,14,FALSE)</f>
        <v>411889.69192787202</v>
      </c>
      <c r="K142" s="329">
        <f t="shared" si="8"/>
        <v>-6662.9868621941423</v>
      </c>
    </row>
    <row r="143" spans="1:11" x14ac:dyDescent="0.25">
      <c r="A143" s="159">
        <f>+'B) D RI'!A144</f>
        <v>5634</v>
      </c>
      <c r="B143" s="435" t="str">
        <f>+'B) D RI'!B144</f>
        <v>Echichens</v>
      </c>
      <c r="C143" s="432">
        <v>2411114.4576458251</v>
      </c>
      <c r="D143" s="233">
        <f>VLOOKUP(B143,Synthèse!B143:F451,5,FALSE)</f>
        <v>3123866.1895712726</v>
      </c>
      <c r="E143" s="329">
        <f t="shared" si="6"/>
        <v>712751.73192544747</v>
      </c>
      <c r="F143" s="470">
        <v>1699817.1713516624</v>
      </c>
      <c r="G143" s="233">
        <v>2452141.4655856867</v>
      </c>
      <c r="H143" s="329">
        <f t="shared" si="7"/>
        <v>752324.29423402436</v>
      </c>
      <c r="I143" s="432">
        <v>392534.92176826275</v>
      </c>
      <c r="J143" s="233">
        <f>VLOOKUP(B143,'M) Police'!B143:O443,14,FALSE)</f>
        <v>476077.85015930491</v>
      </c>
      <c r="K143" s="329">
        <f t="shared" si="8"/>
        <v>83542.928391042165</v>
      </c>
    </row>
    <row r="144" spans="1:11" x14ac:dyDescent="0.25">
      <c r="A144" s="159">
        <f>+'B) D RI'!A145</f>
        <v>5635</v>
      </c>
      <c r="B144" s="435" t="str">
        <f>+'B) D RI'!B145</f>
        <v>Ecublens</v>
      </c>
      <c r="C144" s="432">
        <v>7897471.3556638407</v>
      </c>
      <c r="D144" s="233">
        <f>VLOOKUP(B144,Synthèse!B144:F452,5,FALSE)</f>
        <v>7769258.7631792072</v>
      </c>
      <c r="E144" s="329">
        <f t="shared" si="6"/>
        <v>-128212.59248463344</v>
      </c>
      <c r="F144" s="470">
        <v>-3912244.7860457422</v>
      </c>
      <c r="G144" s="233">
        <v>-4510292.4482794106</v>
      </c>
      <c r="H144" s="329">
        <f t="shared" si="7"/>
        <v>-598047.66223366838</v>
      </c>
      <c r="I144" s="432">
        <v>552723.71093578043</v>
      </c>
      <c r="J144" s="233">
        <f>VLOOKUP(B144,'M) Police'!B144:O444,14,FALSE)</f>
        <v>543523.94083742867</v>
      </c>
      <c r="K144" s="329">
        <f t="shared" si="8"/>
        <v>-9199.770098351757</v>
      </c>
    </row>
    <row r="145" spans="1:11" x14ac:dyDescent="0.25">
      <c r="A145" s="159">
        <f>+'B) D RI'!A146</f>
        <v>5636</v>
      </c>
      <c r="B145" s="435" t="str">
        <f>+'B) D RI'!B146</f>
        <v>Etoy</v>
      </c>
      <c r="C145" s="432">
        <v>4938153.2981966175</v>
      </c>
      <c r="D145" s="233">
        <f>VLOOKUP(B145,Synthèse!B145:F453,5,FALSE)</f>
        <v>4314838.4070368819</v>
      </c>
      <c r="E145" s="329">
        <f t="shared" si="6"/>
        <v>-623314.89115973562</v>
      </c>
      <c r="F145" s="470">
        <v>1850314.2657378076</v>
      </c>
      <c r="G145" s="233">
        <v>2709205.5773848933</v>
      </c>
      <c r="H145" s="329">
        <f t="shared" si="7"/>
        <v>858891.31164708571</v>
      </c>
      <c r="I145" s="432">
        <v>448442.92052299477</v>
      </c>
      <c r="J145" s="233">
        <f>VLOOKUP(B145,'M) Police'!B145:O445,14,FALSE)</f>
        <v>476676.38556811673</v>
      </c>
      <c r="K145" s="329">
        <f t="shared" si="8"/>
        <v>28233.465045121964</v>
      </c>
    </row>
    <row r="146" spans="1:11" x14ac:dyDescent="0.25">
      <c r="A146" s="159">
        <f>+'B) D RI'!A147</f>
        <v>5637</v>
      </c>
      <c r="B146" s="435" t="str">
        <f>+'B) D RI'!B147</f>
        <v>Lavigny</v>
      </c>
      <c r="C146" s="432">
        <v>679711.77259640349</v>
      </c>
      <c r="D146" s="233">
        <f>VLOOKUP(B146,Synthèse!B146:F454,5,FALSE)</f>
        <v>660722.2461632567</v>
      </c>
      <c r="E146" s="329">
        <f t="shared" si="6"/>
        <v>-18989.526433146792</v>
      </c>
      <c r="F146" s="470">
        <v>293031.30105881667</v>
      </c>
      <c r="G146" s="233">
        <v>183280.04680200931</v>
      </c>
      <c r="H146" s="329">
        <f t="shared" si="7"/>
        <v>-109751.25425680735</v>
      </c>
      <c r="I146" s="432">
        <v>113371.0507260477</v>
      </c>
      <c r="J146" s="233">
        <f>VLOOKUP(B146,'M) Police'!B146:O446,14,FALSE)</f>
        <v>111121.09077268283</v>
      </c>
      <c r="K146" s="329">
        <f t="shared" si="8"/>
        <v>-2249.9599533648725</v>
      </c>
    </row>
    <row r="147" spans="1:11" x14ac:dyDescent="0.25">
      <c r="A147" s="159">
        <f>+'B) D RI'!A148</f>
        <v>5638</v>
      </c>
      <c r="B147" s="435" t="str">
        <f>+'B) D RI'!B148</f>
        <v>Lonay</v>
      </c>
      <c r="C147" s="432">
        <v>3840484.1631349544</v>
      </c>
      <c r="D147" s="233">
        <f>VLOOKUP(B147,Synthèse!B147:F455,5,FALSE)</f>
        <v>4122069.2522953604</v>
      </c>
      <c r="E147" s="329">
        <f t="shared" si="6"/>
        <v>281585.08916040603</v>
      </c>
      <c r="F147" s="470">
        <v>1838237.3305267096</v>
      </c>
      <c r="G147" s="233">
        <v>2134656.5712565607</v>
      </c>
      <c r="H147" s="329">
        <f t="shared" si="7"/>
        <v>296419.24072985118</v>
      </c>
      <c r="I147" s="432">
        <v>413654.42595826933</v>
      </c>
      <c r="J147" s="233">
        <f>VLOOKUP(B147,'M) Police'!B147:O447,14,FALSE)</f>
        <v>425975.74799204373</v>
      </c>
      <c r="K147" s="329">
        <f t="shared" si="8"/>
        <v>12321.322033774399</v>
      </c>
    </row>
    <row r="148" spans="1:11" x14ac:dyDescent="0.25">
      <c r="A148" s="159">
        <f>+'B) D RI'!A149</f>
        <v>5639</v>
      </c>
      <c r="B148" s="435" t="str">
        <f>+'B) D RI'!B149</f>
        <v>Lully</v>
      </c>
      <c r="C148" s="432">
        <v>704663.21787217632</v>
      </c>
      <c r="D148" s="233">
        <f>VLOOKUP(B148,Synthèse!B148:F456,5,FALSE)</f>
        <v>843525.58371613582</v>
      </c>
      <c r="E148" s="329">
        <f t="shared" si="6"/>
        <v>138862.3658439595</v>
      </c>
      <c r="F148" s="470">
        <v>707288.09599558474</v>
      </c>
      <c r="G148" s="233">
        <v>798750.06645133637</v>
      </c>
      <c r="H148" s="329">
        <f t="shared" si="7"/>
        <v>91461.970455751638</v>
      </c>
      <c r="I148" s="432">
        <v>122405.22839274249</v>
      </c>
      <c r="J148" s="233">
        <f>VLOOKUP(B148,'M) Police'!B148:O448,14,FALSE)</f>
        <v>125215.16264830995</v>
      </c>
      <c r="K148" s="329">
        <f t="shared" si="8"/>
        <v>2809.9342555674666</v>
      </c>
    </row>
    <row r="149" spans="1:11" x14ac:dyDescent="0.25">
      <c r="A149" s="159">
        <f>+'B) D RI'!A150</f>
        <v>5640</v>
      </c>
      <c r="B149" s="435" t="str">
        <f>+'B) D RI'!B150</f>
        <v>Lussy-sur-Morges</v>
      </c>
      <c r="C149" s="432">
        <v>1448165.7649134626</v>
      </c>
      <c r="D149" s="233">
        <f>VLOOKUP(B149,Synthèse!B149:F457,5,FALSE)</f>
        <v>1290035.2927365596</v>
      </c>
      <c r="E149" s="329">
        <f t="shared" si="6"/>
        <v>-158130.47217690293</v>
      </c>
      <c r="F149" s="470">
        <v>885264.25359739072</v>
      </c>
      <c r="G149" s="233">
        <v>881967.12833071453</v>
      </c>
      <c r="H149" s="329">
        <f t="shared" si="7"/>
        <v>-3297.1252666761866</v>
      </c>
      <c r="I149" s="432">
        <v>65679.540858994253</v>
      </c>
      <c r="J149" s="233">
        <f>VLOOKUP(B149,'M) Police'!B149:O449,14,FALSE)</f>
        <v>62273.184014617327</v>
      </c>
      <c r="K149" s="329">
        <f t="shared" si="8"/>
        <v>-3406.3568443769254</v>
      </c>
    </row>
    <row r="150" spans="1:11" x14ac:dyDescent="0.25">
      <c r="A150" s="159">
        <f>+'B) D RI'!A151</f>
        <v>5642</v>
      </c>
      <c r="B150" s="435" t="str">
        <f>+'B) D RI'!B151</f>
        <v>Morges</v>
      </c>
      <c r="C150" s="432">
        <v>14313495.45966294</v>
      </c>
      <c r="D150" s="233">
        <f>VLOOKUP(B150,Synthèse!B150:F458,5,FALSE)</f>
        <v>14814467.863221817</v>
      </c>
      <c r="E150" s="329">
        <f t="shared" si="6"/>
        <v>500972.40355887637</v>
      </c>
      <c r="F150" s="470">
        <v>3984300.7555105733</v>
      </c>
      <c r="G150" s="233">
        <v>2652897.8173572156</v>
      </c>
      <c r="H150" s="329">
        <f t="shared" si="7"/>
        <v>-1331402.9381533577</v>
      </c>
      <c r="I150" s="432">
        <v>1017817.4196998955</v>
      </c>
      <c r="J150" s="233">
        <f>VLOOKUP(B150,'M) Police'!B150:O450,14,FALSE)</f>
        <v>944062.49787526939</v>
      </c>
      <c r="K150" s="329">
        <f t="shared" si="8"/>
        <v>-73754.921824626159</v>
      </c>
    </row>
    <row r="151" spans="1:11" x14ac:dyDescent="0.25">
      <c r="A151" s="159">
        <f>+'B) D RI'!A152</f>
        <v>5643</v>
      </c>
      <c r="B151" s="435" t="str">
        <f>+'B) D RI'!B152</f>
        <v>Préverenges</v>
      </c>
      <c r="C151" s="432">
        <v>4520778.5253200699</v>
      </c>
      <c r="D151" s="233">
        <f>VLOOKUP(B151,Synthèse!B151:F459,5,FALSE)</f>
        <v>4073580.3331436566</v>
      </c>
      <c r="E151" s="329">
        <f t="shared" si="6"/>
        <v>-447198.19217641326</v>
      </c>
      <c r="F151" s="470">
        <v>3004090.285095958</v>
      </c>
      <c r="G151" s="233">
        <v>2959363.4548633592</v>
      </c>
      <c r="H151" s="329">
        <f t="shared" si="7"/>
        <v>-44726.830232598819</v>
      </c>
      <c r="I151" s="432">
        <v>342119.84535569377</v>
      </c>
      <c r="J151" s="233">
        <f>VLOOKUP(B151,'M) Police'!B151:O451,14,FALSE)</f>
        <v>323366.12018004165</v>
      </c>
      <c r="K151" s="329">
        <f t="shared" si="8"/>
        <v>-18753.725175652129</v>
      </c>
    </row>
    <row r="152" spans="1:11" x14ac:dyDescent="0.25">
      <c r="A152" s="159">
        <f>+'B) D RI'!A153</f>
        <v>5644</v>
      </c>
      <c r="B152" s="435" t="str">
        <f>+'B) D RI'!B153</f>
        <v>Reverolle</v>
      </c>
      <c r="C152" s="432">
        <v>245173.79651307387</v>
      </c>
      <c r="D152" s="233">
        <f>VLOOKUP(B152,Synthèse!B152:F460,5,FALSE)</f>
        <v>238373.68412990691</v>
      </c>
      <c r="E152" s="329">
        <f t="shared" si="6"/>
        <v>-6800.1123831669684</v>
      </c>
      <c r="F152" s="470">
        <v>123006.20416788806</v>
      </c>
      <c r="G152" s="233">
        <v>54346.260813006309</v>
      </c>
      <c r="H152" s="329">
        <f t="shared" si="7"/>
        <v>-68659.943354881747</v>
      </c>
      <c r="I152" s="432">
        <v>44931.922511950281</v>
      </c>
      <c r="J152" s="233">
        <f>VLOOKUP(B152,'M) Police'!B152:O452,14,FALSE)</f>
        <v>41249.23792759858</v>
      </c>
      <c r="K152" s="329">
        <f t="shared" si="8"/>
        <v>-3682.6845843517003</v>
      </c>
    </row>
    <row r="153" spans="1:11" x14ac:dyDescent="0.25">
      <c r="A153" s="159">
        <f>+'B) D RI'!A154</f>
        <v>5645</v>
      </c>
      <c r="B153" s="435" t="str">
        <f>+'B) D RI'!B154</f>
        <v>Romanel-sur-Morges</v>
      </c>
      <c r="C153" s="432">
        <v>469201.85162298527</v>
      </c>
      <c r="D153" s="233">
        <f>VLOOKUP(B153,Synthèse!B153:F461,5,FALSE)</f>
        <v>484161.02166412631</v>
      </c>
      <c r="E153" s="329">
        <f t="shared" si="6"/>
        <v>14959.170041141042</v>
      </c>
      <c r="F153" s="470">
        <v>448637.30785085371</v>
      </c>
      <c r="G153" s="233">
        <v>453138.69934491103</v>
      </c>
      <c r="H153" s="329">
        <f t="shared" si="7"/>
        <v>4501.3914940573159</v>
      </c>
      <c r="I153" s="432">
        <v>75684.229213656479</v>
      </c>
      <c r="J153" s="233">
        <f>VLOOKUP(B153,'M) Police'!B153:O453,14,FALSE)</f>
        <v>72087.610686800312</v>
      </c>
      <c r="K153" s="329">
        <f t="shared" si="8"/>
        <v>-3596.6185268561676</v>
      </c>
    </row>
    <row r="154" spans="1:11" x14ac:dyDescent="0.25">
      <c r="A154" s="159">
        <f>+'B) D RI'!A155</f>
        <v>5646</v>
      </c>
      <c r="B154" s="435" t="str">
        <f>+'B) D RI'!B155</f>
        <v>Saint-Prex</v>
      </c>
      <c r="C154" s="432">
        <v>13177740.641631898</v>
      </c>
      <c r="D154" s="233">
        <f>VLOOKUP(B154,Synthèse!B154:F462,5,FALSE)</f>
        <v>12021312.389473176</v>
      </c>
      <c r="E154" s="329">
        <f t="shared" si="6"/>
        <v>-1156428.2521587219</v>
      </c>
      <c r="F154" s="470">
        <v>6947723.0312315505</v>
      </c>
      <c r="G154" s="233">
        <v>6623773.7365378998</v>
      </c>
      <c r="H154" s="329">
        <f t="shared" si="7"/>
        <v>-323949.29469365068</v>
      </c>
      <c r="I154" s="432">
        <v>630891.5869261804</v>
      </c>
      <c r="J154" s="233">
        <f>VLOOKUP(B154,'M) Police'!B154:O454,14,FALSE)</f>
        <v>578576.47427846538</v>
      </c>
      <c r="K154" s="329">
        <f t="shared" si="8"/>
        <v>-52315.112647715025</v>
      </c>
    </row>
    <row r="155" spans="1:11" x14ac:dyDescent="0.25">
      <c r="A155" s="159">
        <f>+'B) D RI'!A156</f>
        <v>5648</v>
      </c>
      <c r="B155" s="435" t="str">
        <f>+'B) D RI'!B156</f>
        <v>Saint-Sulpice</v>
      </c>
      <c r="C155" s="432">
        <v>7908976.9908851478</v>
      </c>
      <c r="D155" s="233">
        <f>VLOOKUP(B155,Synthèse!B155:F463,5,FALSE)</f>
        <v>5656073.3299701884</v>
      </c>
      <c r="E155" s="329">
        <f t="shared" si="6"/>
        <v>-2252903.6609149594</v>
      </c>
      <c r="F155" s="470">
        <v>4344957.3170102267</v>
      </c>
      <c r="G155" s="233">
        <v>3062226.3646473032</v>
      </c>
      <c r="H155" s="329">
        <f t="shared" si="7"/>
        <v>-1282730.9523629234</v>
      </c>
      <c r="I155" s="432">
        <v>394566.12126084085</v>
      </c>
      <c r="J155" s="233">
        <f>VLOOKUP(B155,'M) Police'!B155:O455,14,FALSE)</f>
        <v>338706.11226996547</v>
      </c>
      <c r="K155" s="329">
        <f t="shared" si="8"/>
        <v>-55860.008990875387</v>
      </c>
    </row>
    <row r="156" spans="1:11" x14ac:dyDescent="0.25">
      <c r="A156" s="159">
        <f>+'B) D RI'!A157</f>
        <v>5649</v>
      </c>
      <c r="B156" s="435" t="str">
        <f>+'B) D RI'!B157</f>
        <v>Tolochenaz</v>
      </c>
      <c r="C156" s="432">
        <v>1639845.2571999696</v>
      </c>
      <c r="D156" s="233">
        <f>VLOOKUP(B156,Synthèse!B156:F464,5,FALSE)</f>
        <v>2689102.8033396099</v>
      </c>
      <c r="E156" s="329">
        <f t="shared" si="6"/>
        <v>1049257.5461396403</v>
      </c>
      <c r="F156" s="470">
        <v>884135.29070961277</v>
      </c>
      <c r="G156" s="233">
        <v>2032632.8414811499</v>
      </c>
      <c r="H156" s="329">
        <f t="shared" si="7"/>
        <v>1148497.5507715372</v>
      </c>
      <c r="I156" s="432">
        <v>102497.63054973989</v>
      </c>
      <c r="J156" s="233">
        <f>VLOOKUP(B156,'M) Police'!B156:O456,14,FALSE)</f>
        <v>161071.68377303856</v>
      </c>
      <c r="K156" s="329">
        <f t="shared" si="8"/>
        <v>58574.053223298673</v>
      </c>
    </row>
    <row r="157" spans="1:11" x14ac:dyDescent="0.25">
      <c r="A157" s="159">
        <f>+'B) D RI'!A158</f>
        <v>5650</v>
      </c>
      <c r="B157" s="435" t="str">
        <f>+'B) D RI'!B158</f>
        <v>Vaux-sur-Morges</v>
      </c>
      <c r="C157" s="432">
        <v>7404425.957452165</v>
      </c>
      <c r="D157" s="233">
        <f>VLOOKUP(B157,Synthèse!B157:F465,5,FALSE)</f>
        <v>8206256.4475717358</v>
      </c>
      <c r="E157" s="329">
        <f t="shared" si="6"/>
        <v>801830.49011957087</v>
      </c>
      <c r="F157" s="470">
        <v>137324.09969069064</v>
      </c>
      <c r="G157" s="233">
        <v>122144.96582112228</v>
      </c>
      <c r="H157" s="329">
        <f t="shared" si="7"/>
        <v>-15179.133869568352</v>
      </c>
      <c r="I157" s="432">
        <v>170101.53020048281</v>
      </c>
      <c r="J157" s="233">
        <f>VLOOKUP(B157,'M) Police'!B157:O457,14,FALSE)</f>
        <v>175688.75938980133</v>
      </c>
      <c r="K157" s="329">
        <f t="shared" si="8"/>
        <v>5587.2291893185175</v>
      </c>
    </row>
    <row r="158" spans="1:11" x14ac:dyDescent="0.25">
      <c r="A158" s="159">
        <f>+'B) D RI'!A159</f>
        <v>5651</v>
      </c>
      <c r="B158" s="435" t="str">
        <f>+'B) D RI'!B159</f>
        <v>Villars-Sainte-Croix</v>
      </c>
      <c r="C158" s="432">
        <v>816163.66730860923</v>
      </c>
      <c r="D158" s="233">
        <f>VLOOKUP(B158,Synthèse!B158:F466,5,FALSE)</f>
        <v>1065873.8950638354</v>
      </c>
      <c r="E158" s="329">
        <f t="shared" si="6"/>
        <v>249710.22775522619</v>
      </c>
      <c r="F158" s="470">
        <v>652290.94211037143</v>
      </c>
      <c r="G158" s="233">
        <v>990642.99951159093</v>
      </c>
      <c r="H158" s="329">
        <f t="shared" si="7"/>
        <v>338352.0574012195</v>
      </c>
      <c r="I158" s="432">
        <v>50896.078063485031</v>
      </c>
      <c r="J158" s="233">
        <f>VLOOKUP(B158,'M) Police'!B158:O458,14,FALSE)</f>
        <v>71198.726848144564</v>
      </c>
      <c r="K158" s="329">
        <f t="shared" si="8"/>
        <v>20302.648784659534</v>
      </c>
    </row>
    <row r="159" spans="1:11" x14ac:dyDescent="0.25">
      <c r="A159" s="159">
        <f>+'B) D RI'!A160</f>
        <v>5652</v>
      </c>
      <c r="B159" s="435" t="str">
        <f>+'B) D RI'!B160</f>
        <v>Villars-sous-Yens</v>
      </c>
      <c r="C159" s="432">
        <v>395812.3995040849</v>
      </c>
      <c r="D159" s="233">
        <f>VLOOKUP(B159,Synthèse!B159:F467,5,FALSE)</f>
        <v>467761.38795982074</v>
      </c>
      <c r="E159" s="329">
        <f t="shared" si="6"/>
        <v>71948.988455735845</v>
      </c>
      <c r="F159" s="470">
        <v>93277.681352795043</v>
      </c>
      <c r="G159" s="233">
        <v>504923.87652521412</v>
      </c>
      <c r="H159" s="329">
        <f t="shared" si="7"/>
        <v>411646.19517241907</v>
      </c>
      <c r="I159" s="432">
        <v>69853.285312079359</v>
      </c>
      <c r="J159" s="233">
        <f>VLOOKUP(B159,'M) Police'!B159:O459,14,FALSE)</f>
        <v>89174.505847052758</v>
      </c>
      <c r="K159" s="329">
        <f t="shared" si="8"/>
        <v>19321.220534973399</v>
      </c>
    </row>
    <row r="160" spans="1:11" x14ac:dyDescent="0.25">
      <c r="A160" s="159">
        <f>+'B) D RI'!A161</f>
        <v>5653</v>
      </c>
      <c r="B160" s="435" t="str">
        <f>+'B) D RI'!B161</f>
        <v>Vufflens-le-Château</v>
      </c>
      <c r="C160" s="432">
        <v>1278541.1072769873</v>
      </c>
      <c r="D160" s="233">
        <f>VLOOKUP(B160,Synthèse!B160:F468,5,FALSE)</f>
        <v>1261877.4711887243</v>
      </c>
      <c r="E160" s="329">
        <f t="shared" si="6"/>
        <v>-16663.636088263011</v>
      </c>
      <c r="F160" s="470">
        <v>1016429.4595409319</v>
      </c>
      <c r="G160" s="233">
        <v>1043498.1522243101</v>
      </c>
      <c r="H160" s="329">
        <f t="shared" si="7"/>
        <v>27068.692683378235</v>
      </c>
      <c r="I160" s="432">
        <v>149045.29714835013</v>
      </c>
      <c r="J160" s="233">
        <f>VLOOKUP(B160,'M) Police'!B160:O460,14,FALSE)</f>
        <v>150105.93636545545</v>
      </c>
      <c r="K160" s="329">
        <f t="shared" si="8"/>
        <v>1060.6392171053158</v>
      </c>
    </row>
    <row r="161" spans="1:11" x14ac:dyDescent="0.25">
      <c r="A161" s="159">
        <f>+'B) D RI'!A162</f>
        <v>5654</v>
      </c>
      <c r="B161" s="435" t="str">
        <f>+'B) D RI'!B162</f>
        <v>Vullierens</v>
      </c>
      <c r="C161" s="432">
        <v>307733.35035198746</v>
      </c>
      <c r="D161" s="233">
        <f>VLOOKUP(B161,Synthèse!B161:F469,5,FALSE)</f>
        <v>338987.06926388695</v>
      </c>
      <c r="E161" s="329">
        <f t="shared" si="6"/>
        <v>31253.718911899487</v>
      </c>
      <c r="F161" s="470">
        <v>-305525.28592148429</v>
      </c>
      <c r="G161" s="233">
        <v>233550.73476559701</v>
      </c>
      <c r="H161" s="329">
        <f t="shared" si="7"/>
        <v>539076.02068708127</v>
      </c>
      <c r="I161" s="432">
        <v>54291.536378568446</v>
      </c>
      <c r="J161" s="233">
        <f>VLOOKUP(B161,'M) Police'!B161:O461,14,FALSE)</f>
        <v>60000.116008502213</v>
      </c>
      <c r="K161" s="329">
        <f t="shared" si="8"/>
        <v>5708.5796299337671</v>
      </c>
    </row>
    <row r="162" spans="1:11" x14ac:dyDescent="0.25">
      <c r="A162" s="159">
        <f>+'B) D RI'!A163</f>
        <v>5655</v>
      </c>
      <c r="B162" s="435" t="str">
        <f>+'B) D RI'!B163</f>
        <v>Yens</v>
      </c>
      <c r="C162" s="432">
        <v>1523915.6779480735</v>
      </c>
      <c r="D162" s="233">
        <f>VLOOKUP(B162,Synthèse!B162:F470,5,FALSE)</f>
        <v>1612316.3789164606</v>
      </c>
      <c r="E162" s="329">
        <f t="shared" si="6"/>
        <v>88400.700968387071</v>
      </c>
      <c r="F162" s="470">
        <v>1319196.0493712458</v>
      </c>
      <c r="G162" s="233">
        <v>1379837.4994128449</v>
      </c>
      <c r="H162" s="329">
        <f t="shared" si="7"/>
        <v>60641.450041599106</v>
      </c>
      <c r="I162" s="432">
        <v>227800.73424945161</v>
      </c>
      <c r="J162" s="233">
        <f>VLOOKUP(B162,'M) Police'!B162:O462,14,FALSE)</f>
        <v>229258.14665425982</v>
      </c>
      <c r="K162" s="329">
        <f t="shared" si="8"/>
        <v>1457.4124048082158</v>
      </c>
    </row>
    <row r="163" spans="1:11" x14ac:dyDescent="0.25">
      <c r="A163" s="159">
        <f>+'B) D RI'!A164</f>
        <v>5661</v>
      </c>
      <c r="B163" s="435" t="str">
        <f>+'B) D RI'!B164</f>
        <v>Boulens</v>
      </c>
      <c r="C163" s="432">
        <v>168781.59053624372</v>
      </c>
      <c r="D163" s="233">
        <f>VLOOKUP(B163,Synthèse!B163:F471,5,FALSE)</f>
        <v>166043.79914679646</v>
      </c>
      <c r="E163" s="329">
        <f t="shared" si="6"/>
        <v>-2737.7913894472586</v>
      </c>
      <c r="F163" s="470">
        <v>-56697.369383321769</v>
      </c>
      <c r="G163" s="233">
        <v>-28132.957283864595</v>
      </c>
      <c r="H163" s="329">
        <f t="shared" si="7"/>
        <v>28564.412099457175</v>
      </c>
      <c r="I163" s="432">
        <v>30607.749527526841</v>
      </c>
      <c r="J163" s="233">
        <f>VLOOKUP(B163,'M) Police'!B163:O463,14,FALSE)</f>
        <v>32231.829300183967</v>
      </c>
      <c r="K163" s="329">
        <f t="shared" si="8"/>
        <v>1624.0797726571254</v>
      </c>
    </row>
    <row r="164" spans="1:11" x14ac:dyDescent="0.25">
      <c r="A164" s="159">
        <f>+'B) D RI'!A165</f>
        <v>5663</v>
      </c>
      <c r="B164" s="435" t="str">
        <f>+'B) D RI'!B165</f>
        <v>Bussy-sur-Moudon</v>
      </c>
      <c r="C164" s="432">
        <v>93017.643507540386</v>
      </c>
      <c r="D164" s="233">
        <f>VLOOKUP(B164,Synthèse!B164:F472,5,FALSE)</f>
        <v>84719.264404549074</v>
      </c>
      <c r="E164" s="329">
        <f t="shared" si="6"/>
        <v>-8298.3791029913118</v>
      </c>
      <c r="F164" s="470">
        <v>-67272.197601878215</v>
      </c>
      <c r="G164" s="233">
        <v>-95188.320569638949</v>
      </c>
      <c r="H164" s="329">
        <f t="shared" si="7"/>
        <v>-27916.122967760733</v>
      </c>
      <c r="I164" s="432">
        <v>17314.222481240537</v>
      </c>
      <c r="J164" s="233">
        <f>VLOOKUP(B164,'M) Police'!B164:O464,14,FALSE)</f>
        <v>16403.74311638889</v>
      </c>
      <c r="K164" s="329">
        <f t="shared" si="8"/>
        <v>-910.4793648516461</v>
      </c>
    </row>
    <row r="165" spans="1:11" x14ac:dyDescent="0.25">
      <c r="A165" s="159">
        <f>+'B) D RI'!A166</f>
        <v>5665</v>
      </c>
      <c r="B165" s="435" t="str">
        <f>+'B) D RI'!B166</f>
        <v>Chavannes-sur-Moudon</v>
      </c>
      <c r="C165" s="432">
        <v>76537.813903304734</v>
      </c>
      <c r="D165" s="233">
        <f>VLOOKUP(B165,Synthèse!B165:F473,5,FALSE)</f>
        <v>77184.68099710028</v>
      </c>
      <c r="E165" s="329">
        <f t="shared" si="6"/>
        <v>646.86709379554668</v>
      </c>
      <c r="F165" s="470">
        <v>-53561.413870462835</v>
      </c>
      <c r="G165" s="233">
        <v>-51487.207436966099</v>
      </c>
      <c r="H165" s="329">
        <f t="shared" si="7"/>
        <v>2074.2064334967363</v>
      </c>
      <c r="I165" s="432">
        <v>15807.661878822244</v>
      </c>
      <c r="J165" s="233">
        <f>VLOOKUP(B165,'M) Police'!B165:O465,14,FALSE)</f>
        <v>14314.531450363193</v>
      </c>
      <c r="K165" s="329">
        <f t="shared" si="8"/>
        <v>-1493.1304284590515</v>
      </c>
    </row>
    <row r="166" spans="1:11" x14ac:dyDescent="0.25">
      <c r="A166" s="159">
        <f>+'B) D RI'!A167</f>
        <v>5669</v>
      </c>
      <c r="B166" s="435" t="str">
        <f>+'B) D RI'!B167</f>
        <v>Curtilles</v>
      </c>
      <c r="C166" s="432">
        <v>128192.18445336494</v>
      </c>
      <c r="D166" s="233">
        <f>VLOOKUP(B166,Synthèse!B166:F474,5,FALSE)</f>
        <v>125178.15348946799</v>
      </c>
      <c r="E166" s="329">
        <f t="shared" si="6"/>
        <v>-3014.0309638969484</v>
      </c>
      <c r="F166" s="470">
        <v>-24605.840983125785</v>
      </c>
      <c r="G166" s="233">
        <v>-41334.399949956758</v>
      </c>
      <c r="H166" s="329">
        <f t="shared" si="7"/>
        <v>-16728.558966830973</v>
      </c>
      <c r="I166" s="432">
        <v>26126.742599398262</v>
      </c>
      <c r="J166" s="233">
        <f>VLOOKUP(B166,'M) Police'!B166:O466,14,FALSE)</f>
        <v>24032.8676653984</v>
      </c>
      <c r="K166" s="329">
        <f t="shared" si="8"/>
        <v>-2093.8749339998612</v>
      </c>
    </row>
    <row r="167" spans="1:11" x14ac:dyDescent="0.25">
      <c r="A167" s="159">
        <f>+'B) D RI'!A168</f>
        <v>5671</v>
      </c>
      <c r="B167" s="435" t="str">
        <f>+'B) D RI'!B168</f>
        <v>Dompierre</v>
      </c>
      <c r="C167" s="432">
        <v>100874.85887194227</v>
      </c>
      <c r="D167" s="233">
        <f>VLOOKUP(B167,Synthèse!B167:F475,5,FALSE)</f>
        <v>107355.22693352932</v>
      </c>
      <c r="E167" s="329">
        <f t="shared" si="6"/>
        <v>6480.3680615870544</v>
      </c>
      <c r="F167" s="470">
        <v>-59507.229091834575</v>
      </c>
      <c r="G167" s="233">
        <v>-87729.654684321082</v>
      </c>
      <c r="H167" s="329">
        <f t="shared" si="7"/>
        <v>-28222.425592486507</v>
      </c>
      <c r="I167" s="432">
        <v>21143.855661563772</v>
      </c>
      <c r="J167" s="233">
        <f>VLOOKUP(B167,'M) Police'!B167:O467,14,FALSE)</f>
        <v>19154.904942812602</v>
      </c>
      <c r="K167" s="329">
        <f t="shared" si="8"/>
        <v>-1988.9507187511699</v>
      </c>
    </row>
    <row r="168" spans="1:11" x14ac:dyDescent="0.25">
      <c r="A168" s="159">
        <f>+'B) D RI'!A169</f>
        <v>5673</v>
      </c>
      <c r="B168" s="435" t="str">
        <f>+'B) D RI'!B169</f>
        <v>Hermenches</v>
      </c>
      <c r="C168" s="432">
        <v>131795.23801819698</v>
      </c>
      <c r="D168" s="233">
        <f>VLOOKUP(B168,Synthèse!B168:F476,5,FALSE)</f>
        <v>148872.67982594029</v>
      </c>
      <c r="E168" s="329">
        <f t="shared" si="6"/>
        <v>17077.441807743307</v>
      </c>
      <c r="F168" s="470">
        <v>-124120.27595052507</v>
      </c>
      <c r="G168" s="233">
        <v>-187953.5711537055</v>
      </c>
      <c r="H168" s="329">
        <f t="shared" si="7"/>
        <v>-63833.295203180431</v>
      </c>
      <c r="I168" s="432">
        <v>24773.871460685012</v>
      </c>
      <c r="J168" s="233">
        <f>VLOOKUP(B168,'M) Police'!B168:O468,14,FALSE)</f>
        <v>28895.52630920208</v>
      </c>
      <c r="K168" s="329">
        <f t="shared" si="8"/>
        <v>4121.6548485170679</v>
      </c>
    </row>
    <row r="169" spans="1:11" x14ac:dyDescent="0.25">
      <c r="A169" s="159">
        <f>+'B) D RI'!A170</f>
        <v>5674</v>
      </c>
      <c r="B169" s="435" t="str">
        <f>+'B) D RI'!B170</f>
        <v>Lovatens</v>
      </c>
      <c r="C169" s="432">
        <v>84703.864469304128</v>
      </c>
      <c r="D169" s="233">
        <f>VLOOKUP(B169,Synthèse!B169:F477,5,FALSE)</f>
        <v>61508.899221477288</v>
      </c>
      <c r="E169" s="329">
        <f t="shared" si="6"/>
        <v>-23194.96524782684</v>
      </c>
      <c r="F169" s="470">
        <v>-25187.919567655965</v>
      </c>
      <c r="G169" s="233">
        <v>-43059.800616181368</v>
      </c>
      <c r="H169" s="329">
        <f t="shared" si="7"/>
        <v>-17871.881048525403</v>
      </c>
      <c r="I169" s="432">
        <v>12036.509707270883</v>
      </c>
      <c r="J169" s="233">
        <f>VLOOKUP(B169,'M) Police'!B169:O469,14,FALSE)</f>
        <v>10147.2681142821</v>
      </c>
      <c r="K169" s="329">
        <f t="shared" si="8"/>
        <v>-1889.2415929887829</v>
      </c>
    </row>
    <row r="170" spans="1:11" x14ac:dyDescent="0.25">
      <c r="A170" s="159">
        <f>+'B) D RI'!A171</f>
        <v>5675</v>
      </c>
      <c r="B170" s="435" t="str">
        <f>+'B) D RI'!B171</f>
        <v>Lucens</v>
      </c>
      <c r="C170" s="432">
        <v>1625020.8701999683</v>
      </c>
      <c r="D170" s="233">
        <f>VLOOKUP(B170,Synthèse!B170:F478,5,FALSE)</f>
        <v>1693316.2044166827</v>
      </c>
      <c r="E170" s="329">
        <f t="shared" si="6"/>
        <v>68295.334216714371</v>
      </c>
      <c r="F170" s="470">
        <v>-1642751.021619908</v>
      </c>
      <c r="G170" s="233">
        <v>-1904841.7331542415</v>
      </c>
      <c r="H170" s="329">
        <f t="shared" si="7"/>
        <v>-262090.71153433342</v>
      </c>
      <c r="I170" s="432">
        <v>290000.23538818618</v>
      </c>
      <c r="J170" s="233">
        <f>VLOOKUP(B170,'M) Police'!B170:O470,14,FALSE)</f>
        <v>279167.61040940473</v>
      </c>
      <c r="K170" s="329">
        <f t="shared" si="8"/>
        <v>-10832.624978781445</v>
      </c>
    </row>
    <row r="171" spans="1:11" x14ac:dyDescent="0.25">
      <c r="A171" s="159">
        <f>+'B) D RI'!A172</f>
        <v>5678</v>
      </c>
      <c r="B171" s="435" t="str">
        <f>+'B) D RI'!B172</f>
        <v>Moudon</v>
      </c>
      <c r="C171" s="432">
        <v>2262836.6252655517</v>
      </c>
      <c r="D171" s="233">
        <f>VLOOKUP(B171,Synthèse!B171:F479,5,FALSE)</f>
        <v>2168276.5612995559</v>
      </c>
      <c r="E171" s="329">
        <f t="shared" si="6"/>
        <v>-94560.063965995796</v>
      </c>
      <c r="F171" s="470">
        <v>-4407882.483375025</v>
      </c>
      <c r="G171" s="233">
        <v>-4122221.964881354</v>
      </c>
      <c r="H171" s="329">
        <f t="shared" si="7"/>
        <v>285660.51849367097</v>
      </c>
      <c r="I171" s="432">
        <v>385233.99370754923</v>
      </c>
      <c r="J171" s="233">
        <f>VLOOKUP(B171,'M) Police'!B171:O471,14,FALSE)</f>
        <v>364563.69796867098</v>
      </c>
      <c r="K171" s="329">
        <f t="shared" si="8"/>
        <v>-20670.295738878252</v>
      </c>
    </row>
    <row r="172" spans="1:11" x14ac:dyDescent="0.25">
      <c r="A172" s="159">
        <f>+'B) D RI'!A173</f>
        <v>5680</v>
      </c>
      <c r="B172" s="435" t="str">
        <f>+'B) D RI'!B173</f>
        <v>Ogens</v>
      </c>
      <c r="C172" s="432">
        <v>148298.00026096098</v>
      </c>
      <c r="D172" s="233">
        <f>VLOOKUP(B172,Synthèse!B172:F480,5,FALSE)</f>
        <v>123225.63313279285</v>
      </c>
      <c r="E172" s="329">
        <f t="shared" si="6"/>
        <v>-25072.367128168131</v>
      </c>
      <c r="F172" s="470">
        <v>-8605.3383234388602</v>
      </c>
      <c r="G172" s="233">
        <v>-91377.363619673371</v>
      </c>
      <c r="H172" s="329">
        <f t="shared" si="7"/>
        <v>-82772.025296234511</v>
      </c>
      <c r="I172" s="432">
        <v>27132.525982235406</v>
      </c>
      <c r="J172" s="233">
        <f>VLOOKUP(B172,'M) Police'!B172:O472,14,FALSE)</f>
        <v>19766.879191510478</v>
      </c>
      <c r="K172" s="329">
        <f t="shared" si="8"/>
        <v>-7365.646790724928</v>
      </c>
    </row>
    <row r="173" spans="1:11" x14ac:dyDescent="0.25">
      <c r="A173" s="159">
        <f>+'B) D RI'!A174</f>
        <v>5683</v>
      </c>
      <c r="B173" s="435" t="str">
        <f>+'B) D RI'!B174</f>
        <v>Prévonloup</v>
      </c>
      <c r="C173" s="432">
        <v>62412.921948952564</v>
      </c>
      <c r="D173" s="233">
        <f>VLOOKUP(B173,Synthèse!B173:F481,5,FALSE)</f>
        <v>68701.339579917214</v>
      </c>
      <c r="E173" s="329">
        <f t="shared" si="6"/>
        <v>6288.41763096465</v>
      </c>
      <c r="F173" s="470">
        <v>-32199.28138459137</v>
      </c>
      <c r="G173" s="233">
        <v>-61505.489954727316</v>
      </c>
      <c r="H173" s="329">
        <f t="shared" si="7"/>
        <v>-29306.208570135947</v>
      </c>
      <c r="I173" s="432">
        <v>13029.845415076301</v>
      </c>
      <c r="J173" s="233">
        <f>VLOOKUP(B173,'M) Police'!B173:O473,14,FALSE)</f>
        <v>11468.969441255485</v>
      </c>
      <c r="K173" s="329">
        <f t="shared" si="8"/>
        <v>-1560.8759738208155</v>
      </c>
    </row>
    <row r="174" spans="1:11" x14ac:dyDescent="0.25">
      <c r="A174" s="159">
        <f>+'B) D RI'!A175</f>
        <v>5684</v>
      </c>
      <c r="B174" s="435" t="str">
        <f>+'B) D RI'!B175</f>
        <v>Rossenges</v>
      </c>
      <c r="C174" s="432">
        <v>32048.008475200233</v>
      </c>
      <c r="D174" s="233">
        <f>VLOOKUP(B174,Synthèse!B174:F482,5,FALSE)</f>
        <v>34512.654681023283</v>
      </c>
      <c r="E174" s="329">
        <f t="shared" si="6"/>
        <v>2464.64620582305</v>
      </c>
      <c r="F174" s="470">
        <v>25358.874264746915</v>
      </c>
      <c r="G174" s="233">
        <v>8714.2299796066145</v>
      </c>
      <c r="H174" s="329">
        <f t="shared" si="7"/>
        <v>-16644.644285140301</v>
      </c>
      <c r="I174" s="432">
        <v>6708.8399731561385</v>
      </c>
      <c r="J174" s="233">
        <f>VLOOKUP(B174,'M) Police'!B174:O474,14,FALSE)</f>
        <v>6114.0317042004172</v>
      </c>
      <c r="K174" s="329">
        <f t="shared" si="8"/>
        <v>-594.80826895572136</v>
      </c>
    </row>
    <row r="175" spans="1:11" x14ac:dyDescent="0.25">
      <c r="A175" s="159">
        <f>+'B) D RI'!A176</f>
        <v>5688</v>
      </c>
      <c r="B175" s="435" t="str">
        <f>+'B) D RI'!B176</f>
        <v>Syens</v>
      </c>
      <c r="C175" s="432">
        <v>94802.610225072363</v>
      </c>
      <c r="D175" s="233">
        <f>VLOOKUP(B175,Synthèse!B175:F483,5,FALSE)</f>
        <v>75737.065429302034</v>
      </c>
      <c r="E175" s="329">
        <f t="shared" si="6"/>
        <v>-19065.544795770329</v>
      </c>
      <c r="F175" s="470">
        <v>19089.653813096058</v>
      </c>
      <c r="G175" s="233">
        <v>-44852.632825838155</v>
      </c>
      <c r="H175" s="329">
        <f t="shared" si="7"/>
        <v>-63942.286638934209</v>
      </c>
      <c r="I175" s="432">
        <v>15443.135968515813</v>
      </c>
      <c r="J175" s="233">
        <f>VLOOKUP(B175,'M) Police'!B175:O475,14,FALSE)</f>
        <v>12233.028859339809</v>
      </c>
      <c r="K175" s="329">
        <f t="shared" si="8"/>
        <v>-3210.1071091760041</v>
      </c>
    </row>
    <row r="176" spans="1:11" x14ac:dyDescent="0.25">
      <c r="A176" s="159">
        <f>+'B) D RI'!A177</f>
        <v>5690</v>
      </c>
      <c r="B176" s="435" t="str">
        <f>+'B) D RI'!B177</f>
        <v>Villars-le-Comte</v>
      </c>
      <c r="C176" s="432">
        <v>50538.984161249784</v>
      </c>
      <c r="D176" s="233">
        <f>VLOOKUP(B176,Synthèse!B176:F484,5,FALSE)</f>
        <v>64506.988582704354</v>
      </c>
      <c r="E176" s="329">
        <f t="shared" si="6"/>
        <v>13968.004421454571</v>
      </c>
      <c r="F176" s="470">
        <v>-27850.508981359733</v>
      </c>
      <c r="G176" s="233">
        <v>27119.36932614907</v>
      </c>
      <c r="H176" s="329">
        <f t="shared" si="7"/>
        <v>54969.878307508799</v>
      </c>
      <c r="I176" s="432">
        <v>10213.992282374526</v>
      </c>
      <c r="J176" s="233">
        <f>VLOOKUP(B176,'M) Police'!B176:O476,14,FALSE)</f>
        <v>12563.910817963602</v>
      </c>
      <c r="K176" s="329">
        <f t="shared" si="8"/>
        <v>2349.9185355890768</v>
      </c>
    </row>
    <row r="177" spans="1:11" x14ac:dyDescent="0.25">
      <c r="A177" s="159">
        <f>+'B) D RI'!A178</f>
        <v>5692</v>
      </c>
      <c r="B177" s="435" t="str">
        <f>+'B) D RI'!B178</f>
        <v>Vucherens</v>
      </c>
      <c r="C177" s="432">
        <v>326604.8930032546</v>
      </c>
      <c r="D177" s="233">
        <f>VLOOKUP(B177,Synthèse!B177:F485,5,FALSE)</f>
        <v>315973.93162752211</v>
      </c>
      <c r="E177" s="329">
        <f t="shared" si="6"/>
        <v>-10630.961375732499</v>
      </c>
      <c r="F177" s="470">
        <v>15932.434043168556</v>
      </c>
      <c r="G177" s="233">
        <v>-64179.113340538519</v>
      </c>
      <c r="H177" s="329">
        <f t="shared" si="7"/>
        <v>-80111.547383707075</v>
      </c>
      <c r="I177" s="432">
        <v>53936.575186290225</v>
      </c>
      <c r="J177" s="233">
        <f>VLOOKUP(B177,'M) Police'!B177:O477,14,FALSE)</f>
        <v>50271.572168440987</v>
      </c>
      <c r="K177" s="329">
        <f t="shared" si="8"/>
        <v>-3665.0030178492379</v>
      </c>
    </row>
    <row r="178" spans="1:11" x14ac:dyDescent="0.25">
      <c r="A178" s="159">
        <f>+'B) D RI'!A179</f>
        <v>5693</v>
      </c>
      <c r="B178" s="435" t="str">
        <f>+'B) D RI'!B179</f>
        <v>Montanaire</v>
      </c>
      <c r="C178" s="432">
        <v>1107908.7157784516</v>
      </c>
      <c r="D178" s="233">
        <f>VLOOKUP(B178,Synthèse!B178:F486,5,FALSE)</f>
        <v>1192982.5321795845</v>
      </c>
      <c r="E178" s="329">
        <f t="shared" si="6"/>
        <v>85073.816401132848</v>
      </c>
      <c r="F178" s="470">
        <v>-873116.34838622517</v>
      </c>
      <c r="G178" s="233">
        <v>-976415.5269228752</v>
      </c>
      <c r="H178" s="329">
        <f t="shared" si="7"/>
        <v>-103299.17853665003</v>
      </c>
      <c r="I178" s="432">
        <v>201013.47761854588</v>
      </c>
      <c r="J178" s="233">
        <f>VLOOKUP(B178,'M) Police'!B178:O478,14,FALSE)</f>
        <v>216304.49651121564</v>
      </c>
      <c r="K178" s="329">
        <f t="shared" si="8"/>
        <v>15291.018892669759</v>
      </c>
    </row>
    <row r="179" spans="1:11" x14ac:dyDescent="0.25">
      <c r="A179" s="159">
        <f>+'B) D RI'!A180</f>
        <v>5701</v>
      </c>
      <c r="B179" s="435" t="str">
        <f>+'B) D RI'!B180</f>
        <v>Arnex-sur-Nyon</v>
      </c>
      <c r="C179" s="432">
        <v>363987.95926283946</v>
      </c>
      <c r="D179" s="233">
        <f>VLOOKUP(B179,Synthèse!B179:F487,5,FALSE)</f>
        <v>282675.570386532</v>
      </c>
      <c r="E179" s="329">
        <f t="shared" si="6"/>
        <v>-81312.388876307465</v>
      </c>
      <c r="F179" s="470">
        <v>254611.74409996788</v>
      </c>
      <c r="G179" s="233">
        <v>231253.77823541252</v>
      </c>
      <c r="H179" s="329">
        <f t="shared" si="7"/>
        <v>-23357.965864555357</v>
      </c>
      <c r="I179" s="432">
        <v>37647.07777512099</v>
      </c>
      <c r="J179" s="233">
        <f>VLOOKUP(B179,'M) Police'!B179:O479,14,FALSE)</f>
        <v>36831.622806016312</v>
      </c>
      <c r="K179" s="329">
        <f t="shared" si="8"/>
        <v>-815.45496910467773</v>
      </c>
    </row>
    <row r="180" spans="1:11" x14ac:dyDescent="0.25">
      <c r="A180" s="159">
        <f>+'B) D RI'!A181</f>
        <v>5702</v>
      </c>
      <c r="B180" s="435" t="str">
        <f>+'B) D RI'!B181</f>
        <v>Arzier-Le Muids</v>
      </c>
      <c r="C180" s="432">
        <v>3009446.0738705168</v>
      </c>
      <c r="D180" s="233">
        <f>VLOOKUP(B180,Synthèse!B180:F488,5,FALSE)</f>
        <v>3788622.0449349219</v>
      </c>
      <c r="E180" s="329">
        <f t="shared" si="6"/>
        <v>779175.97106440505</v>
      </c>
      <c r="F180" s="470">
        <v>1990665.7472327631</v>
      </c>
      <c r="G180" s="233">
        <v>2308020.2723334753</v>
      </c>
      <c r="H180" s="329">
        <f t="shared" si="7"/>
        <v>317354.5251007122</v>
      </c>
      <c r="I180" s="432">
        <v>420349.88599901414</v>
      </c>
      <c r="J180" s="233">
        <f>VLOOKUP(B180,'M) Police'!B180:O480,14,FALSE)</f>
        <v>444230.47024951363</v>
      </c>
      <c r="K180" s="329">
        <f t="shared" si="8"/>
        <v>23880.584250499494</v>
      </c>
    </row>
    <row r="181" spans="1:11" x14ac:dyDescent="0.25">
      <c r="A181" s="159">
        <f>+'B) D RI'!A182</f>
        <v>5703</v>
      </c>
      <c r="B181" s="435" t="str">
        <f>+'B) D RI'!B182</f>
        <v>Bassins</v>
      </c>
      <c r="C181" s="432">
        <v>897116.6589520186</v>
      </c>
      <c r="D181" s="233">
        <f>VLOOKUP(B181,Synthèse!B181:F489,5,FALSE)</f>
        <v>1005228.3959755624</v>
      </c>
      <c r="E181" s="329">
        <f t="shared" si="6"/>
        <v>108111.7370235438</v>
      </c>
      <c r="F181" s="470">
        <v>436214.00197039085</v>
      </c>
      <c r="G181" s="233">
        <v>521099.76289215428</v>
      </c>
      <c r="H181" s="329">
        <f t="shared" si="7"/>
        <v>84885.760921763431</v>
      </c>
      <c r="I181" s="432">
        <v>164856.61575362313</v>
      </c>
      <c r="J181" s="233">
        <f>VLOOKUP(B181,'M) Police'!B181:O481,14,FALSE)</f>
        <v>170867.87398246245</v>
      </c>
      <c r="K181" s="329">
        <f t="shared" si="8"/>
        <v>6011.2582288393169</v>
      </c>
    </row>
    <row r="182" spans="1:11" x14ac:dyDescent="0.25">
      <c r="A182" s="159">
        <f>+'B) D RI'!A183</f>
        <v>5704</v>
      </c>
      <c r="B182" s="435" t="str">
        <f>+'B) D RI'!B183</f>
        <v>Begnins</v>
      </c>
      <c r="C182" s="432">
        <v>2468495.5347297792</v>
      </c>
      <c r="D182" s="233">
        <f>VLOOKUP(B182,Synthèse!B182:F490,5,FALSE)</f>
        <v>2747298.978851926</v>
      </c>
      <c r="E182" s="329">
        <f t="shared" si="6"/>
        <v>278803.44412214682</v>
      </c>
      <c r="F182" s="470">
        <v>1781822.3013649224</v>
      </c>
      <c r="G182" s="233">
        <v>1865369.4434543801</v>
      </c>
      <c r="H182" s="329">
        <f t="shared" si="7"/>
        <v>83547.142089457717</v>
      </c>
      <c r="I182" s="432">
        <v>311596.83814934874</v>
      </c>
      <c r="J182" s="233">
        <f>VLOOKUP(B182,'M) Police'!B182:O482,14,FALSE)</f>
        <v>317876.50808109983</v>
      </c>
      <c r="K182" s="329">
        <f t="shared" si="8"/>
        <v>6279.6699317510938</v>
      </c>
    </row>
    <row r="183" spans="1:11" x14ac:dyDescent="0.25">
      <c r="A183" s="159">
        <f>+'B) D RI'!A184</f>
        <v>5705</v>
      </c>
      <c r="B183" s="435" t="str">
        <f>+'B) D RI'!B184</f>
        <v>Bogis-Bossey</v>
      </c>
      <c r="C183" s="432">
        <v>902912.76871644915</v>
      </c>
      <c r="D183" s="233">
        <f>VLOOKUP(B183,Synthèse!B183:F491,5,FALSE)</f>
        <v>927423.95382160798</v>
      </c>
      <c r="E183" s="329">
        <f t="shared" si="6"/>
        <v>24511.185105158831</v>
      </c>
      <c r="F183" s="470">
        <v>840080.30288650584</v>
      </c>
      <c r="G183" s="233">
        <v>846811.63831432583</v>
      </c>
      <c r="H183" s="329">
        <f t="shared" si="7"/>
        <v>6731.335427819984</v>
      </c>
      <c r="I183" s="432">
        <v>135527.39697569521</v>
      </c>
      <c r="J183" s="233">
        <f>VLOOKUP(B183,'M) Police'!B183:O483,14,FALSE)</f>
        <v>135468.06698532868</v>
      </c>
      <c r="K183" s="329">
        <f t="shared" si="8"/>
        <v>-59.329990366532002</v>
      </c>
    </row>
    <row r="184" spans="1:11" x14ac:dyDescent="0.25">
      <c r="A184" s="159">
        <f>+'B) D RI'!A185</f>
        <v>5706</v>
      </c>
      <c r="B184" s="435" t="str">
        <f>+'B) D RI'!B185</f>
        <v>Borex</v>
      </c>
      <c r="C184" s="432">
        <v>1359237.3359161611</v>
      </c>
      <c r="D184" s="233">
        <f>VLOOKUP(B184,Synthèse!B184:F492,5,FALSE)</f>
        <v>1316081.2395999685</v>
      </c>
      <c r="E184" s="329">
        <f t="shared" si="6"/>
        <v>-43156.096316192532</v>
      </c>
      <c r="F184" s="470">
        <v>1127196.5291660428</v>
      </c>
      <c r="G184" s="233">
        <v>1171978.76958153</v>
      </c>
      <c r="H184" s="329">
        <f t="shared" si="7"/>
        <v>44782.240415487206</v>
      </c>
      <c r="I184" s="432">
        <v>182540.17125500657</v>
      </c>
      <c r="J184" s="233">
        <f>VLOOKUP(B184,'M) Police'!B184:O484,14,FALSE)</f>
        <v>184248.50542121852</v>
      </c>
      <c r="K184" s="329">
        <f t="shared" si="8"/>
        <v>1708.3341662119492</v>
      </c>
    </row>
    <row r="185" spans="1:11" x14ac:dyDescent="0.25">
      <c r="A185" s="159">
        <f>+'B) D RI'!A186</f>
        <v>5707</v>
      </c>
      <c r="B185" s="435" t="str">
        <f>+'B) D RI'!B186</f>
        <v>Chavannes-de-Bogis</v>
      </c>
      <c r="C185" s="432">
        <v>2698071.6942950711</v>
      </c>
      <c r="D185" s="233">
        <f>VLOOKUP(B185,Synthèse!B185:F493,5,FALSE)</f>
        <v>1699756.6269108569</v>
      </c>
      <c r="E185" s="329">
        <f t="shared" si="6"/>
        <v>-998315.06738421414</v>
      </c>
      <c r="F185" s="470">
        <v>1609040.5696758975</v>
      </c>
      <c r="G185" s="233">
        <v>1254270.6234727127</v>
      </c>
      <c r="H185" s="329">
        <f t="shared" si="7"/>
        <v>-354769.94620318478</v>
      </c>
      <c r="I185" s="432">
        <v>221870.20222428246</v>
      </c>
      <c r="J185" s="233">
        <f>VLOOKUP(B185,'M) Police'!B185:O485,14,FALSE)</f>
        <v>204955.67277247593</v>
      </c>
      <c r="K185" s="329">
        <f t="shared" si="8"/>
        <v>-16914.529451806535</v>
      </c>
    </row>
    <row r="186" spans="1:11" x14ac:dyDescent="0.25">
      <c r="A186" s="159">
        <f>+'B) D RI'!A187</f>
        <v>5708</v>
      </c>
      <c r="B186" s="435" t="str">
        <f>+'B) D RI'!B187</f>
        <v>Chavannes-des-Bois</v>
      </c>
      <c r="C186" s="432">
        <v>1534775.1580443515</v>
      </c>
      <c r="D186" s="233">
        <f>VLOOKUP(B186,Synthèse!B186:F494,5,FALSE)</f>
        <v>1076725.4096088323</v>
      </c>
      <c r="E186" s="329">
        <f t="shared" si="6"/>
        <v>-458049.74843551917</v>
      </c>
      <c r="F186" s="470">
        <v>1089848.6894724919</v>
      </c>
      <c r="G186" s="233">
        <v>974368.98984887265</v>
      </c>
      <c r="H186" s="329">
        <f t="shared" si="7"/>
        <v>-115479.69962361921</v>
      </c>
      <c r="I186" s="432">
        <v>154969.89288781898</v>
      </c>
      <c r="J186" s="233">
        <f>VLOOKUP(B186,'M) Police'!B186:O486,14,FALSE)</f>
        <v>152774.00147751102</v>
      </c>
      <c r="K186" s="329">
        <f t="shared" si="8"/>
        <v>-2195.8914103079587</v>
      </c>
    </row>
    <row r="187" spans="1:11" x14ac:dyDescent="0.25">
      <c r="A187" s="159">
        <f>+'B) D RI'!A188</f>
        <v>5709</v>
      </c>
      <c r="B187" s="435" t="str">
        <f>+'B) D RI'!B188</f>
        <v>Chéserex</v>
      </c>
      <c r="C187" s="432">
        <v>4386127.3659539353</v>
      </c>
      <c r="D187" s="233">
        <f>VLOOKUP(B187,Synthèse!B187:F495,5,FALSE)</f>
        <v>2626349.1521841721</v>
      </c>
      <c r="E187" s="329">
        <f t="shared" si="6"/>
        <v>-1759778.2137697632</v>
      </c>
      <c r="F187" s="470">
        <v>1989519.6417383729</v>
      </c>
      <c r="G187" s="233">
        <v>1723313.1215378805</v>
      </c>
      <c r="H187" s="329">
        <f t="shared" si="7"/>
        <v>-266206.52020049235</v>
      </c>
      <c r="I187" s="432">
        <v>267782.95570422348</v>
      </c>
      <c r="J187" s="233">
        <f>VLOOKUP(B187,'M) Police'!B187:O487,14,FALSE)</f>
        <v>229816.59837347316</v>
      </c>
      <c r="K187" s="329">
        <f t="shared" si="8"/>
        <v>-37966.357330750325</v>
      </c>
    </row>
    <row r="188" spans="1:11" x14ac:dyDescent="0.25">
      <c r="A188" s="159">
        <f>+'B) D RI'!A189</f>
        <v>5710</v>
      </c>
      <c r="B188" s="435" t="str">
        <f>+'B) D RI'!B189</f>
        <v>Coinsins</v>
      </c>
      <c r="C188" s="432">
        <v>2111260.5090750046</v>
      </c>
      <c r="D188" s="233">
        <f>VLOOKUP(B188,Synthèse!B188:F496,5,FALSE)</f>
        <v>4379369.0760371648</v>
      </c>
      <c r="E188" s="329">
        <f t="shared" si="6"/>
        <v>2268108.5669621602</v>
      </c>
      <c r="F188" s="470">
        <v>1160824.5277176327</v>
      </c>
      <c r="G188" s="233">
        <v>1222102.6474922448</v>
      </c>
      <c r="H188" s="329">
        <f t="shared" si="7"/>
        <v>61278.119774612132</v>
      </c>
      <c r="I188" s="432">
        <v>126202.99235167888</v>
      </c>
      <c r="J188" s="233">
        <f>VLOOKUP(B188,'M) Police'!B188:O488,14,FALSE)</f>
        <v>162008.45674002674</v>
      </c>
      <c r="K188" s="329">
        <f t="shared" si="8"/>
        <v>35805.464388347857</v>
      </c>
    </row>
    <row r="189" spans="1:11" x14ac:dyDescent="0.25">
      <c r="A189" s="159">
        <f>+'B) D RI'!A190</f>
        <v>5711</v>
      </c>
      <c r="B189" s="435" t="str">
        <f>+'B) D RI'!B190</f>
        <v>Commugny</v>
      </c>
      <c r="C189" s="432">
        <v>6680048.9775492158</v>
      </c>
      <c r="D189" s="233">
        <f>VLOOKUP(B189,Synthèse!B189:F497,5,FALSE)</f>
        <v>7306631.6523652263</v>
      </c>
      <c r="E189" s="329">
        <f t="shared" si="6"/>
        <v>626582.67481601052</v>
      </c>
      <c r="F189" s="470">
        <v>3620378.995117987</v>
      </c>
      <c r="G189" s="233">
        <v>4032715.2721145842</v>
      </c>
      <c r="H189" s="329">
        <f t="shared" si="7"/>
        <v>412336.27699659718</v>
      </c>
      <c r="I189" s="432">
        <v>516861.18531921442</v>
      </c>
      <c r="J189" s="233">
        <f>VLOOKUP(B189,'M) Police'!B189:O489,14,FALSE)</f>
        <v>560337.2919485484</v>
      </c>
      <c r="K189" s="329">
        <f t="shared" si="8"/>
        <v>43476.106629333983</v>
      </c>
    </row>
    <row r="190" spans="1:11" x14ac:dyDescent="0.25">
      <c r="A190" s="159">
        <f>+'B) D RI'!A191</f>
        <v>5712</v>
      </c>
      <c r="B190" s="435" t="str">
        <f>+'B) D RI'!B191</f>
        <v>Coppet</v>
      </c>
      <c r="C190" s="432">
        <v>9249297.0160776079</v>
      </c>
      <c r="D190" s="233">
        <f>VLOOKUP(B190,Synthèse!B190:F498,5,FALSE)</f>
        <v>10468419.984265693</v>
      </c>
      <c r="E190" s="329">
        <f t="shared" si="6"/>
        <v>1219122.9681880847</v>
      </c>
      <c r="F190" s="470">
        <v>4530011.0732082305</v>
      </c>
      <c r="G190" s="233">
        <v>4827549.6798852514</v>
      </c>
      <c r="H190" s="329">
        <f t="shared" si="7"/>
        <v>297538.6066770209</v>
      </c>
      <c r="I190" s="432">
        <v>621978.23235561722</v>
      </c>
      <c r="J190" s="233">
        <f>VLOOKUP(B190,'M) Police'!B190:O490,14,FALSE)</f>
        <v>642593.89263840055</v>
      </c>
      <c r="K190" s="329">
        <f t="shared" si="8"/>
        <v>20615.660282783327</v>
      </c>
    </row>
    <row r="191" spans="1:11" x14ac:dyDescent="0.25">
      <c r="A191" s="159">
        <f>+'B) D RI'!A192</f>
        <v>5713</v>
      </c>
      <c r="B191" s="435" t="str">
        <f>+'B) D RI'!B192</f>
        <v>Crans-près-Céligny</v>
      </c>
      <c r="C191" s="432">
        <v>6681145.1262735371</v>
      </c>
      <c r="D191" s="233">
        <f>VLOOKUP(B191,Synthèse!B191:F499,5,FALSE)</f>
        <v>8046927.4115113057</v>
      </c>
      <c r="E191" s="329">
        <f t="shared" si="6"/>
        <v>1365782.2852377687</v>
      </c>
      <c r="F191" s="470">
        <v>3317481.0994789843</v>
      </c>
      <c r="G191" s="233">
        <v>3969004.5424049608</v>
      </c>
      <c r="H191" s="329">
        <f t="shared" si="7"/>
        <v>651523.44292597659</v>
      </c>
      <c r="I191" s="432">
        <v>263771.45295372623</v>
      </c>
      <c r="J191" s="233">
        <f>VLOOKUP(B191,'M) Police'!B191:O491,14,FALSE)</f>
        <v>293877.75754943589</v>
      </c>
      <c r="K191" s="329">
        <f t="shared" si="8"/>
        <v>30106.304595709662</v>
      </c>
    </row>
    <row r="192" spans="1:11" x14ac:dyDescent="0.25">
      <c r="A192" s="159">
        <f>+'B) D RI'!A193</f>
        <v>5714</v>
      </c>
      <c r="B192" s="435" t="str">
        <f>+'B) D RI'!B193</f>
        <v>Crassier</v>
      </c>
      <c r="C192" s="432">
        <v>1759050.5489440837</v>
      </c>
      <c r="D192" s="233">
        <f>VLOOKUP(B192,Synthèse!B192:F500,5,FALSE)</f>
        <v>1530291.1204029568</v>
      </c>
      <c r="E192" s="329">
        <f t="shared" si="6"/>
        <v>-228759.42854112689</v>
      </c>
      <c r="F192" s="470">
        <v>1334588.6080724392</v>
      </c>
      <c r="G192" s="233">
        <v>1260280.3802384334</v>
      </c>
      <c r="H192" s="329">
        <f t="shared" si="7"/>
        <v>-74308.22783400584</v>
      </c>
      <c r="I192" s="432">
        <v>204972.50782282383</v>
      </c>
      <c r="J192" s="233">
        <f>VLOOKUP(B192,'M) Police'!B192:O492,14,FALSE)</f>
        <v>193835.00938373365</v>
      </c>
      <c r="K192" s="329">
        <f t="shared" si="8"/>
        <v>-11137.498439090181</v>
      </c>
    </row>
    <row r="193" spans="1:11" x14ac:dyDescent="0.25">
      <c r="A193" s="159">
        <f>+'B) D RI'!A194</f>
        <v>5715</v>
      </c>
      <c r="B193" s="435" t="str">
        <f>+'B) D RI'!B194</f>
        <v>Duillier</v>
      </c>
      <c r="C193" s="432">
        <v>1293140.7067150879</v>
      </c>
      <c r="D193" s="233">
        <f>VLOOKUP(B193,Synthèse!B193:F501,5,FALSE)</f>
        <v>1805068.9162624711</v>
      </c>
      <c r="E193" s="329">
        <f t="shared" si="6"/>
        <v>511928.20954738325</v>
      </c>
      <c r="F193" s="470">
        <v>1073333.6194836299</v>
      </c>
      <c r="G193" s="233">
        <v>1279506.1533660081</v>
      </c>
      <c r="H193" s="329">
        <f t="shared" si="7"/>
        <v>206172.53388237813</v>
      </c>
      <c r="I193" s="432">
        <v>172174.23954296048</v>
      </c>
      <c r="J193" s="233">
        <f>VLOOKUP(B193,'M) Police'!B193:O493,14,FALSE)</f>
        <v>185318.13690859941</v>
      </c>
      <c r="K193" s="329">
        <f t="shared" si="8"/>
        <v>13143.897365638928</v>
      </c>
    </row>
    <row r="194" spans="1:11" x14ac:dyDescent="0.25">
      <c r="A194" s="159">
        <f>+'B) D RI'!A195</f>
        <v>5716</v>
      </c>
      <c r="B194" s="435" t="str">
        <f>+'B) D RI'!B195</f>
        <v>Eysins</v>
      </c>
      <c r="C194" s="432">
        <v>2363993.5354548991</v>
      </c>
      <c r="D194" s="233">
        <f>VLOOKUP(B194,Synthèse!B194:F502,5,FALSE)</f>
        <v>5166085.0135866106</v>
      </c>
      <c r="E194" s="329">
        <f t="shared" si="6"/>
        <v>2802091.4781317115</v>
      </c>
      <c r="F194" s="470">
        <v>1453809.3453815901</v>
      </c>
      <c r="G194" s="233">
        <v>2643797.3202319369</v>
      </c>
      <c r="H194" s="329">
        <f t="shared" si="7"/>
        <v>1189987.9748503468</v>
      </c>
      <c r="I194" s="432">
        <v>247517.82864182419</v>
      </c>
      <c r="J194" s="233">
        <f>VLOOKUP(B194,'M) Police'!B194:O494,14,FALSE)</f>
        <v>332589.82065942569</v>
      </c>
      <c r="K194" s="329">
        <f t="shared" si="8"/>
        <v>85071.9920176015</v>
      </c>
    </row>
    <row r="195" spans="1:11" x14ac:dyDescent="0.25">
      <c r="A195" s="159">
        <f>+'B) D RI'!A196</f>
        <v>5717</v>
      </c>
      <c r="B195" s="435" t="str">
        <f>+'B) D RI'!B196</f>
        <v>Founex</v>
      </c>
      <c r="C195" s="432">
        <v>10061223.4081131</v>
      </c>
      <c r="D195" s="233">
        <f>VLOOKUP(B195,Synthèse!B195:F503,5,FALSE)</f>
        <v>9759790.6382162161</v>
      </c>
      <c r="E195" s="329">
        <f t="shared" si="6"/>
        <v>-301432.76989688352</v>
      </c>
      <c r="F195" s="470">
        <v>5048060.2821215726</v>
      </c>
      <c r="G195" s="233">
        <v>5246051.9483950334</v>
      </c>
      <c r="H195" s="329">
        <f t="shared" si="7"/>
        <v>197991.66627346072</v>
      </c>
      <c r="I195" s="432">
        <v>713808.5884350402</v>
      </c>
      <c r="J195" s="233">
        <f>VLOOKUP(B195,'M) Police'!B195:O495,14,FALSE)</f>
        <v>746752.98143128026</v>
      </c>
      <c r="K195" s="329">
        <f t="shared" si="8"/>
        <v>32944.392996240058</v>
      </c>
    </row>
    <row r="196" spans="1:11" x14ac:dyDescent="0.25">
      <c r="A196" s="159">
        <f>+'B) D RI'!A197</f>
        <v>5718</v>
      </c>
      <c r="B196" s="435" t="str">
        <f>+'B) D RI'!B197</f>
        <v>Genolier</v>
      </c>
      <c r="C196" s="432">
        <v>5474221.0441153347</v>
      </c>
      <c r="D196" s="233">
        <f>VLOOKUP(B196,Synthèse!B196:F504,5,FALSE)</f>
        <v>4461485.239250388</v>
      </c>
      <c r="E196" s="329">
        <f t="shared" si="6"/>
        <v>-1012735.8048649468</v>
      </c>
      <c r="F196" s="470">
        <v>2876291.128630416</v>
      </c>
      <c r="G196" s="233">
        <v>2557813.7368211509</v>
      </c>
      <c r="H196" s="329">
        <f t="shared" si="7"/>
        <v>-318477.39180926513</v>
      </c>
      <c r="I196" s="432">
        <v>391677.70497944299</v>
      </c>
      <c r="J196" s="233">
        <f>VLOOKUP(B196,'M) Police'!B196:O496,14,FALSE)</f>
        <v>364215.8097470231</v>
      </c>
      <c r="K196" s="329">
        <f t="shared" si="8"/>
        <v>-27461.895232419891</v>
      </c>
    </row>
    <row r="197" spans="1:11" x14ac:dyDescent="0.25">
      <c r="A197" s="159">
        <f>+'B) D RI'!A198</f>
        <v>5719</v>
      </c>
      <c r="B197" s="435" t="str">
        <f>+'B) D RI'!B198</f>
        <v>Gingins</v>
      </c>
      <c r="C197" s="432">
        <v>2325274.0521660089</v>
      </c>
      <c r="D197" s="233">
        <f>VLOOKUP(B197,Synthèse!B197:F505,5,FALSE)</f>
        <v>2990040.9965730337</v>
      </c>
      <c r="E197" s="329">
        <f t="shared" si="6"/>
        <v>664766.94440702489</v>
      </c>
      <c r="F197" s="470">
        <v>1442341.8039528504</v>
      </c>
      <c r="G197" s="233">
        <v>1761378.1005785265</v>
      </c>
      <c r="H197" s="329">
        <f t="shared" si="7"/>
        <v>319036.2966256761</v>
      </c>
      <c r="I197" s="432">
        <v>214976.17768832762</v>
      </c>
      <c r="J197" s="233">
        <f>VLOOKUP(B197,'M) Police'!B197:O497,14,FALSE)</f>
        <v>232201.58942231804</v>
      </c>
      <c r="K197" s="329">
        <f t="shared" si="8"/>
        <v>17225.411733990419</v>
      </c>
    </row>
    <row r="198" spans="1:11" x14ac:dyDescent="0.25">
      <c r="A198" s="159">
        <f>+'B) D RI'!A199</f>
        <v>5720</v>
      </c>
      <c r="B198" s="435" t="str">
        <f>+'B) D RI'!B199</f>
        <v>Givrins</v>
      </c>
      <c r="C198" s="432">
        <v>1614527.7086157277</v>
      </c>
      <c r="D198" s="233">
        <f>VLOOKUP(B198,Synthèse!B198:F506,5,FALSE)</f>
        <v>1351250.3920992729</v>
      </c>
      <c r="E198" s="329">
        <f t="shared" si="6"/>
        <v>-263277.3165164548</v>
      </c>
      <c r="F198" s="470">
        <v>1212731.9826174411</v>
      </c>
      <c r="G198" s="233">
        <v>1100537.3169792241</v>
      </c>
      <c r="H198" s="329">
        <f t="shared" si="7"/>
        <v>-112194.665638217</v>
      </c>
      <c r="I198" s="432">
        <v>178199.85559544613</v>
      </c>
      <c r="J198" s="233">
        <f>VLOOKUP(B198,'M) Police'!B198:O498,14,FALSE)</f>
        <v>169719.165369333</v>
      </c>
      <c r="K198" s="329">
        <f t="shared" si="8"/>
        <v>-8480.6902261131327</v>
      </c>
    </row>
    <row r="199" spans="1:11" x14ac:dyDescent="0.25">
      <c r="A199" s="159">
        <f>+'B) D RI'!A200</f>
        <v>5721</v>
      </c>
      <c r="B199" s="435" t="str">
        <f>+'B) D RI'!B200</f>
        <v>Gland</v>
      </c>
      <c r="C199" s="432">
        <v>10001140.448422505</v>
      </c>
      <c r="D199" s="233">
        <f>VLOOKUP(B199,Synthèse!B199:F507,5,FALSE)</f>
        <v>11661612.086611005</v>
      </c>
      <c r="E199" s="329">
        <f t="shared" ref="E199:E262" si="9">+D199-C199</f>
        <v>1660471.6381885</v>
      </c>
      <c r="F199" s="470">
        <v>2079601.720107737</v>
      </c>
      <c r="G199" s="233">
        <v>4580661.4174125502</v>
      </c>
      <c r="H199" s="329">
        <f t="shared" ref="H199:H262" si="10">+G199-F199</f>
        <v>2501059.6973048132</v>
      </c>
      <c r="I199" s="432">
        <v>1695733.9374470417</v>
      </c>
      <c r="J199" s="233">
        <f>VLOOKUP(B199,'M) Police'!B199:O499,14,FALSE)</f>
        <v>1936902.2305037021</v>
      </c>
      <c r="K199" s="329">
        <f t="shared" ref="K199:K262" si="11">+J199-I199</f>
        <v>241168.29305666033</v>
      </c>
    </row>
    <row r="200" spans="1:11" x14ac:dyDescent="0.25">
      <c r="A200" s="159">
        <f>+'B) D RI'!A201</f>
        <v>5722</v>
      </c>
      <c r="B200" s="435" t="str">
        <f>+'B) D RI'!B201</f>
        <v>Grens</v>
      </c>
      <c r="C200" s="432">
        <v>498024.77858272346</v>
      </c>
      <c r="D200" s="233">
        <f>VLOOKUP(B200,Synthèse!B200:F508,5,FALSE)</f>
        <v>349658.66661168897</v>
      </c>
      <c r="E200" s="329">
        <f t="shared" si="9"/>
        <v>-148366.11197103449</v>
      </c>
      <c r="F200" s="470">
        <v>348354.61415484105</v>
      </c>
      <c r="G200" s="233">
        <v>380519.96852716996</v>
      </c>
      <c r="H200" s="329">
        <f t="shared" si="10"/>
        <v>32165.354372328904</v>
      </c>
      <c r="I200" s="432">
        <v>59386.317255450354</v>
      </c>
      <c r="J200" s="233">
        <f>VLOOKUP(B200,'M) Police'!B200:O500,14,FALSE)</f>
        <v>61003.335239428816</v>
      </c>
      <c r="K200" s="329">
        <f t="shared" si="11"/>
        <v>1617.0179839784614</v>
      </c>
    </row>
    <row r="201" spans="1:11" x14ac:dyDescent="0.25">
      <c r="A201" s="159">
        <f>+'B) D RI'!A202</f>
        <v>5723</v>
      </c>
      <c r="B201" s="435" t="str">
        <f>+'B) D RI'!B202</f>
        <v>Mies</v>
      </c>
      <c r="C201" s="432">
        <v>23611216.908077907</v>
      </c>
      <c r="D201" s="233">
        <f>VLOOKUP(B201,Synthèse!B201:F509,5,FALSE)</f>
        <v>18030805.539138153</v>
      </c>
      <c r="E201" s="329">
        <f t="shared" si="9"/>
        <v>-5580411.3689397536</v>
      </c>
      <c r="F201" s="470">
        <v>4358930.331718009</v>
      </c>
      <c r="G201" s="233">
        <v>4940715.4445353188</v>
      </c>
      <c r="H201" s="329">
        <f t="shared" si="10"/>
        <v>581785.1128173098</v>
      </c>
      <c r="I201" s="432">
        <v>756298.71213324089</v>
      </c>
      <c r="J201" s="233">
        <f>VLOOKUP(B201,'M) Police'!B201:O501,14,FALSE)</f>
        <v>667736.3678889533</v>
      </c>
      <c r="K201" s="329">
        <f t="shared" si="11"/>
        <v>-88562.344244287582</v>
      </c>
    </row>
    <row r="202" spans="1:11" x14ac:dyDescent="0.25">
      <c r="A202" s="159">
        <f>+'B) D RI'!A203</f>
        <v>5724</v>
      </c>
      <c r="B202" s="435" t="str">
        <f>+'B) D RI'!B203</f>
        <v>Nyon</v>
      </c>
      <c r="C202" s="432">
        <v>32776526.172828536</v>
      </c>
      <c r="D202" s="233">
        <f>VLOOKUP(B202,Synthèse!B202:F510,5,FALSE)</f>
        <v>28447777.397301357</v>
      </c>
      <c r="E202" s="329">
        <f t="shared" si="9"/>
        <v>-4328748.7755271792</v>
      </c>
      <c r="F202" s="470">
        <v>10819054.905430652</v>
      </c>
      <c r="G202" s="233">
        <v>7980568.2109089792</v>
      </c>
      <c r="H202" s="329">
        <f t="shared" si="10"/>
        <v>-2838486.694521673</v>
      </c>
      <c r="I202" s="432">
        <v>1776116.508578361</v>
      </c>
      <c r="J202" s="233">
        <f>VLOOKUP(B202,'M) Police'!B202:O502,14,FALSE)</f>
        <v>1628244.8050291517</v>
      </c>
      <c r="K202" s="329">
        <f t="shared" si="11"/>
        <v>-147871.70354920928</v>
      </c>
    </row>
    <row r="203" spans="1:11" x14ac:dyDescent="0.25">
      <c r="A203" s="159">
        <f>+'B) D RI'!A204</f>
        <v>5725</v>
      </c>
      <c r="B203" s="435" t="str">
        <f>+'B) D RI'!B204</f>
        <v>Prangins</v>
      </c>
      <c r="C203" s="432">
        <v>7525919.2156192828</v>
      </c>
      <c r="D203" s="233">
        <f>VLOOKUP(B203,Synthèse!B203:F511,5,FALSE)</f>
        <v>8166049.398237397</v>
      </c>
      <c r="E203" s="329">
        <f t="shared" si="9"/>
        <v>640130.18261811417</v>
      </c>
      <c r="F203" s="470">
        <v>4367431.1923064291</v>
      </c>
      <c r="G203" s="233">
        <v>4461367.1575775007</v>
      </c>
      <c r="H203" s="329">
        <f t="shared" si="10"/>
        <v>93935.965271071531</v>
      </c>
      <c r="I203" s="432">
        <v>391446.66369919281</v>
      </c>
      <c r="J203" s="233">
        <f>VLOOKUP(B203,'M) Police'!B203:O503,14,FALSE)</f>
        <v>378647.37660983787</v>
      </c>
      <c r="K203" s="329">
        <f t="shared" si="11"/>
        <v>-12799.287089354941</v>
      </c>
    </row>
    <row r="204" spans="1:11" x14ac:dyDescent="0.25">
      <c r="A204" s="159">
        <f>+'B) D RI'!A205</f>
        <v>5726</v>
      </c>
      <c r="B204" s="435" t="str">
        <f>+'B) D RI'!B205</f>
        <v>La Rippe</v>
      </c>
      <c r="C204" s="432">
        <v>1064569.3064724498</v>
      </c>
      <c r="D204" s="233">
        <f>VLOOKUP(B204,Synthèse!B204:F512,5,FALSE)</f>
        <v>933596.18264567002</v>
      </c>
      <c r="E204" s="329">
        <f t="shared" si="9"/>
        <v>-130973.12382677977</v>
      </c>
      <c r="F204" s="470">
        <v>992908.87096725614</v>
      </c>
      <c r="G204" s="233">
        <v>956311.17004792066</v>
      </c>
      <c r="H204" s="329">
        <f t="shared" si="10"/>
        <v>-36597.700919335475</v>
      </c>
      <c r="I204" s="432">
        <v>178406.34873892393</v>
      </c>
      <c r="J204" s="233">
        <f>VLOOKUP(B204,'M) Police'!B204:O504,14,FALSE)</f>
        <v>173910.56838676729</v>
      </c>
      <c r="K204" s="329">
        <f t="shared" si="11"/>
        <v>-4495.7803521566384</v>
      </c>
    </row>
    <row r="205" spans="1:11" x14ac:dyDescent="0.25">
      <c r="A205" s="159">
        <f>+'B) D RI'!A206</f>
        <v>5727</v>
      </c>
      <c r="B205" s="435" t="str">
        <f>+'B) D RI'!B206</f>
        <v>Saint-Cergue</v>
      </c>
      <c r="C205" s="432">
        <v>1787669.1739847893</v>
      </c>
      <c r="D205" s="233">
        <f>VLOOKUP(B205,Synthèse!B205:F513,5,FALSE)</f>
        <v>1550889.5111504458</v>
      </c>
      <c r="E205" s="329">
        <f t="shared" si="9"/>
        <v>-236779.6628343435</v>
      </c>
      <c r="F205" s="470">
        <v>602660.15836113016</v>
      </c>
      <c r="G205" s="233">
        <v>143855.06683038146</v>
      </c>
      <c r="H205" s="329">
        <f t="shared" si="10"/>
        <v>-458805.0915307487</v>
      </c>
      <c r="I205" s="432">
        <v>296468.93379623437</v>
      </c>
      <c r="J205" s="233">
        <f>VLOOKUP(B205,'M) Police'!B205:O505,14,FALSE)</f>
        <v>259476.42693731384</v>
      </c>
      <c r="K205" s="329">
        <f t="shared" si="11"/>
        <v>-36992.506858920533</v>
      </c>
    </row>
    <row r="206" spans="1:11" x14ac:dyDescent="0.25">
      <c r="A206" s="159">
        <f>+'B) D RI'!A207</f>
        <v>5728</v>
      </c>
      <c r="B206" s="435" t="str">
        <f>+'B) D RI'!B207</f>
        <v>Signy-Avenex</v>
      </c>
      <c r="C206" s="432">
        <v>816152.0616237619</v>
      </c>
      <c r="D206" s="233">
        <f>VLOOKUP(B206,Synthèse!B206:F514,5,FALSE)</f>
        <v>1054188.8080702499</v>
      </c>
      <c r="E206" s="329">
        <f t="shared" si="9"/>
        <v>238036.74644648796</v>
      </c>
      <c r="F206" s="470">
        <v>564155.79336008662</v>
      </c>
      <c r="G206" s="233">
        <v>745486.08501486992</v>
      </c>
      <c r="H206" s="329">
        <f t="shared" si="10"/>
        <v>181330.2916547833</v>
      </c>
      <c r="I206" s="432">
        <v>87329.921750692854</v>
      </c>
      <c r="J206" s="233">
        <f>VLOOKUP(B206,'M) Police'!B206:O506,14,FALSE)</f>
        <v>103457.36944402427</v>
      </c>
      <c r="K206" s="329">
        <f t="shared" si="11"/>
        <v>16127.447693331414</v>
      </c>
    </row>
    <row r="207" spans="1:11" x14ac:dyDescent="0.25">
      <c r="A207" s="159">
        <f>+'B) D RI'!A208</f>
        <v>5729</v>
      </c>
      <c r="B207" s="435" t="str">
        <f>+'B) D RI'!B208</f>
        <v>Tannay</v>
      </c>
      <c r="C207" s="432">
        <v>3807958.6693698717</v>
      </c>
      <c r="D207" s="233">
        <f>VLOOKUP(B207,Synthèse!B207:F515,5,FALSE)</f>
        <v>3742112.4734881977</v>
      </c>
      <c r="E207" s="329">
        <f t="shared" si="9"/>
        <v>-65846.195881674066</v>
      </c>
      <c r="F207" s="470">
        <v>2160889.1069464241</v>
      </c>
      <c r="G207" s="233">
        <v>2246191.200052781</v>
      </c>
      <c r="H207" s="329">
        <f t="shared" si="10"/>
        <v>85302.093106356915</v>
      </c>
      <c r="I207" s="432">
        <v>290714.57116456155</v>
      </c>
      <c r="J207" s="233">
        <f>VLOOKUP(B207,'M) Police'!B207:O507,14,FALSE)</f>
        <v>303827.19864365947</v>
      </c>
      <c r="K207" s="329">
        <f t="shared" si="11"/>
        <v>13112.627479097922</v>
      </c>
    </row>
    <row r="208" spans="1:11" x14ac:dyDescent="0.25">
      <c r="A208" s="159">
        <f>+'B) D RI'!A209</f>
        <v>5730</v>
      </c>
      <c r="B208" s="435" t="str">
        <f>+'B) D RI'!B209</f>
        <v>Trélex</v>
      </c>
      <c r="C208" s="432">
        <v>3012799.6539615062</v>
      </c>
      <c r="D208" s="233">
        <f>VLOOKUP(B208,Synthèse!B208:F516,5,FALSE)</f>
        <v>4538017.6552034998</v>
      </c>
      <c r="E208" s="329">
        <f t="shared" si="9"/>
        <v>1525218.0012419936</v>
      </c>
      <c r="F208" s="470">
        <v>1931714.5817822935</v>
      </c>
      <c r="G208" s="233">
        <v>2427905.4793393151</v>
      </c>
      <c r="H208" s="329">
        <f t="shared" si="10"/>
        <v>496190.89755702158</v>
      </c>
      <c r="I208" s="432">
        <v>273079.61278694449</v>
      </c>
      <c r="J208" s="233">
        <f>VLOOKUP(B208,'M) Police'!B208:O508,14,FALSE)</f>
        <v>295635.39104467572</v>
      </c>
      <c r="K208" s="329">
        <f t="shared" si="11"/>
        <v>22555.778257731232</v>
      </c>
    </row>
    <row r="209" spans="1:11" x14ac:dyDescent="0.25">
      <c r="A209" s="159">
        <f>+'B) D RI'!A210</f>
        <v>5731</v>
      </c>
      <c r="B209" s="435" t="str">
        <f>+'B) D RI'!B210</f>
        <v>Le Vaud</v>
      </c>
      <c r="C209" s="432">
        <v>854435.10360267432</v>
      </c>
      <c r="D209" s="233">
        <f>VLOOKUP(B209,Synthèse!B209:F517,5,FALSE)</f>
        <v>1144916.0351133551</v>
      </c>
      <c r="E209" s="329">
        <f t="shared" si="9"/>
        <v>290480.93151068082</v>
      </c>
      <c r="F209" s="470">
        <v>373408.62929788523</v>
      </c>
      <c r="G209" s="233">
        <v>535952.53651581693</v>
      </c>
      <c r="H209" s="329">
        <f t="shared" si="10"/>
        <v>162543.9072179317</v>
      </c>
      <c r="I209" s="432">
        <v>149659.11737744388</v>
      </c>
      <c r="J209" s="233">
        <f>VLOOKUP(B209,'M) Police'!B209:O509,14,FALSE)</f>
        <v>164522.08178631531</v>
      </c>
      <c r="K209" s="329">
        <f t="shared" si="11"/>
        <v>14862.964408871427</v>
      </c>
    </row>
    <row r="210" spans="1:11" x14ac:dyDescent="0.25">
      <c r="A210" s="159">
        <f>+'B) D RI'!A211</f>
        <v>5732</v>
      </c>
      <c r="B210" s="435" t="str">
        <f>+'B) D RI'!B211</f>
        <v>Vich</v>
      </c>
      <c r="C210" s="432">
        <v>1881501.3723734745</v>
      </c>
      <c r="D210" s="233">
        <f>VLOOKUP(B210,Synthèse!B210:F518,5,FALSE)</f>
        <v>1494960.2863021824</v>
      </c>
      <c r="E210" s="329">
        <f t="shared" si="9"/>
        <v>-386541.08607129217</v>
      </c>
      <c r="F210" s="470">
        <v>1255404.6353843519</v>
      </c>
      <c r="G210" s="233">
        <v>1088268.1070344981</v>
      </c>
      <c r="H210" s="329">
        <f t="shared" si="10"/>
        <v>-167136.52834985382</v>
      </c>
      <c r="I210" s="432">
        <v>176534.92312869191</v>
      </c>
      <c r="J210" s="233">
        <f>VLOOKUP(B210,'M) Police'!B210:O510,14,FALSE)</f>
        <v>167793.43394899668</v>
      </c>
      <c r="K210" s="329">
        <f t="shared" si="11"/>
        <v>-8741.4891796952288</v>
      </c>
    </row>
    <row r="211" spans="1:11" x14ac:dyDescent="0.25">
      <c r="A211" s="159">
        <f>+'B) D RI'!A212</f>
        <v>5741</v>
      </c>
      <c r="B211" s="435" t="str">
        <f>+'B) D RI'!B212</f>
        <v>L'Abergement</v>
      </c>
      <c r="C211" s="432">
        <v>117321.81152598854</v>
      </c>
      <c r="D211" s="233">
        <f>VLOOKUP(B211,Synthèse!B211:F519,5,FALSE)</f>
        <v>133029.68850517343</v>
      </c>
      <c r="E211" s="329">
        <f t="shared" si="9"/>
        <v>15707.87697918489</v>
      </c>
      <c r="F211" s="470">
        <v>-81141.883832384396</v>
      </c>
      <c r="G211" s="233">
        <v>-94057.329624723847</v>
      </c>
      <c r="H211" s="329">
        <f t="shared" si="10"/>
        <v>-12915.445792339451</v>
      </c>
      <c r="I211" s="432">
        <v>20487.28268350249</v>
      </c>
      <c r="J211" s="233">
        <f>VLOOKUP(B211,'M) Police'!B211:O511,14,FALSE)</f>
        <v>23293.702976265424</v>
      </c>
      <c r="K211" s="329">
        <f t="shared" si="11"/>
        <v>2806.420292762934</v>
      </c>
    </row>
    <row r="212" spans="1:11" x14ac:dyDescent="0.25">
      <c r="A212" s="159">
        <f>+'B) D RI'!A213</f>
        <v>5742</v>
      </c>
      <c r="B212" s="435" t="str">
        <f>+'B) D RI'!B213</f>
        <v>Agiez</v>
      </c>
      <c r="C212" s="432">
        <v>175203.46337190378</v>
      </c>
      <c r="D212" s="233">
        <f>VLOOKUP(B212,Synthèse!B212:F520,5,FALSE)</f>
        <v>144610.60535837719</v>
      </c>
      <c r="E212" s="329">
        <f t="shared" si="9"/>
        <v>-30592.858013526595</v>
      </c>
      <c r="F212" s="470">
        <v>-6687.0076505443722</v>
      </c>
      <c r="G212" s="233">
        <v>6026.1156008886092</v>
      </c>
      <c r="H212" s="329">
        <f t="shared" si="10"/>
        <v>12713.123251432982</v>
      </c>
      <c r="I212" s="432">
        <v>26503.305076094279</v>
      </c>
      <c r="J212" s="233">
        <f>VLOOKUP(B212,'M) Police'!B212:O512,14,FALSE)</f>
        <v>28284.697834972019</v>
      </c>
      <c r="K212" s="329">
        <f t="shared" si="11"/>
        <v>1781.3927588777406</v>
      </c>
    </row>
    <row r="213" spans="1:11" x14ac:dyDescent="0.25">
      <c r="A213" s="159">
        <f>+'B) D RI'!A214</f>
        <v>5743</v>
      </c>
      <c r="B213" s="435" t="str">
        <f>+'B) D RI'!B214</f>
        <v>Arnex-sur-Orbe</v>
      </c>
      <c r="C213" s="432">
        <v>266845.03877809289</v>
      </c>
      <c r="D213" s="233">
        <f>VLOOKUP(B213,Synthèse!B213:F521,5,FALSE)</f>
        <v>418782.02187126852</v>
      </c>
      <c r="E213" s="329">
        <f t="shared" si="9"/>
        <v>151936.98309317563</v>
      </c>
      <c r="F213" s="470">
        <v>-128938.97090224407</v>
      </c>
      <c r="G213" s="233">
        <v>11777.391422523673</v>
      </c>
      <c r="H213" s="329">
        <f t="shared" si="10"/>
        <v>140716.36232476775</v>
      </c>
      <c r="I213" s="432">
        <v>51238.258823195516</v>
      </c>
      <c r="J213" s="233">
        <f>VLOOKUP(B213,'M) Police'!B213:O513,14,FALSE)</f>
        <v>57265.230139370091</v>
      </c>
      <c r="K213" s="329">
        <f t="shared" si="11"/>
        <v>6026.9713161745749</v>
      </c>
    </row>
    <row r="214" spans="1:11" x14ac:dyDescent="0.25">
      <c r="A214" s="159">
        <f>+'B) D RI'!A215</f>
        <v>5744</v>
      </c>
      <c r="B214" s="435" t="str">
        <f>+'B) D RI'!B215</f>
        <v>Ballaigues</v>
      </c>
      <c r="C214" s="432">
        <v>1638612.6715006649</v>
      </c>
      <c r="D214" s="233">
        <f>VLOOKUP(B214,Synthèse!B214:F522,5,FALSE)</f>
        <v>1109986.5839636864</v>
      </c>
      <c r="E214" s="329">
        <f t="shared" si="9"/>
        <v>-528626.08753697854</v>
      </c>
      <c r="F214" s="470">
        <v>828337.86284393049</v>
      </c>
      <c r="G214" s="233">
        <v>283049.20948632102</v>
      </c>
      <c r="H214" s="329">
        <f t="shared" si="10"/>
        <v>-545288.65335760941</v>
      </c>
      <c r="I214" s="432">
        <v>182382.89439615275</v>
      </c>
      <c r="J214" s="233">
        <f>VLOOKUP(B214,'M) Police'!B214:O514,14,FALSE)</f>
        <v>143942.66071964966</v>
      </c>
      <c r="K214" s="329">
        <f t="shared" si="11"/>
        <v>-38440.233676503092</v>
      </c>
    </row>
    <row r="215" spans="1:11" x14ac:dyDescent="0.25">
      <c r="A215" s="159">
        <f>+'B) D RI'!A216</f>
        <v>5745</v>
      </c>
      <c r="B215" s="435" t="str">
        <f>+'B) D RI'!B216</f>
        <v>Baulmes</v>
      </c>
      <c r="C215" s="432">
        <v>486986.99755400605</v>
      </c>
      <c r="D215" s="233">
        <f>VLOOKUP(B215,Synthèse!B215:F523,5,FALSE)</f>
        <v>609194.83738188213</v>
      </c>
      <c r="E215" s="329">
        <f t="shared" si="9"/>
        <v>122207.83982787607</v>
      </c>
      <c r="F215" s="470">
        <v>-473153.35114415316</v>
      </c>
      <c r="G215" s="233">
        <v>-336758.06576934457</v>
      </c>
      <c r="H215" s="329">
        <f t="shared" si="10"/>
        <v>136395.28537480859</v>
      </c>
      <c r="I215" s="432">
        <v>85064.801191374427</v>
      </c>
      <c r="J215" s="233">
        <f>VLOOKUP(B215,'M) Police'!B215:O515,14,FALSE)</f>
        <v>84508.473651726934</v>
      </c>
      <c r="K215" s="329">
        <f t="shared" si="11"/>
        <v>-556.32753964749281</v>
      </c>
    </row>
    <row r="216" spans="1:11" x14ac:dyDescent="0.25">
      <c r="A216" s="159">
        <f>+'B) D RI'!A217</f>
        <v>5746</v>
      </c>
      <c r="B216" s="435" t="str">
        <f>+'B) D RI'!B217</f>
        <v>Bavois</v>
      </c>
      <c r="C216" s="432">
        <v>458787.59747290751</v>
      </c>
      <c r="D216" s="233">
        <f>VLOOKUP(B216,Synthèse!B216:F524,5,FALSE)</f>
        <v>463178.87043621088</v>
      </c>
      <c r="E216" s="329">
        <f t="shared" si="9"/>
        <v>4391.2729633033741</v>
      </c>
      <c r="F216" s="470">
        <v>-151019.8491673836</v>
      </c>
      <c r="G216" s="233">
        <v>-133446.23948160361</v>
      </c>
      <c r="H216" s="329">
        <f t="shared" si="10"/>
        <v>17573.609685779986</v>
      </c>
      <c r="I216" s="432">
        <v>83416.431779689534</v>
      </c>
      <c r="J216" s="233">
        <f>VLOOKUP(B216,'M) Police'!B216:O516,14,FALSE)</f>
        <v>82109.223473440972</v>
      </c>
      <c r="K216" s="329">
        <f t="shared" si="11"/>
        <v>-1307.2083062485617</v>
      </c>
    </row>
    <row r="217" spans="1:11" x14ac:dyDescent="0.25">
      <c r="A217" s="159">
        <f>+'B) D RI'!A218</f>
        <v>5747</v>
      </c>
      <c r="B217" s="435" t="str">
        <f>+'B) D RI'!B218</f>
        <v>Bofflens</v>
      </c>
      <c r="C217" s="432">
        <v>87672.45444972298</v>
      </c>
      <c r="D217" s="233">
        <f>VLOOKUP(B217,Synthèse!B217:F525,5,FALSE)</f>
        <v>92454.605021885509</v>
      </c>
      <c r="E217" s="329">
        <f t="shared" si="9"/>
        <v>4782.150572162529</v>
      </c>
      <c r="F217" s="470">
        <v>12456.569140940792</v>
      </c>
      <c r="G217" s="233">
        <v>-32727.835263229506</v>
      </c>
      <c r="H217" s="329">
        <f t="shared" si="10"/>
        <v>-45184.404404170302</v>
      </c>
      <c r="I217" s="432">
        <v>16770.456795366277</v>
      </c>
      <c r="J217" s="233">
        <f>VLOOKUP(B217,'M) Police'!B217:O517,14,FALSE)</f>
        <v>15329.55727995987</v>
      </c>
      <c r="K217" s="329">
        <f t="shared" si="11"/>
        <v>-1440.8995154064069</v>
      </c>
    </row>
    <row r="218" spans="1:11" x14ac:dyDescent="0.25">
      <c r="A218" s="159">
        <f>+'B) D RI'!A219</f>
        <v>5748</v>
      </c>
      <c r="B218" s="435" t="str">
        <f>+'B) D RI'!B219</f>
        <v>Bretonnières</v>
      </c>
      <c r="C218" s="432">
        <v>136788.1741392008</v>
      </c>
      <c r="D218" s="233">
        <f>VLOOKUP(B218,Synthèse!B218:F526,5,FALSE)</f>
        <v>105009.90655414583</v>
      </c>
      <c r="E218" s="329">
        <f t="shared" si="9"/>
        <v>-31778.267585054971</v>
      </c>
      <c r="F218" s="470">
        <v>-46139.580921587636</v>
      </c>
      <c r="G218" s="233">
        <v>-103198.55575599051</v>
      </c>
      <c r="H218" s="329">
        <f t="shared" si="10"/>
        <v>-57058.974834402878</v>
      </c>
      <c r="I218" s="432">
        <v>23009.696172456534</v>
      </c>
      <c r="J218" s="233">
        <f>VLOOKUP(B218,'M) Police'!B218:O518,14,FALSE)</f>
        <v>16961.127521653798</v>
      </c>
      <c r="K218" s="329">
        <f t="shared" si="11"/>
        <v>-6048.5686508027356</v>
      </c>
    </row>
    <row r="219" spans="1:11" x14ac:dyDescent="0.25">
      <c r="A219" s="159">
        <f>+'B) D RI'!A220</f>
        <v>5749</v>
      </c>
      <c r="B219" s="435" t="str">
        <f>+'B) D RI'!B220</f>
        <v>Chavornay</v>
      </c>
      <c r="C219" s="432">
        <v>2582993.4764137319</v>
      </c>
      <c r="D219" s="233">
        <f>VLOOKUP(B219,Synthèse!B219:F527,5,FALSE)</f>
        <v>2451445.6670242464</v>
      </c>
      <c r="E219" s="329">
        <f t="shared" si="9"/>
        <v>-131547.80938948551</v>
      </c>
      <c r="F219" s="470">
        <v>-1578201.3943084297</v>
      </c>
      <c r="G219" s="233">
        <v>-1295613.0084223927</v>
      </c>
      <c r="H219" s="329">
        <f t="shared" si="10"/>
        <v>282588.38588603702</v>
      </c>
      <c r="I219" s="432">
        <v>417004.88310246391</v>
      </c>
      <c r="J219" s="233">
        <f>VLOOKUP(B219,'M) Police'!B219:O519,14,FALSE)</f>
        <v>433264.71014346927</v>
      </c>
      <c r="K219" s="329">
        <f t="shared" si="11"/>
        <v>16259.827041005366</v>
      </c>
    </row>
    <row r="220" spans="1:11" x14ac:dyDescent="0.25">
      <c r="A220" s="159">
        <f>+'B) D RI'!A221</f>
        <v>5750</v>
      </c>
      <c r="B220" s="435" t="str">
        <f>+'B) D RI'!B221</f>
        <v>Les Clées</v>
      </c>
      <c r="C220" s="432">
        <v>83679.718704196785</v>
      </c>
      <c r="D220" s="233">
        <f>VLOOKUP(B220,Synthèse!B220:F528,5,FALSE)</f>
        <v>75515.398046001123</v>
      </c>
      <c r="E220" s="329">
        <f t="shared" si="9"/>
        <v>-8164.320658195662</v>
      </c>
      <c r="F220" s="470">
        <v>-54383.226797344425</v>
      </c>
      <c r="G220" s="233">
        <v>-48117.01288341255</v>
      </c>
      <c r="H220" s="329">
        <f t="shared" si="10"/>
        <v>6266.2139139318751</v>
      </c>
      <c r="I220" s="432">
        <v>15270.023324396931</v>
      </c>
      <c r="J220" s="233">
        <f>VLOOKUP(B220,'M) Police'!B220:O520,14,FALSE)</f>
        <v>16127.838654264171</v>
      </c>
      <c r="K220" s="329">
        <f t="shared" si="11"/>
        <v>857.81532986724051</v>
      </c>
    </row>
    <row r="221" spans="1:11" x14ac:dyDescent="0.25">
      <c r="A221" s="159">
        <f>+'B) D RI'!A222</f>
        <v>5752</v>
      </c>
      <c r="B221" s="435" t="str">
        <f>+'B) D RI'!B222</f>
        <v>Croy</v>
      </c>
      <c r="C221" s="432">
        <v>162552.64359548243</v>
      </c>
      <c r="D221" s="233">
        <f>VLOOKUP(B221,Synthèse!B221:F529,5,FALSE)</f>
        <v>184173.08241148968</v>
      </c>
      <c r="E221" s="329">
        <f t="shared" si="9"/>
        <v>21620.438816007256</v>
      </c>
      <c r="F221" s="470">
        <v>-406613.38068935275</v>
      </c>
      <c r="G221" s="233">
        <v>-137596.03053757426</v>
      </c>
      <c r="H221" s="329">
        <f t="shared" si="10"/>
        <v>269017.35015177849</v>
      </c>
      <c r="I221" s="432">
        <v>29225.219318817773</v>
      </c>
      <c r="J221" s="233">
        <f>VLOOKUP(B221,'M) Police'!B221:O521,14,FALSE)</f>
        <v>33417.589013821816</v>
      </c>
      <c r="K221" s="329">
        <f t="shared" si="11"/>
        <v>4192.369695004043</v>
      </c>
    </row>
    <row r="222" spans="1:11" x14ac:dyDescent="0.25">
      <c r="A222" s="159">
        <f>+'B) D RI'!A223</f>
        <v>5754</v>
      </c>
      <c r="B222" s="435" t="str">
        <f>+'B) D RI'!B223</f>
        <v>Juriens</v>
      </c>
      <c r="C222" s="432">
        <v>124785.28307301083</v>
      </c>
      <c r="D222" s="233">
        <f>VLOOKUP(B222,Synthèse!B222:F530,5,FALSE)</f>
        <v>122316.24869767562</v>
      </c>
      <c r="E222" s="329">
        <f t="shared" si="9"/>
        <v>-2469.0343753352063</v>
      </c>
      <c r="F222" s="470">
        <v>-96964.470276082662</v>
      </c>
      <c r="G222" s="233">
        <v>-46653.947045168628</v>
      </c>
      <c r="H222" s="329">
        <f t="shared" si="10"/>
        <v>50310.523230914034</v>
      </c>
      <c r="I222" s="432">
        <v>22831.495222092111</v>
      </c>
      <c r="J222" s="233">
        <f>VLOOKUP(B222,'M) Police'!B222:O522,14,FALSE)</f>
        <v>25069.740106124365</v>
      </c>
      <c r="K222" s="329">
        <f t="shared" si="11"/>
        <v>2238.244884032254</v>
      </c>
    </row>
    <row r="223" spans="1:11" x14ac:dyDescent="0.25">
      <c r="A223" s="159">
        <f>+'B) D RI'!A224</f>
        <v>5755</v>
      </c>
      <c r="B223" s="435" t="str">
        <f>+'B) D RI'!B224</f>
        <v>Lignerolle</v>
      </c>
      <c r="C223" s="432">
        <v>177448.77354080381</v>
      </c>
      <c r="D223" s="233">
        <f>VLOOKUP(B223,Synthèse!B223:F531,5,FALSE)</f>
        <v>161436.63411758747</v>
      </c>
      <c r="E223" s="329">
        <f t="shared" si="9"/>
        <v>-16012.139423216344</v>
      </c>
      <c r="F223" s="470">
        <v>-290354.89674490935</v>
      </c>
      <c r="G223" s="233">
        <v>-264126.07326669898</v>
      </c>
      <c r="H223" s="329">
        <f t="shared" si="10"/>
        <v>26228.823478210368</v>
      </c>
      <c r="I223" s="432">
        <v>28821.251650283783</v>
      </c>
      <c r="J223" s="233">
        <f>VLOOKUP(B223,'M) Police'!B223:O523,14,FALSE)</f>
        <v>29591.726391063345</v>
      </c>
      <c r="K223" s="329">
        <f t="shared" si="11"/>
        <v>770.47474077956213</v>
      </c>
    </row>
    <row r="224" spans="1:11" x14ac:dyDescent="0.25">
      <c r="A224" s="159">
        <f>+'B) D RI'!A225</f>
        <v>5756</v>
      </c>
      <c r="B224" s="435" t="str">
        <f>+'B) D RI'!B225</f>
        <v>Montcherand</v>
      </c>
      <c r="C224" s="432">
        <v>284717.55053661764</v>
      </c>
      <c r="D224" s="233">
        <f>VLOOKUP(B224,Synthèse!B224:F532,5,FALSE)</f>
        <v>246322.77583947426</v>
      </c>
      <c r="E224" s="329">
        <f t="shared" si="9"/>
        <v>-38394.774697143381</v>
      </c>
      <c r="F224" s="470">
        <v>44027.297244889487</v>
      </c>
      <c r="G224" s="233">
        <v>63788.918745154406</v>
      </c>
      <c r="H224" s="329">
        <f t="shared" si="10"/>
        <v>19761.621500264919</v>
      </c>
      <c r="I224" s="432">
        <v>19065.317102969046</v>
      </c>
      <c r="J224" s="233">
        <f>VLOOKUP(B224,'M) Police'!B224:O524,14,FALSE)</f>
        <v>19702.205083343379</v>
      </c>
      <c r="K224" s="329">
        <f t="shared" si="11"/>
        <v>636.88798037433298</v>
      </c>
    </row>
    <row r="225" spans="1:11" x14ac:dyDescent="0.25">
      <c r="A225" s="159">
        <f>+'B) D RI'!A226</f>
        <v>5757</v>
      </c>
      <c r="B225" s="435" t="str">
        <f>+'B) D RI'!B226</f>
        <v>Orbe</v>
      </c>
      <c r="C225" s="432">
        <v>4357406.1148128072</v>
      </c>
      <c r="D225" s="233">
        <f>VLOOKUP(B225,Synthèse!B225:F533,5,FALSE)</f>
        <v>4751339.6344347997</v>
      </c>
      <c r="E225" s="329">
        <f t="shared" si="9"/>
        <v>393933.51962199248</v>
      </c>
      <c r="F225" s="470">
        <v>-2087479.6419068011</v>
      </c>
      <c r="G225" s="233">
        <v>-1945152.0931725423</v>
      </c>
      <c r="H225" s="329">
        <f t="shared" si="10"/>
        <v>142327.54873425886</v>
      </c>
      <c r="I225" s="432">
        <v>285719.38888681744</v>
      </c>
      <c r="J225" s="233">
        <f>VLOOKUP(B225,'M) Police'!B225:O525,14,FALSE)</f>
        <v>282943.85075708025</v>
      </c>
      <c r="K225" s="329">
        <f t="shared" si="11"/>
        <v>-2775.5381297371932</v>
      </c>
    </row>
    <row r="226" spans="1:11" x14ac:dyDescent="0.25">
      <c r="A226" s="159">
        <f>+'B) D RI'!A227</f>
        <v>5758</v>
      </c>
      <c r="B226" s="435" t="str">
        <f>+'B) D RI'!B227</f>
        <v>La Praz</v>
      </c>
      <c r="C226" s="432">
        <v>63169.436828248254</v>
      </c>
      <c r="D226" s="233">
        <f>VLOOKUP(B226,Synthèse!B226:F534,5,FALSE)</f>
        <v>97783.267355289689</v>
      </c>
      <c r="E226" s="329">
        <f t="shared" si="9"/>
        <v>34613.830527041435</v>
      </c>
      <c r="F226" s="470">
        <v>-58792.71820610662</v>
      </c>
      <c r="G226" s="233">
        <v>-40298.353471850045</v>
      </c>
      <c r="H226" s="329">
        <f t="shared" si="10"/>
        <v>18494.364734256575</v>
      </c>
      <c r="I226" s="432">
        <v>11946.415850323596</v>
      </c>
      <c r="J226" s="233">
        <f>VLOOKUP(B226,'M) Police'!B226:O526,14,FALSE)</f>
        <v>13845.52373141309</v>
      </c>
      <c r="K226" s="329">
        <f t="shared" si="11"/>
        <v>1899.1078810894942</v>
      </c>
    </row>
    <row r="227" spans="1:11" x14ac:dyDescent="0.25">
      <c r="A227" s="159">
        <f>+'B) D RI'!A228</f>
        <v>5759</v>
      </c>
      <c r="B227" s="435" t="str">
        <f>+'B) D RI'!B228</f>
        <v>Premier</v>
      </c>
      <c r="C227" s="432">
        <v>74040.358285149137</v>
      </c>
      <c r="D227" s="233">
        <f>VLOOKUP(B227,Synthèse!B227:F535,5,FALSE)</f>
        <v>100026.10869119312</v>
      </c>
      <c r="E227" s="329">
        <f t="shared" si="9"/>
        <v>25985.750406043982</v>
      </c>
      <c r="F227" s="470">
        <v>-119162.50285924293</v>
      </c>
      <c r="G227" s="233">
        <v>-126617.842913545</v>
      </c>
      <c r="H227" s="329">
        <f t="shared" si="10"/>
        <v>-7455.3400543020689</v>
      </c>
      <c r="I227" s="432">
        <v>14839.386102008602</v>
      </c>
      <c r="J227" s="233">
        <f>VLOOKUP(B227,'M) Police'!B227:O527,14,FALSE)</f>
        <v>14724.605833987478</v>
      </c>
      <c r="K227" s="329">
        <f t="shared" si="11"/>
        <v>-114.78026802112436</v>
      </c>
    </row>
    <row r="228" spans="1:11" x14ac:dyDescent="0.25">
      <c r="A228" s="159">
        <f>+'B) D RI'!A229</f>
        <v>5760</v>
      </c>
      <c r="B228" s="435" t="str">
        <f>+'B) D RI'!B229</f>
        <v>Rances</v>
      </c>
      <c r="C228" s="432">
        <v>307296.95974714204</v>
      </c>
      <c r="D228" s="233">
        <f>VLOOKUP(B228,Synthèse!B228:F536,5,FALSE)</f>
        <v>210383.62000261512</v>
      </c>
      <c r="E228" s="329">
        <f t="shared" si="9"/>
        <v>-96913.339744526922</v>
      </c>
      <c r="F228" s="470">
        <v>-110625.3490626087</v>
      </c>
      <c r="G228" s="233">
        <v>-210972.03811223651</v>
      </c>
      <c r="H228" s="329">
        <f t="shared" si="10"/>
        <v>-100346.68904962781</v>
      </c>
      <c r="I228" s="432">
        <v>42037.98314170893</v>
      </c>
      <c r="J228" s="233">
        <f>VLOOKUP(B228,'M) Police'!B228:O528,14,FALSE)</f>
        <v>35279.71066819071</v>
      </c>
      <c r="K228" s="329">
        <f t="shared" si="11"/>
        <v>-6758.2724735182201</v>
      </c>
    </row>
    <row r="229" spans="1:11" x14ac:dyDescent="0.25">
      <c r="A229" s="159">
        <f>+'B) D RI'!A230</f>
        <v>5761</v>
      </c>
      <c r="B229" s="435" t="str">
        <f>+'B) D RI'!B230</f>
        <v>Romainmôtier-Envy</v>
      </c>
      <c r="C229" s="432">
        <v>257953.48923517141</v>
      </c>
      <c r="D229" s="233">
        <f>VLOOKUP(B229,Synthèse!B229:F537,5,FALSE)</f>
        <v>274834.38083778106</v>
      </c>
      <c r="E229" s="329">
        <f t="shared" si="9"/>
        <v>16880.891602609656</v>
      </c>
      <c r="F229" s="470">
        <v>-163668.01572459869</v>
      </c>
      <c r="G229" s="233">
        <v>-118456.57282065718</v>
      </c>
      <c r="H229" s="329">
        <f t="shared" si="10"/>
        <v>45211.442903941512</v>
      </c>
      <c r="I229" s="432">
        <v>38126.560557683537</v>
      </c>
      <c r="J229" s="233">
        <f>VLOOKUP(B229,'M) Police'!B229:O529,14,FALSE)</f>
        <v>46312.473524892092</v>
      </c>
      <c r="K229" s="329">
        <f t="shared" si="11"/>
        <v>8185.9129672085546</v>
      </c>
    </row>
    <row r="230" spans="1:11" x14ac:dyDescent="0.25">
      <c r="A230" s="159">
        <f>+'B) D RI'!A231</f>
        <v>5762</v>
      </c>
      <c r="B230" s="435" t="str">
        <f>+'B) D RI'!B231</f>
        <v>Sergey</v>
      </c>
      <c r="C230" s="432">
        <v>58345.469299163386</v>
      </c>
      <c r="D230" s="233">
        <f>VLOOKUP(B230,Synthèse!B230:F538,5,FALSE)</f>
        <v>57978.008149516652</v>
      </c>
      <c r="E230" s="329">
        <f t="shared" si="9"/>
        <v>-367.46114964673325</v>
      </c>
      <c r="F230" s="470">
        <v>-40742.343259752393</v>
      </c>
      <c r="G230" s="233">
        <v>-27604.162389398523</v>
      </c>
      <c r="H230" s="329">
        <f t="shared" si="10"/>
        <v>13138.18087035387</v>
      </c>
      <c r="I230" s="432">
        <v>11352.949137088843</v>
      </c>
      <c r="J230" s="233">
        <f>VLOOKUP(B230,'M) Police'!B230:O530,14,FALSE)</f>
        <v>11870.276089623705</v>
      </c>
      <c r="K230" s="329">
        <f t="shared" si="11"/>
        <v>517.32695253486236</v>
      </c>
    </row>
    <row r="231" spans="1:11" x14ac:dyDescent="0.25">
      <c r="A231" s="159">
        <f>+'B) D RI'!A232</f>
        <v>5763</v>
      </c>
      <c r="B231" s="435" t="str">
        <f>+'B) D RI'!B232</f>
        <v>Valeyres-sous-Rances</v>
      </c>
      <c r="C231" s="432">
        <v>293030.25772953063</v>
      </c>
      <c r="D231" s="233">
        <f>VLOOKUP(B231,Synthèse!B231:F539,5,FALSE)</f>
        <v>313236.27647941501</v>
      </c>
      <c r="E231" s="329">
        <f t="shared" si="9"/>
        <v>20206.018749884388</v>
      </c>
      <c r="F231" s="470">
        <v>-100772.54064158312</v>
      </c>
      <c r="G231" s="233">
        <v>34506.979235004226</v>
      </c>
      <c r="H231" s="329">
        <f t="shared" si="10"/>
        <v>135279.51987658735</v>
      </c>
      <c r="I231" s="432">
        <v>50535.165016881758</v>
      </c>
      <c r="J231" s="233">
        <f>VLOOKUP(B231,'M) Police'!B231:O531,14,FALSE)</f>
        <v>65387.662007660758</v>
      </c>
      <c r="K231" s="329">
        <f t="shared" si="11"/>
        <v>14852.496990779</v>
      </c>
    </row>
    <row r="232" spans="1:11" x14ac:dyDescent="0.25">
      <c r="A232" s="159">
        <f>+'B) D RI'!A233</f>
        <v>5764</v>
      </c>
      <c r="B232" s="435" t="str">
        <f>+'B) D RI'!B233</f>
        <v>Vallorbe</v>
      </c>
      <c r="C232" s="432">
        <v>2134174.7583654081</v>
      </c>
      <c r="D232" s="233">
        <f>VLOOKUP(B232,Synthèse!B232:F540,5,FALSE)</f>
        <v>2126258.7333335076</v>
      </c>
      <c r="E232" s="329">
        <f t="shared" si="9"/>
        <v>-7916.025031900499</v>
      </c>
      <c r="F232" s="470">
        <v>-3156862.4671348678</v>
      </c>
      <c r="G232" s="233">
        <v>-3212861.829375227</v>
      </c>
      <c r="H232" s="329">
        <f t="shared" si="10"/>
        <v>-55999.362240359187</v>
      </c>
      <c r="I232" s="432">
        <v>268408.00522018172</v>
      </c>
      <c r="J232" s="233">
        <f>VLOOKUP(B232,'M) Police'!B232:O532,14,FALSE)</f>
        <v>267211.67776320578</v>
      </c>
      <c r="K232" s="329">
        <f t="shared" si="11"/>
        <v>-1196.3274569759378</v>
      </c>
    </row>
    <row r="233" spans="1:11" x14ac:dyDescent="0.25">
      <c r="A233" s="159">
        <f>+'B) D RI'!A234</f>
        <v>5765</v>
      </c>
      <c r="B233" s="435" t="str">
        <f>+'B) D RI'!B234</f>
        <v>Vaulion</v>
      </c>
      <c r="C233" s="432">
        <v>173787.53783767912</v>
      </c>
      <c r="D233" s="233">
        <f>VLOOKUP(B233,Synthèse!B233:F541,5,FALSE)</f>
        <v>184955.72277978051</v>
      </c>
      <c r="E233" s="329">
        <f t="shared" si="9"/>
        <v>11168.18494210139</v>
      </c>
      <c r="F233" s="470">
        <v>-320092.09968218184</v>
      </c>
      <c r="G233" s="233">
        <v>-293824.40889830806</v>
      </c>
      <c r="H233" s="329">
        <f t="shared" si="10"/>
        <v>26267.690783873782</v>
      </c>
      <c r="I233" s="432">
        <v>32256.564871952432</v>
      </c>
      <c r="J233" s="233">
        <f>VLOOKUP(B233,'M) Police'!B233:O533,14,FALSE)</f>
        <v>30389.689006990451</v>
      </c>
      <c r="K233" s="329">
        <f t="shared" si="11"/>
        <v>-1866.8758649619813</v>
      </c>
    </row>
    <row r="234" spans="1:11" x14ac:dyDescent="0.25">
      <c r="A234" s="159">
        <f>+'B) D RI'!A235</f>
        <v>5766</v>
      </c>
      <c r="B234" s="435" t="str">
        <f>+'B) D RI'!B235</f>
        <v>Vuiteboeuf</v>
      </c>
      <c r="C234" s="432">
        <v>225231.88117527807</v>
      </c>
      <c r="D234" s="233">
        <f>VLOOKUP(B234,Synthèse!B234:F542,5,FALSE)</f>
        <v>223134.95464122744</v>
      </c>
      <c r="E234" s="329">
        <f t="shared" si="9"/>
        <v>-2096.926534050639</v>
      </c>
      <c r="F234" s="470">
        <v>-204424.17323429152</v>
      </c>
      <c r="G234" s="233">
        <v>-214825.00331632356</v>
      </c>
      <c r="H234" s="329">
        <f t="shared" si="10"/>
        <v>-10400.830082032044</v>
      </c>
      <c r="I234" s="432">
        <v>41094.504000558089</v>
      </c>
      <c r="J234" s="233">
        <f>VLOOKUP(B234,'M) Police'!B234:O534,14,FALSE)</f>
        <v>41078.363198900246</v>
      </c>
      <c r="K234" s="329">
        <f t="shared" si="11"/>
        <v>-16.14080165784253</v>
      </c>
    </row>
    <row r="235" spans="1:11" x14ac:dyDescent="0.25">
      <c r="A235" s="159">
        <f>+'B) D RI'!A236</f>
        <v>5785</v>
      </c>
      <c r="B235" s="435" t="str">
        <f>+'B) D RI'!B236</f>
        <v>Corcelles-le-Jorat</v>
      </c>
      <c r="C235" s="432">
        <v>205321.39540706811</v>
      </c>
      <c r="D235" s="233">
        <f>VLOOKUP(B235,Synthèse!B235:F543,5,FALSE)</f>
        <v>254703.46222543277</v>
      </c>
      <c r="E235" s="329">
        <f t="shared" si="9"/>
        <v>49382.066818364663</v>
      </c>
      <c r="F235" s="470">
        <v>-29737.323465297799</v>
      </c>
      <c r="G235" s="233">
        <v>101490.75812768559</v>
      </c>
      <c r="H235" s="329">
        <f t="shared" si="10"/>
        <v>131228.08159298339</v>
      </c>
      <c r="I235" s="432">
        <v>38780.20994682968</v>
      </c>
      <c r="J235" s="233">
        <f>VLOOKUP(B235,'M) Police'!B235:O535,14,FALSE)</f>
        <v>48957.560884535749</v>
      </c>
      <c r="K235" s="329">
        <f t="shared" si="11"/>
        <v>10177.350937706069</v>
      </c>
    </row>
    <row r="236" spans="1:11" x14ac:dyDescent="0.25">
      <c r="A236" s="159">
        <f>+'B) D RI'!A237</f>
        <v>5788</v>
      </c>
      <c r="B236" s="435" t="str">
        <f>+'B) D RI'!B237</f>
        <v>Essertes</v>
      </c>
      <c r="C236" s="432">
        <v>159796.63917706936</v>
      </c>
      <c r="D236" s="233">
        <f>VLOOKUP(B236,Synthèse!B236:F544,5,FALSE)</f>
        <v>198099.11187885734</v>
      </c>
      <c r="E236" s="329">
        <f t="shared" si="9"/>
        <v>38302.472701787978</v>
      </c>
      <c r="F236" s="470">
        <v>31784.089292115699</v>
      </c>
      <c r="G236" s="233">
        <v>73388.483966075888</v>
      </c>
      <c r="H236" s="329">
        <f t="shared" si="10"/>
        <v>41604.394673960189</v>
      </c>
      <c r="I236" s="432">
        <v>30381.324636482132</v>
      </c>
      <c r="J236" s="233">
        <f>VLOOKUP(B236,'M) Police'!B236:O536,14,FALSE)</f>
        <v>36972.903979066723</v>
      </c>
      <c r="K236" s="329">
        <f t="shared" si="11"/>
        <v>6591.5793425845914</v>
      </c>
    </row>
    <row r="237" spans="1:11" x14ac:dyDescent="0.25">
      <c r="A237" s="159">
        <f>+'B) D RI'!A238</f>
        <v>5790</v>
      </c>
      <c r="B237" s="435" t="str">
        <f>+'B) D RI'!B238</f>
        <v>Maracon</v>
      </c>
      <c r="C237" s="432">
        <v>212730.26133067408</v>
      </c>
      <c r="D237" s="233">
        <f>VLOOKUP(B237,Synthèse!B237:F545,5,FALSE)</f>
        <v>262949.81076321693</v>
      </c>
      <c r="E237" s="329">
        <f t="shared" si="9"/>
        <v>50219.549432542844</v>
      </c>
      <c r="F237" s="470">
        <v>-90047.659321148793</v>
      </c>
      <c r="G237" s="233">
        <v>-98309.19258041514</v>
      </c>
      <c r="H237" s="329">
        <f t="shared" si="10"/>
        <v>-8261.5332592663472</v>
      </c>
      <c r="I237" s="432">
        <v>37943.838951943144</v>
      </c>
      <c r="J237" s="233">
        <f>VLOOKUP(B237,'M) Police'!B237:O537,14,FALSE)</f>
        <v>40818.740276863668</v>
      </c>
      <c r="K237" s="329">
        <f t="shared" si="11"/>
        <v>2874.9013249205236</v>
      </c>
    </row>
    <row r="238" spans="1:11" x14ac:dyDescent="0.25">
      <c r="A238" s="159">
        <f>+'B) D RI'!A239</f>
        <v>5792</v>
      </c>
      <c r="B238" s="435" t="str">
        <f>+'B) D RI'!B239</f>
        <v>Montpreveyres</v>
      </c>
      <c r="C238" s="432">
        <v>304291.89757266256</v>
      </c>
      <c r="D238" s="233">
        <f>VLOOKUP(B238,Synthèse!B238:F546,5,FALSE)</f>
        <v>344970.07297949004</v>
      </c>
      <c r="E238" s="329">
        <f t="shared" si="9"/>
        <v>40678.175406827475</v>
      </c>
      <c r="F238" s="470">
        <v>-209308.4254487156</v>
      </c>
      <c r="G238" s="233">
        <v>-76099.525353712364</v>
      </c>
      <c r="H238" s="329">
        <f t="shared" si="10"/>
        <v>133208.90009500325</v>
      </c>
      <c r="I238" s="432">
        <v>49023.035538002834</v>
      </c>
      <c r="J238" s="233">
        <f>VLOOKUP(B238,'M) Police'!B238:O538,14,FALSE)</f>
        <v>57925.421420024206</v>
      </c>
      <c r="K238" s="329">
        <f t="shared" si="11"/>
        <v>8902.3858820213718</v>
      </c>
    </row>
    <row r="239" spans="1:11" x14ac:dyDescent="0.25">
      <c r="A239" s="159">
        <f>+'B) D RI'!A240</f>
        <v>5798</v>
      </c>
      <c r="B239" s="435" t="str">
        <f>+'B) D RI'!B240</f>
        <v>Ropraz</v>
      </c>
      <c r="C239" s="432">
        <v>186987.53918211299</v>
      </c>
      <c r="D239" s="233">
        <f>VLOOKUP(B239,Synthèse!B239:F547,5,FALSE)</f>
        <v>250406.81237487221</v>
      </c>
      <c r="E239" s="329">
        <f t="shared" si="9"/>
        <v>63419.273192759225</v>
      </c>
      <c r="F239" s="470">
        <v>-124720.72686674468</v>
      </c>
      <c r="G239" s="233">
        <v>-64122.566044301595</v>
      </c>
      <c r="H239" s="329">
        <f t="shared" si="10"/>
        <v>60598.160822443082</v>
      </c>
      <c r="I239" s="432">
        <v>35250.22361534548</v>
      </c>
      <c r="J239" s="233">
        <f>VLOOKUP(B239,'M) Police'!B239:O539,14,FALSE)</f>
        <v>42589.351818407384</v>
      </c>
      <c r="K239" s="329">
        <f t="shared" si="11"/>
        <v>7339.1282030619041</v>
      </c>
    </row>
    <row r="240" spans="1:11" x14ac:dyDescent="0.25">
      <c r="A240" s="159">
        <f>+'B) D RI'!A241</f>
        <v>5799</v>
      </c>
      <c r="B240" s="435" t="str">
        <f>+'B) D RI'!B241</f>
        <v>Servion</v>
      </c>
      <c r="C240" s="432">
        <v>1041769.8230891421</v>
      </c>
      <c r="D240" s="233">
        <f>VLOOKUP(B240,Synthèse!B240:F548,5,FALSE)</f>
        <v>1332537.5514659649</v>
      </c>
      <c r="E240" s="329">
        <f t="shared" si="9"/>
        <v>290767.72837682278</v>
      </c>
      <c r="F240" s="470">
        <v>-30283.716466186394</v>
      </c>
      <c r="G240" s="233">
        <v>338572.19746479625</v>
      </c>
      <c r="H240" s="329">
        <f t="shared" si="10"/>
        <v>368855.91393098264</v>
      </c>
      <c r="I240" s="432">
        <v>189880.2103252495</v>
      </c>
      <c r="J240" s="233">
        <f>VLOOKUP(B240,'M) Police'!B240:O540,14,FALSE)</f>
        <v>213950.11182435104</v>
      </c>
      <c r="K240" s="329">
        <f t="shared" si="11"/>
        <v>24069.901499101543</v>
      </c>
    </row>
    <row r="241" spans="1:11" x14ac:dyDescent="0.25">
      <c r="A241" s="159">
        <f>+'B) D RI'!A242</f>
        <v>5803</v>
      </c>
      <c r="B241" s="435" t="str">
        <f>+'B) D RI'!B242</f>
        <v>Vulliens</v>
      </c>
      <c r="C241" s="432">
        <v>293587.12878125865</v>
      </c>
      <c r="D241" s="233">
        <f>VLOOKUP(B241,Synthèse!B241:F549,5,FALSE)</f>
        <v>308759.0945950466</v>
      </c>
      <c r="E241" s="329">
        <f t="shared" si="9"/>
        <v>15171.965813787945</v>
      </c>
      <c r="F241" s="470">
        <v>-20734.246141821422</v>
      </c>
      <c r="G241" s="233">
        <v>-58717.499706874252</v>
      </c>
      <c r="H241" s="329">
        <f t="shared" si="10"/>
        <v>-37983.25356505283</v>
      </c>
      <c r="I241" s="432">
        <v>45008.255858255638</v>
      </c>
      <c r="J241" s="233">
        <f>VLOOKUP(B241,'M) Police'!B241:O541,14,FALSE)</f>
        <v>51613.375664478619</v>
      </c>
      <c r="K241" s="329">
        <f t="shared" si="11"/>
        <v>6605.1198062229814</v>
      </c>
    </row>
    <row r="242" spans="1:11" x14ac:dyDescent="0.25">
      <c r="A242" s="159">
        <f>+'B) D RI'!A243</f>
        <v>5804</v>
      </c>
      <c r="B242" s="435" t="str">
        <f>+'B) D RI'!B243</f>
        <v>Jorat-Menthue</v>
      </c>
      <c r="C242" s="432">
        <v>800934.23664683593</v>
      </c>
      <c r="D242" s="233">
        <f>VLOOKUP(B242,Synthèse!B242:F550,5,FALSE)</f>
        <v>745793.36208787304</v>
      </c>
      <c r="E242" s="329">
        <f t="shared" si="9"/>
        <v>-55140.874558962882</v>
      </c>
      <c r="F242" s="470">
        <v>-807085.47047175036</v>
      </c>
      <c r="G242" s="233">
        <v>-254835.24173017347</v>
      </c>
      <c r="H242" s="329">
        <f t="shared" si="10"/>
        <v>552250.2287415769</v>
      </c>
      <c r="I242" s="432">
        <v>153552.30712021459</v>
      </c>
      <c r="J242" s="233">
        <f>VLOOKUP(B242,'M) Police'!B242:O542,14,FALSE)</f>
        <v>147061.73340241736</v>
      </c>
      <c r="K242" s="329">
        <f t="shared" si="11"/>
        <v>-6490.5737177972333</v>
      </c>
    </row>
    <row r="243" spans="1:11" x14ac:dyDescent="0.25">
      <c r="A243" s="159">
        <f>+'B) D RI'!A244</f>
        <v>5805</v>
      </c>
      <c r="B243" s="435" t="str">
        <f>+'B) D RI'!B244</f>
        <v>Oron</v>
      </c>
      <c r="C243" s="432">
        <v>2646803.4953070823</v>
      </c>
      <c r="D243" s="233">
        <f>VLOOKUP(B243,Synthèse!B243:F551,5,FALSE)</f>
        <v>2918810.8429001323</v>
      </c>
      <c r="E243" s="329">
        <f t="shared" si="9"/>
        <v>272007.34759304998</v>
      </c>
      <c r="F243" s="470">
        <v>-1996026.6889267173</v>
      </c>
      <c r="G243" s="233">
        <v>-1423635.6504114936</v>
      </c>
      <c r="H243" s="329">
        <f t="shared" si="10"/>
        <v>572391.03851522366</v>
      </c>
      <c r="I243" s="432">
        <v>460655.4965214238</v>
      </c>
      <c r="J243" s="233">
        <f>VLOOKUP(B243,'M) Police'!B243:O543,14,FALSE)</f>
        <v>482299.31227626733</v>
      </c>
      <c r="K243" s="329">
        <f t="shared" si="11"/>
        <v>21643.815754843527</v>
      </c>
    </row>
    <row r="244" spans="1:11" x14ac:dyDescent="0.25">
      <c r="A244" s="159">
        <f>+'B) D RI'!A245</f>
        <v>5806</v>
      </c>
      <c r="B244" s="435" t="str">
        <f>+'B) D RI'!B245</f>
        <v>Jorat-Mézières</v>
      </c>
      <c r="C244" s="432">
        <v>1693820.2176094356</v>
      </c>
      <c r="D244" s="233">
        <f>VLOOKUP(B244,Synthèse!B244:F552,5,FALSE)</f>
        <v>1666414.6922904896</v>
      </c>
      <c r="E244" s="329">
        <f t="shared" si="9"/>
        <v>-27405.525318945991</v>
      </c>
      <c r="F244" s="470">
        <v>-120641.95812405099</v>
      </c>
      <c r="G244" s="233">
        <v>-293423.54910484486</v>
      </c>
      <c r="H244" s="329">
        <f t="shared" si="10"/>
        <v>-172781.59098079387</v>
      </c>
      <c r="I244" s="432">
        <v>285446.71895461262</v>
      </c>
      <c r="J244" s="233">
        <f>VLOOKUP(B244,'M) Police'!B244:O544,14,FALSE)</f>
        <v>280358.61889707221</v>
      </c>
      <c r="K244" s="329">
        <f t="shared" si="11"/>
        <v>-5088.1000575404032</v>
      </c>
    </row>
    <row r="245" spans="1:11" x14ac:dyDescent="0.25">
      <c r="A245" s="159">
        <f>+'B) D RI'!A246</f>
        <v>5812</v>
      </c>
      <c r="B245" s="435" t="str">
        <f>+'B) D RI'!B246</f>
        <v>Champtauroz</v>
      </c>
      <c r="C245" s="432">
        <v>44880.211722728236</v>
      </c>
      <c r="D245" s="233">
        <f>VLOOKUP(B245,Synthèse!B245:F553,5,FALSE)</f>
        <v>45933.935944489487</v>
      </c>
      <c r="E245" s="329">
        <f t="shared" si="9"/>
        <v>1053.7242217612511</v>
      </c>
      <c r="F245" s="470">
        <v>-96402.093120977457</v>
      </c>
      <c r="G245" s="233">
        <v>-63898.414656369656</v>
      </c>
      <c r="H245" s="329">
        <f t="shared" si="10"/>
        <v>32503.678464607801</v>
      </c>
      <c r="I245" s="432">
        <v>7266.0992953695941</v>
      </c>
      <c r="J245" s="233">
        <f>VLOOKUP(B245,'M) Police'!B245:O545,14,FALSE)</f>
        <v>7460.3435076971809</v>
      </c>
      <c r="K245" s="329">
        <f t="shared" si="11"/>
        <v>194.24421232758687</v>
      </c>
    </row>
    <row r="246" spans="1:11" x14ac:dyDescent="0.25">
      <c r="A246" s="159">
        <f>+'B) D RI'!A247</f>
        <v>5813</v>
      </c>
      <c r="B246" s="435" t="str">
        <f>+'B) D RI'!B247</f>
        <v>Chevroux</v>
      </c>
      <c r="C246" s="432">
        <v>206144.33054294501</v>
      </c>
      <c r="D246" s="233">
        <f>VLOOKUP(B246,Synthèse!B246:F554,5,FALSE)</f>
        <v>278151.59827618359</v>
      </c>
      <c r="E246" s="329">
        <f t="shared" si="9"/>
        <v>72007.267733238579</v>
      </c>
      <c r="F246" s="470">
        <v>-35008.681586170671</v>
      </c>
      <c r="G246" s="233">
        <v>-46222.828283413241</v>
      </c>
      <c r="H246" s="329">
        <f t="shared" si="10"/>
        <v>-11214.14669724257</v>
      </c>
      <c r="I246" s="432">
        <v>35885.16692848906</v>
      </c>
      <c r="J246" s="233">
        <f>VLOOKUP(B246,'M) Police'!B246:O546,14,FALSE)</f>
        <v>40092.675315411296</v>
      </c>
      <c r="K246" s="329">
        <f t="shared" si="11"/>
        <v>4207.5083869222362</v>
      </c>
    </row>
    <row r="247" spans="1:11" x14ac:dyDescent="0.25">
      <c r="A247" s="159">
        <f>+'B) D RI'!A248</f>
        <v>5816</v>
      </c>
      <c r="B247" s="435" t="str">
        <f>+'B) D RI'!B248</f>
        <v>Corcelles-près-Payerne</v>
      </c>
      <c r="C247" s="432">
        <v>982528.98729013372</v>
      </c>
      <c r="D247" s="233">
        <f>VLOOKUP(B247,Synthèse!B247:F555,5,FALSE)</f>
        <v>953743.43968181615</v>
      </c>
      <c r="E247" s="329">
        <f t="shared" si="9"/>
        <v>-28785.547608317574</v>
      </c>
      <c r="F247" s="470">
        <v>-908926.12679617968</v>
      </c>
      <c r="G247" s="233">
        <v>-1020368.2424592245</v>
      </c>
      <c r="H247" s="329">
        <f t="shared" si="10"/>
        <v>-111442.11566304485</v>
      </c>
      <c r="I247" s="432">
        <v>178135.14146395351</v>
      </c>
      <c r="J247" s="233">
        <f>VLOOKUP(B247,'M) Police'!B247:O547,14,FALSE)</f>
        <v>172069.46946680988</v>
      </c>
      <c r="K247" s="329">
        <f t="shared" si="11"/>
        <v>-6065.671997143625</v>
      </c>
    </row>
    <row r="248" spans="1:11" x14ac:dyDescent="0.25">
      <c r="A248" s="159">
        <f>+'B) D RI'!A249</f>
        <v>5817</v>
      </c>
      <c r="B248" s="435" t="str">
        <f>+'B) D RI'!B249</f>
        <v>Grandcour</v>
      </c>
      <c r="C248" s="432">
        <v>355579.57659723633</v>
      </c>
      <c r="D248" s="233">
        <f>VLOOKUP(B248,Synthèse!B248:F556,5,FALSE)</f>
        <v>478286.08160773152</v>
      </c>
      <c r="E248" s="329">
        <f t="shared" si="9"/>
        <v>122706.5050104952</v>
      </c>
      <c r="F248" s="470">
        <v>-279255.16178358893</v>
      </c>
      <c r="G248" s="233">
        <v>-201366.23108455865</v>
      </c>
      <c r="H248" s="329">
        <f t="shared" si="10"/>
        <v>77888.930699030287</v>
      </c>
      <c r="I248" s="432">
        <v>66509.321323274839</v>
      </c>
      <c r="J248" s="233">
        <f>VLOOKUP(B248,'M) Police'!B248:O548,14,FALSE)</f>
        <v>73282.376837503485</v>
      </c>
      <c r="K248" s="329">
        <f t="shared" si="11"/>
        <v>6773.0555142286466</v>
      </c>
    </row>
    <row r="249" spans="1:11" x14ac:dyDescent="0.25">
      <c r="A249" s="159">
        <f>+'B) D RI'!A250</f>
        <v>5819</v>
      </c>
      <c r="B249" s="435" t="str">
        <f>+'B) D RI'!B250</f>
        <v>Henniez</v>
      </c>
      <c r="C249" s="432">
        <v>249974.31792252182</v>
      </c>
      <c r="D249" s="233">
        <f>VLOOKUP(B249,Synthèse!B249:F557,5,FALSE)</f>
        <v>236506.3760751909</v>
      </c>
      <c r="E249" s="329">
        <f t="shared" si="9"/>
        <v>-13467.94184733092</v>
      </c>
      <c r="F249" s="470">
        <v>210664.2831101857</v>
      </c>
      <c r="G249" s="233">
        <v>118002.36998424126</v>
      </c>
      <c r="H249" s="329">
        <f t="shared" si="10"/>
        <v>-92661.91312594444</v>
      </c>
      <c r="I249" s="432">
        <v>47113.23272650021</v>
      </c>
      <c r="J249" s="233">
        <f>VLOOKUP(B249,'M) Police'!B249:O549,14,FALSE)</f>
        <v>41521.174388908112</v>
      </c>
      <c r="K249" s="329">
        <f t="shared" si="11"/>
        <v>-5592.0583375920978</v>
      </c>
    </row>
    <row r="250" spans="1:11" x14ac:dyDescent="0.25">
      <c r="A250" s="159">
        <f>+'B) D RI'!A251</f>
        <v>5821</v>
      </c>
      <c r="B250" s="435" t="str">
        <f>+'B) D RI'!B251</f>
        <v>Missy</v>
      </c>
      <c r="C250" s="432">
        <v>136854.2953409914</v>
      </c>
      <c r="D250" s="233">
        <f>VLOOKUP(B250,Synthèse!B250:F558,5,FALSE)</f>
        <v>140985.58662542736</v>
      </c>
      <c r="E250" s="329">
        <f t="shared" si="9"/>
        <v>4131.2912844359525</v>
      </c>
      <c r="F250" s="470">
        <v>-122146.32179322297</v>
      </c>
      <c r="G250" s="233">
        <v>-55034.848768838463</v>
      </c>
      <c r="H250" s="329">
        <f t="shared" si="10"/>
        <v>67111.473024384512</v>
      </c>
      <c r="I250" s="432">
        <v>24374.269630766845</v>
      </c>
      <c r="J250" s="233">
        <f>VLOOKUP(B250,'M) Police'!B250:O550,14,FALSE)</f>
        <v>26436.609449446834</v>
      </c>
      <c r="K250" s="329">
        <f t="shared" si="11"/>
        <v>2062.3398186799895</v>
      </c>
    </row>
    <row r="251" spans="1:11" x14ac:dyDescent="0.25">
      <c r="A251" s="159">
        <f>+'B) D RI'!A252</f>
        <v>5822</v>
      </c>
      <c r="B251" s="435" t="str">
        <f>+'B) D RI'!B252</f>
        <v>Payerne</v>
      </c>
      <c r="C251" s="432">
        <v>4245168.3976395139</v>
      </c>
      <c r="D251" s="233">
        <f>VLOOKUP(B251,Synthèse!B251:F559,5,FALSE)</f>
        <v>4389967.6231436003</v>
      </c>
      <c r="E251" s="329">
        <f t="shared" si="9"/>
        <v>144799.22550408635</v>
      </c>
      <c r="F251" s="470">
        <v>-5600646.7583648842</v>
      </c>
      <c r="G251" s="233">
        <v>-5945453.455487852</v>
      </c>
      <c r="H251" s="329">
        <f t="shared" si="10"/>
        <v>-344806.6971229678</v>
      </c>
      <c r="I251" s="432">
        <v>727730.23195412988</v>
      </c>
      <c r="J251" s="233">
        <f>VLOOKUP(B251,'M) Police'!B251:O551,14,FALSE)</f>
        <v>768137.69668836659</v>
      </c>
      <c r="K251" s="329">
        <f t="shared" si="11"/>
        <v>40407.46473423671</v>
      </c>
    </row>
    <row r="252" spans="1:11" x14ac:dyDescent="0.25">
      <c r="A252" s="159">
        <f>+'B) D RI'!A253</f>
        <v>5827</v>
      </c>
      <c r="B252" s="435" t="str">
        <f>+'B) D RI'!B253</f>
        <v>Trey</v>
      </c>
      <c r="C252" s="432">
        <v>130409.19250318741</v>
      </c>
      <c r="D252" s="233">
        <f>VLOOKUP(B252,Synthèse!B252:F560,5,FALSE)</f>
        <v>124893.87631407175</v>
      </c>
      <c r="E252" s="329">
        <f t="shared" si="9"/>
        <v>-5515.3161891156633</v>
      </c>
      <c r="F252" s="470">
        <v>-99856.630312774432</v>
      </c>
      <c r="G252" s="233">
        <v>-62356.150795406124</v>
      </c>
      <c r="H252" s="329">
        <f t="shared" si="10"/>
        <v>37500.479517368309</v>
      </c>
      <c r="I252" s="432">
        <v>19606.122891727726</v>
      </c>
      <c r="J252" s="233">
        <f>VLOOKUP(B252,'M) Police'!B252:O552,14,FALSE)</f>
        <v>22555.404165167412</v>
      </c>
      <c r="K252" s="329">
        <f t="shared" si="11"/>
        <v>2949.2812734396866</v>
      </c>
    </row>
    <row r="253" spans="1:11" x14ac:dyDescent="0.25">
      <c r="A253" s="159">
        <f>+'B) D RI'!A254</f>
        <v>5828</v>
      </c>
      <c r="B253" s="435" t="str">
        <f>+'B) D RI'!B254</f>
        <v>Treytorrens (Payerne)</v>
      </c>
      <c r="C253" s="432">
        <v>40713.84903467702</v>
      </c>
      <c r="D253" s="233">
        <f>VLOOKUP(B253,Synthèse!B253:F561,5,FALSE)</f>
        <v>50036.426569077958</v>
      </c>
      <c r="E253" s="329">
        <f t="shared" si="9"/>
        <v>9322.577534400938</v>
      </c>
      <c r="F253" s="470">
        <v>-102734.26623160017</v>
      </c>
      <c r="G253" s="233">
        <v>-70692.126998671098</v>
      </c>
      <c r="H253" s="329">
        <f t="shared" si="10"/>
        <v>32042.139232929068</v>
      </c>
      <c r="I253" s="432">
        <v>7442.9156363762568</v>
      </c>
      <c r="J253" s="233">
        <f>VLOOKUP(B253,'M) Police'!B253:O553,14,FALSE)</f>
        <v>8313.1051157701477</v>
      </c>
      <c r="K253" s="329">
        <f t="shared" si="11"/>
        <v>870.18947939389091</v>
      </c>
    </row>
    <row r="254" spans="1:11" x14ac:dyDescent="0.25">
      <c r="A254" s="159">
        <f>+'B) D RI'!A255</f>
        <v>5830</v>
      </c>
      <c r="B254" s="435" t="str">
        <f>+'B) D RI'!B255</f>
        <v>Villarzel</v>
      </c>
      <c r="C254" s="432">
        <v>175810.57625685414</v>
      </c>
      <c r="D254" s="233">
        <f>VLOOKUP(B254,Synthèse!B254:F562,5,FALSE)</f>
        <v>206631.95928191693</v>
      </c>
      <c r="E254" s="329">
        <f t="shared" si="9"/>
        <v>30821.383025062794</v>
      </c>
      <c r="F254" s="470">
        <v>-194929.92602401128</v>
      </c>
      <c r="G254" s="233">
        <v>-97534.887977683931</v>
      </c>
      <c r="H254" s="329">
        <f t="shared" si="10"/>
        <v>97395.038046327347</v>
      </c>
      <c r="I254" s="432">
        <v>30701.03516907325</v>
      </c>
      <c r="J254" s="233">
        <f>VLOOKUP(B254,'M) Police'!B254:O554,14,FALSE)</f>
        <v>37955.02707190752</v>
      </c>
      <c r="K254" s="329">
        <f t="shared" si="11"/>
        <v>7253.9919028342701</v>
      </c>
    </row>
    <row r="255" spans="1:11" x14ac:dyDescent="0.25">
      <c r="A255" s="159">
        <f>+'B) D RI'!A256</f>
        <v>5831</v>
      </c>
      <c r="B255" s="435" t="str">
        <f>+'B) D RI'!B256</f>
        <v>Valbroye</v>
      </c>
      <c r="C255" s="432">
        <v>1306372.6638704627</v>
      </c>
      <c r="D255" s="233">
        <f>VLOOKUP(B255,Synthèse!B255:F563,5,FALSE)</f>
        <v>1602277.9757041733</v>
      </c>
      <c r="E255" s="329">
        <f t="shared" si="9"/>
        <v>295905.31183371064</v>
      </c>
      <c r="F255" s="470">
        <v>-1415999.9519267762</v>
      </c>
      <c r="G255" s="233">
        <v>-1136845.0437085608</v>
      </c>
      <c r="H255" s="329">
        <f t="shared" si="10"/>
        <v>279154.90821821545</v>
      </c>
      <c r="I255" s="432">
        <v>237081.22403126853</v>
      </c>
      <c r="J255" s="233">
        <f>VLOOKUP(B255,'M) Police'!B255:O555,14,FALSE)</f>
        <v>266385.47115122288</v>
      </c>
      <c r="K255" s="329">
        <f t="shared" si="11"/>
        <v>29304.247119954351</v>
      </c>
    </row>
    <row r="256" spans="1:11" x14ac:dyDescent="0.25">
      <c r="A256" s="159">
        <f>+'B) D RI'!A257</f>
        <v>5841</v>
      </c>
      <c r="B256" s="435" t="str">
        <f>+'B) D RI'!B257</f>
        <v>Château-d'Oex</v>
      </c>
      <c r="C256" s="432">
        <v>2193257.4052813496</v>
      </c>
      <c r="D256" s="233">
        <f>VLOOKUP(B256,Synthèse!B256:F564,5,FALSE)</f>
        <v>2230037.0281045772</v>
      </c>
      <c r="E256" s="329">
        <f t="shared" si="9"/>
        <v>36779.622823227663</v>
      </c>
      <c r="F256" s="470">
        <v>-2369061.9177401578</v>
      </c>
      <c r="G256" s="233">
        <v>-1611599.0879659138</v>
      </c>
      <c r="H256" s="329">
        <f t="shared" si="10"/>
        <v>757462.82977424399</v>
      </c>
      <c r="I256" s="432">
        <v>329328.64361867652</v>
      </c>
      <c r="J256" s="233">
        <f>VLOOKUP(B256,'M) Police'!B256:O556,14,FALSE)</f>
        <v>358738.51233044581</v>
      </c>
      <c r="K256" s="329">
        <f t="shared" si="11"/>
        <v>29409.86871176929</v>
      </c>
    </row>
    <row r="257" spans="1:11" x14ac:dyDescent="0.25">
      <c r="A257" s="159">
        <f>+'B) D RI'!A258</f>
        <v>5842</v>
      </c>
      <c r="B257" s="435" t="str">
        <f>+'B) D RI'!B258</f>
        <v>Rossinière</v>
      </c>
      <c r="C257" s="432">
        <v>310802.56557317771</v>
      </c>
      <c r="D257" s="233">
        <f>VLOOKUP(B257,Synthèse!B257:F565,5,FALSE)</f>
        <v>292066.46024976525</v>
      </c>
      <c r="E257" s="329">
        <f t="shared" si="9"/>
        <v>-18736.105323412456</v>
      </c>
      <c r="F257" s="470">
        <v>-294815.50398957566</v>
      </c>
      <c r="G257" s="233">
        <v>-126055.05453739635</v>
      </c>
      <c r="H257" s="329">
        <f t="shared" si="10"/>
        <v>168760.44945217931</v>
      </c>
      <c r="I257" s="432">
        <v>42553.828963672058</v>
      </c>
      <c r="J257" s="233">
        <f>VLOOKUP(B257,'M) Police'!B257:O557,14,FALSE)</f>
        <v>50203.617725362594</v>
      </c>
      <c r="K257" s="329">
        <f t="shared" si="11"/>
        <v>7649.7887616905355</v>
      </c>
    </row>
    <row r="258" spans="1:11" x14ac:dyDescent="0.25">
      <c r="A258" s="159">
        <f>+'B) D RI'!A259</f>
        <v>5843</v>
      </c>
      <c r="B258" s="435" t="str">
        <f>+'B) D RI'!B259</f>
        <v>Rougemont</v>
      </c>
      <c r="C258" s="432">
        <v>3211933.7771427855</v>
      </c>
      <c r="D258" s="233">
        <f>VLOOKUP(B258,Synthèse!B258:F566,5,FALSE)</f>
        <v>3518755.3513421388</v>
      </c>
      <c r="E258" s="329">
        <f t="shared" si="9"/>
        <v>306821.57419935334</v>
      </c>
      <c r="F258" s="470">
        <v>428064.81826443679</v>
      </c>
      <c r="G258" s="233">
        <v>824556.03717137454</v>
      </c>
      <c r="H258" s="329">
        <f t="shared" si="10"/>
        <v>396491.21890693775</v>
      </c>
      <c r="I258" s="432">
        <v>181213.7870501334</v>
      </c>
      <c r="J258" s="233">
        <f>VLOOKUP(B258,'M) Police'!B258:O558,14,FALSE)</f>
        <v>181855.95691860007</v>
      </c>
      <c r="K258" s="329">
        <f t="shared" si="11"/>
        <v>642.16986846667714</v>
      </c>
    </row>
    <row r="259" spans="1:11" x14ac:dyDescent="0.25">
      <c r="A259" s="159">
        <f>+'B) D RI'!A260</f>
        <v>5851</v>
      </c>
      <c r="B259" s="435" t="str">
        <f>+'B) D RI'!B260</f>
        <v>Allaman</v>
      </c>
      <c r="C259" s="432">
        <v>909012.39209880668</v>
      </c>
      <c r="D259" s="233">
        <f>VLOOKUP(B259,Synthèse!B259:F567,5,FALSE)</f>
        <v>822885.92987538956</v>
      </c>
      <c r="E259" s="329">
        <f t="shared" si="9"/>
        <v>-86126.462223417126</v>
      </c>
      <c r="F259" s="470">
        <v>301515.92359034292</v>
      </c>
      <c r="G259" s="233">
        <v>498296.67853963538</v>
      </c>
      <c r="H259" s="329">
        <f t="shared" si="10"/>
        <v>196780.75494929246</v>
      </c>
      <c r="I259" s="432">
        <v>71847.546556986665</v>
      </c>
      <c r="J259" s="233">
        <f>VLOOKUP(B259,'M) Police'!B259:O559,14,FALSE)</f>
        <v>72686.227509768825</v>
      </c>
      <c r="K259" s="329">
        <f t="shared" si="11"/>
        <v>838.6809527821606</v>
      </c>
    </row>
    <row r="260" spans="1:11" x14ac:dyDescent="0.25">
      <c r="A260" s="159">
        <f>+'B) D RI'!A261</f>
        <v>5852</v>
      </c>
      <c r="B260" s="435" t="str">
        <f>+'B) D RI'!B261</f>
        <v>Bursinel</v>
      </c>
      <c r="C260" s="432">
        <v>526886.07053510495</v>
      </c>
      <c r="D260" s="233">
        <f>VLOOKUP(B260,Synthèse!B260:F568,5,FALSE)</f>
        <v>1064831.4132443417</v>
      </c>
      <c r="E260" s="329">
        <f t="shared" si="9"/>
        <v>537945.34270923678</v>
      </c>
      <c r="F260" s="470">
        <v>470980.14887777623</v>
      </c>
      <c r="G260" s="233">
        <v>654528.08490364277</v>
      </c>
      <c r="H260" s="329">
        <f t="shared" si="10"/>
        <v>183547.93602586654</v>
      </c>
      <c r="I260" s="432">
        <v>80364.698885323582</v>
      </c>
      <c r="J260" s="233">
        <f>VLOOKUP(B260,'M) Police'!B260:O560,14,FALSE)</f>
        <v>86334.676212348655</v>
      </c>
      <c r="K260" s="329">
        <f t="shared" si="11"/>
        <v>5969.9773270250735</v>
      </c>
    </row>
    <row r="261" spans="1:11" x14ac:dyDescent="0.25">
      <c r="A261" s="159">
        <f>+'B) D RI'!A262</f>
        <v>5853</v>
      </c>
      <c r="B261" s="435" t="str">
        <f>+'B) D RI'!B262</f>
        <v>Bursins</v>
      </c>
      <c r="C261" s="432">
        <v>803376.13705280307</v>
      </c>
      <c r="D261" s="233">
        <f>VLOOKUP(B261,Synthèse!B261:F569,5,FALSE)</f>
        <v>694319.17788790492</v>
      </c>
      <c r="E261" s="329">
        <f t="shared" si="9"/>
        <v>-109056.95916489814</v>
      </c>
      <c r="F261" s="470">
        <v>653521.02940587606</v>
      </c>
      <c r="G261" s="233">
        <v>602524.70260291907</v>
      </c>
      <c r="H261" s="329">
        <f t="shared" si="10"/>
        <v>-50996.326802956988</v>
      </c>
      <c r="I261" s="432">
        <v>119220.43380377626</v>
      </c>
      <c r="J261" s="233">
        <f>VLOOKUP(B261,'M) Police'!B261:O561,14,FALSE)</f>
        <v>110277.5351880212</v>
      </c>
      <c r="K261" s="329">
        <f t="shared" si="11"/>
        <v>-8942.898615755068</v>
      </c>
    </row>
    <row r="262" spans="1:11" x14ac:dyDescent="0.25">
      <c r="A262" s="159">
        <f>+'B) D RI'!A263</f>
        <v>5854</v>
      </c>
      <c r="B262" s="435" t="str">
        <f>+'B) D RI'!B263</f>
        <v>Burtigny</v>
      </c>
      <c r="C262" s="432">
        <v>187034.95193861774</v>
      </c>
      <c r="D262" s="233">
        <f>VLOOKUP(B262,Synthèse!B262:F570,5,FALSE)</f>
        <v>336471.14027386642</v>
      </c>
      <c r="E262" s="329">
        <f t="shared" si="9"/>
        <v>149436.18833524868</v>
      </c>
      <c r="F262" s="470">
        <v>-10626.38195974995</v>
      </c>
      <c r="G262" s="233">
        <v>182506.53417495798</v>
      </c>
      <c r="H262" s="329">
        <f t="shared" si="10"/>
        <v>193132.91613470792</v>
      </c>
      <c r="I262" s="432">
        <v>33356.076911079792</v>
      </c>
      <c r="J262" s="233">
        <f>VLOOKUP(B262,'M) Police'!B262:O562,14,FALSE)</f>
        <v>47899.782471624625</v>
      </c>
      <c r="K262" s="329">
        <f t="shared" si="11"/>
        <v>14543.705560544833</v>
      </c>
    </row>
    <row r="263" spans="1:11" x14ac:dyDescent="0.25">
      <c r="A263" s="159">
        <f>+'B) D RI'!A264</f>
        <v>5855</v>
      </c>
      <c r="B263" s="435" t="str">
        <f>+'B) D RI'!B264</f>
        <v>Dully</v>
      </c>
      <c r="C263" s="432">
        <v>2547050.7839073734</v>
      </c>
      <c r="D263" s="233">
        <f>VLOOKUP(B263,Synthèse!B263:F571,5,FALSE)</f>
        <v>2814975.2793817567</v>
      </c>
      <c r="E263" s="329">
        <f t="shared" ref="E263:E314" si="12">+D263-C263</f>
        <v>267924.49547438323</v>
      </c>
      <c r="F263" s="470">
        <v>1025398.9854803815</v>
      </c>
      <c r="G263" s="233">
        <v>1288955.512454978</v>
      </c>
      <c r="H263" s="329">
        <f t="shared" ref="H263:H314" si="13">+G263-F263</f>
        <v>263556.52697459643</v>
      </c>
      <c r="I263" s="432">
        <v>144333.51040623747</v>
      </c>
      <c r="J263" s="233">
        <f>VLOOKUP(B263,'M) Police'!B263:O563,14,FALSE)</f>
        <v>150173.94682501559</v>
      </c>
      <c r="K263" s="329">
        <f t="shared" ref="K263:K314" si="14">+J263-I263</f>
        <v>5840.4364187781175</v>
      </c>
    </row>
    <row r="264" spans="1:11" x14ac:dyDescent="0.25">
      <c r="A264" s="159">
        <f>+'B) D RI'!A265</f>
        <v>5856</v>
      </c>
      <c r="B264" s="435" t="str">
        <f>+'B) D RI'!B265</f>
        <v>Essertines-sur-Rolle</v>
      </c>
      <c r="C264" s="432">
        <v>539097.94430913753</v>
      </c>
      <c r="D264" s="233">
        <f>VLOOKUP(B264,Synthèse!B264:F572,5,FALSE)</f>
        <v>729474.88187362486</v>
      </c>
      <c r="E264" s="329">
        <f t="shared" si="12"/>
        <v>190376.93756448734</v>
      </c>
      <c r="F264" s="470">
        <v>530710.93581841257</v>
      </c>
      <c r="G264" s="233">
        <v>637868.97932317469</v>
      </c>
      <c r="H264" s="329">
        <f t="shared" si="13"/>
        <v>107158.04350476211</v>
      </c>
      <c r="I264" s="432">
        <v>100167.01851932584</v>
      </c>
      <c r="J264" s="233">
        <f>VLOOKUP(B264,'M) Police'!B264:O564,14,FALSE)</f>
        <v>108770.95703649288</v>
      </c>
      <c r="K264" s="329">
        <f t="shared" si="14"/>
        <v>8603.9385171670438</v>
      </c>
    </row>
    <row r="265" spans="1:11" x14ac:dyDescent="0.25">
      <c r="A265" s="159">
        <f>+'B) D RI'!A266</f>
        <v>5857</v>
      </c>
      <c r="B265" s="435" t="str">
        <f>+'B) D RI'!B266</f>
        <v>Gilly</v>
      </c>
      <c r="C265" s="432">
        <v>1460104.4475267315</v>
      </c>
      <c r="D265" s="233">
        <f>VLOOKUP(B265,Synthèse!B265:F573,5,FALSE)</f>
        <v>1867262.8603891723</v>
      </c>
      <c r="E265" s="329">
        <f t="shared" si="12"/>
        <v>407158.4128624408</v>
      </c>
      <c r="F265" s="470">
        <v>998217.52774334233</v>
      </c>
      <c r="G265" s="233">
        <v>1437302.5402702801</v>
      </c>
      <c r="H265" s="329">
        <f t="shared" si="13"/>
        <v>439085.01252693776</v>
      </c>
      <c r="I265" s="432">
        <v>188102.50285321652</v>
      </c>
      <c r="J265" s="233">
        <f>VLOOKUP(B265,'M) Police'!B265:O565,14,FALSE)</f>
        <v>221616.91833483463</v>
      </c>
      <c r="K265" s="329">
        <f t="shared" si="14"/>
        <v>33514.415481618111</v>
      </c>
    </row>
    <row r="266" spans="1:11" x14ac:dyDescent="0.25">
      <c r="A266" s="159">
        <f>+'B) D RI'!A267</f>
        <v>5858</v>
      </c>
      <c r="B266" s="435" t="str">
        <f>+'B) D RI'!B267</f>
        <v>Luins</v>
      </c>
      <c r="C266" s="432">
        <v>532494.14520653698</v>
      </c>
      <c r="D266" s="233">
        <f>VLOOKUP(B266,Synthèse!B266:F574,5,FALSE)</f>
        <v>924923.39564135275</v>
      </c>
      <c r="E266" s="329">
        <f t="shared" si="12"/>
        <v>392429.25043481577</v>
      </c>
      <c r="F266" s="470">
        <v>597139.04194549646</v>
      </c>
      <c r="G266" s="233">
        <v>735924.04329665273</v>
      </c>
      <c r="H266" s="329">
        <f t="shared" si="13"/>
        <v>138785.00135115627</v>
      </c>
      <c r="I266" s="432">
        <v>99810.90879740598</v>
      </c>
      <c r="J266" s="233">
        <f>VLOOKUP(B266,'M) Police'!B266:O566,14,FALSE)</f>
        <v>104768.53293838802</v>
      </c>
      <c r="K266" s="329">
        <f t="shared" si="14"/>
        <v>4957.6241409820359</v>
      </c>
    </row>
    <row r="267" spans="1:11" x14ac:dyDescent="0.25">
      <c r="A267" s="159">
        <f>+'B) D RI'!A268</f>
        <v>5859</v>
      </c>
      <c r="B267" s="435" t="str">
        <f>+'B) D RI'!B268</f>
        <v>Mont-sur-Rolle</v>
      </c>
      <c r="C267" s="432">
        <v>2322611.1477026818</v>
      </c>
      <c r="D267" s="233">
        <f>VLOOKUP(B267,Synthèse!B267:F575,5,FALSE)</f>
        <v>2350604.0894337506</v>
      </c>
      <c r="E267" s="329">
        <f t="shared" si="12"/>
        <v>27992.941731068771</v>
      </c>
      <c r="F267" s="470">
        <v>1781547.9933925807</v>
      </c>
      <c r="G267" s="233">
        <v>2035661.1454141266</v>
      </c>
      <c r="H267" s="329">
        <f t="shared" si="13"/>
        <v>254113.15202154592</v>
      </c>
      <c r="I267" s="432">
        <v>400515.90386308264</v>
      </c>
      <c r="J267" s="233">
        <f>VLOOKUP(B267,'M) Police'!B267:O567,14,FALSE)</f>
        <v>404961.82608081546</v>
      </c>
      <c r="K267" s="329">
        <f t="shared" si="14"/>
        <v>4445.9222177328193</v>
      </c>
    </row>
    <row r="268" spans="1:11" x14ac:dyDescent="0.25">
      <c r="A268" s="159">
        <f>+'B) D RI'!A269</f>
        <v>5860</v>
      </c>
      <c r="B268" s="435" t="str">
        <f>+'B) D RI'!B269</f>
        <v>Perroy</v>
      </c>
      <c r="C268" s="432">
        <v>1869054.8463160102</v>
      </c>
      <c r="D268" s="233">
        <f>VLOOKUP(B268,Synthèse!B268:F576,5,FALSE)</f>
        <v>2149128.6877748389</v>
      </c>
      <c r="E268" s="329">
        <f t="shared" si="12"/>
        <v>280073.84145882865</v>
      </c>
      <c r="F268" s="470">
        <v>1450473.1668090587</v>
      </c>
      <c r="G268" s="233">
        <v>1493232.9253398867</v>
      </c>
      <c r="H268" s="329">
        <f t="shared" si="13"/>
        <v>42759.758530827938</v>
      </c>
      <c r="I268" s="432">
        <v>244078.91059216368</v>
      </c>
      <c r="J268" s="233">
        <f>VLOOKUP(B268,'M) Police'!B268:O568,14,FALSE)</f>
        <v>248961.36400598229</v>
      </c>
      <c r="K268" s="329">
        <f t="shared" si="14"/>
        <v>4882.4534138186136</v>
      </c>
    </row>
    <row r="269" spans="1:11" x14ac:dyDescent="0.25">
      <c r="A269" s="159">
        <f>+'B) D RI'!A270</f>
        <v>5861</v>
      </c>
      <c r="B269" s="435" t="str">
        <f>+'B) D RI'!B270</f>
        <v>Rolle</v>
      </c>
      <c r="C269" s="432">
        <v>26259772.659344018</v>
      </c>
      <c r="D269" s="233">
        <f>VLOOKUP(B269,Synthèse!B269:F577,5,FALSE)</f>
        <v>17890945.317324065</v>
      </c>
      <c r="E269" s="329">
        <f t="shared" si="12"/>
        <v>-8368827.3420199528</v>
      </c>
      <c r="F269" s="470">
        <v>10958104.245836318</v>
      </c>
      <c r="G269" s="233">
        <v>8537842.265783824</v>
      </c>
      <c r="H269" s="329">
        <f t="shared" si="13"/>
        <v>-2420261.9800524935</v>
      </c>
      <c r="I269" s="432">
        <v>1460919.1263146489</v>
      </c>
      <c r="J269" s="233">
        <f>VLOOKUP(B269,'M) Police'!B269:O569,14,FALSE)</f>
        <v>1261445.6814903454</v>
      </c>
      <c r="K269" s="329">
        <f t="shared" si="14"/>
        <v>-199473.4448243035</v>
      </c>
    </row>
    <row r="270" spans="1:11" x14ac:dyDescent="0.25">
      <c r="A270" s="159">
        <f>+'B) D RI'!A271</f>
        <v>5862</v>
      </c>
      <c r="B270" s="435" t="str">
        <f>+'B) D RI'!B271</f>
        <v>Tartegnin</v>
      </c>
      <c r="C270" s="432">
        <v>152979.72809473585</v>
      </c>
      <c r="D270" s="233">
        <f>VLOOKUP(B270,Synthèse!B270:F578,5,FALSE)</f>
        <v>204593.69674303947</v>
      </c>
      <c r="E270" s="329">
        <f t="shared" si="12"/>
        <v>51613.96864830362</v>
      </c>
      <c r="F270" s="470">
        <v>65551.405820576809</v>
      </c>
      <c r="G270" s="233">
        <v>209089.88081689432</v>
      </c>
      <c r="H270" s="329">
        <f t="shared" si="13"/>
        <v>143538.47499631753</v>
      </c>
      <c r="I270" s="432">
        <v>26333.273809334183</v>
      </c>
      <c r="J270" s="233">
        <f>VLOOKUP(B270,'M) Police'!B270:O570,14,FALSE)</f>
        <v>36394.593873092846</v>
      </c>
      <c r="K270" s="329">
        <f t="shared" si="14"/>
        <v>10061.320063758663</v>
      </c>
    </row>
    <row r="271" spans="1:11" x14ac:dyDescent="0.25">
      <c r="A271" s="159">
        <f>+'B) D RI'!A272</f>
        <v>5863</v>
      </c>
      <c r="B271" s="435" t="str">
        <f>+'B) D RI'!B272</f>
        <v>Vinzel</v>
      </c>
      <c r="C271" s="432">
        <v>493247.55759369198</v>
      </c>
      <c r="D271" s="233">
        <f>VLOOKUP(B271,Synthèse!B271:F579,5,FALSE)</f>
        <v>419215.09550680162</v>
      </c>
      <c r="E271" s="329">
        <f t="shared" si="12"/>
        <v>-74032.462086890358</v>
      </c>
      <c r="F271" s="470">
        <v>410190.6209936036</v>
      </c>
      <c r="G271" s="233">
        <v>382330.67936205136</v>
      </c>
      <c r="H271" s="329">
        <f t="shared" si="13"/>
        <v>-27859.941631552239</v>
      </c>
      <c r="I271" s="432">
        <v>61328.121186067598</v>
      </c>
      <c r="J271" s="233">
        <f>VLOOKUP(B271,'M) Police'!B271:O571,14,FALSE)</f>
        <v>58077.204412610859</v>
      </c>
      <c r="K271" s="329">
        <f t="shared" si="14"/>
        <v>-3250.9167734567382</v>
      </c>
    </row>
    <row r="272" spans="1:11" x14ac:dyDescent="0.25">
      <c r="A272" s="159">
        <f>+'B) D RI'!A273</f>
        <v>5871</v>
      </c>
      <c r="B272" s="435" t="str">
        <f>+'B) D RI'!B273</f>
        <v>L'Abbaye</v>
      </c>
      <c r="C272" s="432">
        <v>1034165.7644592854</v>
      </c>
      <c r="D272" s="233">
        <f>VLOOKUP(B272,Synthèse!B272:F580,5,FALSE)</f>
        <v>932211.68084557354</v>
      </c>
      <c r="E272" s="329">
        <f t="shared" si="12"/>
        <v>-101954.08361371187</v>
      </c>
      <c r="F272" s="470">
        <v>44951.011151913175</v>
      </c>
      <c r="G272" s="233">
        <v>-295800.23140011396</v>
      </c>
      <c r="H272" s="329">
        <f t="shared" si="13"/>
        <v>-340751.24255202711</v>
      </c>
      <c r="I272" s="432">
        <v>155538.73276265652</v>
      </c>
      <c r="J272" s="233">
        <f>VLOOKUP(B272,'M) Police'!B272:O572,14,FALSE)</f>
        <v>138184.45557132631</v>
      </c>
      <c r="K272" s="329">
        <f t="shared" si="14"/>
        <v>-17354.277191330213</v>
      </c>
    </row>
    <row r="273" spans="1:11" x14ac:dyDescent="0.25">
      <c r="A273" s="159">
        <f>+'B) D RI'!A274</f>
        <v>5872</v>
      </c>
      <c r="B273" s="435" t="str">
        <f>+'B) D RI'!B274</f>
        <v>Le Chenit</v>
      </c>
      <c r="C273" s="432">
        <v>7799331.0608018357</v>
      </c>
      <c r="D273" s="233">
        <f>VLOOKUP(B273,Synthèse!B273:F581,5,FALSE)</f>
        <v>5340889.024652712</v>
      </c>
      <c r="E273" s="329">
        <f t="shared" si="12"/>
        <v>-2458442.0361491237</v>
      </c>
      <c r="F273" s="470">
        <v>2857928.3958430844</v>
      </c>
      <c r="G273" s="233">
        <v>387541.71161021688</v>
      </c>
      <c r="H273" s="329">
        <f t="shared" si="13"/>
        <v>-2470386.6842328673</v>
      </c>
      <c r="I273" s="432">
        <v>796889.44431956916</v>
      </c>
      <c r="J273" s="233">
        <f>VLOOKUP(B273,'M) Police'!B273:O573,14,FALSE)</f>
        <v>613268.28915791691</v>
      </c>
      <c r="K273" s="329">
        <f t="shared" si="14"/>
        <v>-183621.15516165225</v>
      </c>
    </row>
    <row r="274" spans="1:11" x14ac:dyDescent="0.25">
      <c r="A274" s="159">
        <f>+'B) D RI'!A275</f>
        <v>5873</v>
      </c>
      <c r="B274" s="435" t="str">
        <f>+'B) D RI'!B275</f>
        <v>Le Lieu</v>
      </c>
      <c r="C274" s="432">
        <v>762813.13670527504</v>
      </c>
      <c r="D274" s="233">
        <f>VLOOKUP(B274,Synthèse!B274:F582,5,FALSE)</f>
        <v>749820.12966161757</v>
      </c>
      <c r="E274" s="329">
        <f t="shared" si="12"/>
        <v>-12993.007043657475</v>
      </c>
      <c r="F274" s="470">
        <v>-602953.11417262093</v>
      </c>
      <c r="G274" s="233">
        <v>-339012.39001173433</v>
      </c>
      <c r="H274" s="329">
        <f t="shared" si="13"/>
        <v>263940.7241608866</v>
      </c>
      <c r="I274" s="432">
        <v>96834.00768696249</v>
      </c>
      <c r="J274" s="233">
        <f>VLOOKUP(B274,'M) Police'!B274:O574,14,FALSE)</f>
        <v>98691.916603640842</v>
      </c>
      <c r="K274" s="329">
        <f t="shared" si="14"/>
        <v>1857.9089166783524</v>
      </c>
    </row>
    <row r="275" spans="1:11" x14ac:dyDescent="0.25">
      <c r="A275" s="159">
        <f>+'B) D RI'!A276</f>
        <v>5881</v>
      </c>
      <c r="B275" s="435" t="str">
        <f>+'B) D RI'!B276</f>
        <v>Blonay</v>
      </c>
      <c r="C275" s="432">
        <v>6450144.7916750982</v>
      </c>
      <c r="D275" s="233">
        <f>VLOOKUP(B275,Synthèse!B275:F583,5,FALSE)</f>
        <v>5577560.8220253373</v>
      </c>
      <c r="E275" s="329">
        <f t="shared" si="12"/>
        <v>-872583.96964976098</v>
      </c>
      <c r="F275" s="470">
        <v>2909793.633447649</v>
      </c>
      <c r="G275" s="233">
        <v>3250045.1488720602</v>
      </c>
      <c r="H275" s="329">
        <f t="shared" si="13"/>
        <v>340251.51542441128</v>
      </c>
      <c r="I275" s="432">
        <v>432770.23044202069</v>
      </c>
      <c r="J275" s="233">
        <f>VLOOKUP(B275,'M) Police'!B275:O575,14,FALSE)</f>
        <v>414658.31857866119</v>
      </c>
      <c r="K275" s="329">
        <f t="shared" si="14"/>
        <v>-18111.911863359506</v>
      </c>
    </row>
    <row r="276" spans="1:11" x14ac:dyDescent="0.25">
      <c r="A276" s="159">
        <f>+'B) D RI'!A277</f>
        <v>5882</v>
      </c>
      <c r="B276" s="435" t="str">
        <f>+'B) D RI'!B277</f>
        <v>Chardonne</v>
      </c>
      <c r="C276" s="432">
        <v>2886903.4482290386</v>
      </c>
      <c r="D276" s="233">
        <f>VLOOKUP(B276,Synthèse!B276:F584,5,FALSE)</f>
        <v>3306828.6575770834</v>
      </c>
      <c r="E276" s="329">
        <f t="shared" si="12"/>
        <v>419925.20934804482</v>
      </c>
      <c r="F276" s="470">
        <v>1752757.2434176223</v>
      </c>
      <c r="G276" s="233">
        <v>1930071.5126473992</v>
      </c>
      <c r="H276" s="329">
        <f t="shared" si="13"/>
        <v>177314.26922977692</v>
      </c>
      <c r="I276" s="432">
        <v>196707.21018883763</v>
      </c>
      <c r="J276" s="233">
        <f>VLOOKUP(B276,'M) Police'!B276:O576,14,FALSE)</f>
        <v>200718.82541676593</v>
      </c>
      <c r="K276" s="329">
        <f t="shared" si="14"/>
        <v>4011.6152279282978</v>
      </c>
    </row>
    <row r="277" spans="1:11" x14ac:dyDescent="0.25">
      <c r="A277" s="159">
        <f>+'B) D RI'!A278</f>
        <v>5883</v>
      </c>
      <c r="B277" s="435" t="str">
        <f>+'B) D RI'!B278</f>
        <v>Corseaux</v>
      </c>
      <c r="C277" s="432">
        <v>3315775.4023358594</v>
      </c>
      <c r="D277" s="233">
        <f>VLOOKUP(B277,Synthèse!B277:F585,5,FALSE)</f>
        <v>4690849.2766849194</v>
      </c>
      <c r="E277" s="329">
        <f t="shared" si="12"/>
        <v>1375073.87434906</v>
      </c>
      <c r="F277" s="470">
        <v>2232356.3913859092</v>
      </c>
      <c r="G277" s="233">
        <v>2318390.2195811211</v>
      </c>
      <c r="H277" s="329">
        <f t="shared" si="13"/>
        <v>86033.828195211943</v>
      </c>
      <c r="I277" s="432">
        <v>190316.80334401038</v>
      </c>
      <c r="J277" s="233">
        <f>VLOOKUP(B277,'M) Police'!B277:O577,14,FALSE)</f>
        <v>187785.43476763138</v>
      </c>
      <c r="K277" s="329">
        <f t="shared" si="14"/>
        <v>-2531.3685763789981</v>
      </c>
    </row>
    <row r="278" spans="1:11" x14ac:dyDescent="0.25">
      <c r="A278" s="159">
        <f>+'B) D RI'!A279</f>
        <v>5884</v>
      </c>
      <c r="B278" s="435" t="str">
        <f>+'B) D RI'!B279</f>
        <v>Corsier-sur-Vevey</v>
      </c>
      <c r="C278" s="432">
        <v>2097472.978034969</v>
      </c>
      <c r="D278" s="233">
        <f>VLOOKUP(B278,Synthèse!B278:F586,5,FALSE)</f>
        <v>2152917.9594143764</v>
      </c>
      <c r="E278" s="329">
        <f t="shared" si="12"/>
        <v>55444.981379407458</v>
      </c>
      <c r="F278" s="470">
        <v>-390971.20896983577</v>
      </c>
      <c r="G278" s="233">
        <v>-503840.82309842994</v>
      </c>
      <c r="H278" s="329">
        <f t="shared" si="13"/>
        <v>-112869.61412859417</v>
      </c>
      <c r="I278" s="432">
        <v>151596.99951993831</v>
      </c>
      <c r="J278" s="233">
        <f>VLOOKUP(B278,'M) Police'!B278:O578,14,FALSE)</f>
        <v>148109.74175243935</v>
      </c>
      <c r="K278" s="329">
        <f t="shared" si="14"/>
        <v>-3487.2577674989589</v>
      </c>
    </row>
    <row r="279" spans="1:11" x14ac:dyDescent="0.25">
      <c r="A279" s="159">
        <f>+'B) D RI'!A280</f>
        <v>5885</v>
      </c>
      <c r="B279" s="435" t="str">
        <f>+'B) D RI'!B280</f>
        <v>Jongny</v>
      </c>
      <c r="C279" s="432">
        <v>1453550.2369855621</v>
      </c>
      <c r="D279" s="233">
        <f>VLOOKUP(B279,Synthèse!B279:F587,5,FALSE)</f>
        <v>1857485.442623009</v>
      </c>
      <c r="E279" s="329">
        <f t="shared" si="12"/>
        <v>403935.20563744684</v>
      </c>
      <c r="F279" s="470">
        <v>1203115.1870565501</v>
      </c>
      <c r="G279" s="233">
        <v>1288089.1838606729</v>
      </c>
      <c r="H279" s="329">
        <f t="shared" si="13"/>
        <v>84973.996804122813</v>
      </c>
      <c r="I279" s="432">
        <v>106553.63879047243</v>
      </c>
      <c r="J279" s="233">
        <f>VLOOKUP(B279,'M) Police'!B279:O579,14,FALSE)</f>
        <v>104208.69194291969</v>
      </c>
      <c r="K279" s="329">
        <f t="shared" si="14"/>
        <v>-2344.9468475527392</v>
      </c>
    </row>
    <row r="280" spans="1:11" x14ac:dyDescent="0.25">
      <c r="A280" s="159">
        <f>+'B) D RI'!A281</f>
        <v>5886</v>
      </c>
      <c r="B280" s="435" t="str">
        <f>+'B) D RI'!B281</f>
        <v>Montreux</v>
      </c>
      <c r="C280" s="432">
        <v>24848167.552296158</v>
      </c>
      <c r="D280" s="233">
        <f>VLOOKUP(B280,Synthèse!B280:F588,5,FALSE)</f>
        <v>28396148.220601059</v>
      </c>
      <c r="E280" s="329">
        <f t="shared" si="12"/>
        <v>3547980.6683049016</v>
      </c>
      <c r="F280" s="470">
        <v>-4936689.1511987355</v>
      </c>
      <c r="G280" s="233">
        <v>-7005875.8591097929</v>
      </c>
      <c r="H280" s="329">
        <f t="shared" si="13"/>
        <v>-2069186.7079110574</v>
      </c>
      <c r="I280" s="432">
        <v>1530073.5012569386</v>
      </c>
      <c r="J280" s="233">
        <f>VLOOKUP(B280,'M) Police'!B280:O580,14,FALSE)</f>
        <v>1393854.8659803229</v>
      </c>
      <c r="K280" s="329">
        <f t="shared" si="14"/>
        <v>-136218.63527661562</v>
      </c>
    </row>
    <row r="281" spans="1:11" x14ac:dyDescent="0.25">
      <c r="A281" s="159">
        <f>+'B) D RI'!A282</f>
        <v>5888</v>
      </c>
      <c r="B281" s="435" t="str">
        <f>+'B) D RI'!B282</f>
        <v>Saint-Légier-La Chiésaz</v>
      </c>
      <c r="C281" s="432">
        <v>5801847.0880207745</v>
      </c>
      <c r="D281" s="233">
        <f>VLOOKUP(B281,Synthèse!B281:F589,5,FALSE)</f>
        <v>6340514.1313947113</v>
      </c>
      <c r="E281" s="329">
        <f t="shared" si="12"/>
        <v>538667.04337393679</v>
      </c>
      <c r="F281" s="470">
        <v>3588194.9446260324</v>
      </c>
      <c r="G281" s="233">
        <v>3504818.3975283056</v>
      </c>
      <c r="H281" s="329">
        <f t="shared" si="13"/>
        <v>-83376.547097726725</v>
      </c>
      <c r="I281" s="432">
        <v>395116.79851210985</v>
      </c>
      <c r="J281" s="233">
        <f>VLOOKUP(B281,'M) Police'!B281:O581,14,FALSE)</f>
        <v>389404.83565174631</v>
      </c>
      <c r="K281" s="329">
        <f t="shared" si="14"/>
        <v>-5711.9628603635356</v>
      </c>
    </row>
    <row r="282" spans="1:11" x14ac:dyDescent="0.25">
      <c r="A282" s="159">
        <f>+'B) D RI'!A283</f>
        <v>5889</v>
      </c>
      <c r="B282" s="435" t="str">
        <f>+'B) D RI'!B283</f>
        <v>La Tour-de-Peilz</v>
      </c>
      <c r="C282" s="432">
        <v>11513196.862748839</v>
      </c>
      <c r="D282" s="233">
        <f>VLOOKUP(B282,Synthèse!B282:F590,5,FALSE)</f>
        <v>13554755.014109617</v>
      </c>
      <c r="E282" s="329">
        <f t="shared" si="12"/>
        <v>2041558.1513607781</v>
      </c>
      <c r="F282" s="470">
        <v>5283265.8294313196</v>
      </c>
      <c r="G282" s="233">
        <v>5620511.1268427847</v>
      </c>
      <c r="H282" s="329">
        <f t="shared" si="13"/>
        <v>337245.29741146509</v>
      </c>
      <c r="I282" s="432">
        <v>805385.39262227539</v>
      </c>
      <c r="J282" s="233">
        <f>VLOOKUP(B282,'M) Police'!B282:O582,14,FALSE)</f>
        <v>802765.03671313939</v>
      </c>
      <c r="K282" s="329">
        <f t="shared" si="14"/>
        <v>-2620.3559091360075</v>
      </c>
    </row>
    <row r="283" spans="1:11" x14ac:dyDescent="0.25">
      <c r="A283" s="159">
        <f>+'B) D RI'!A284</f>
        <v>5890</v>
      </c>
      <c r="B283" s="435" t="str">
        <f>+'B) D RI'!B284</f>
        <v>Vevey</v>
      </c>
      <c r="C283" s="432">
        <v>16078937.269525735</v>
      </c>
      <c r="D283" s="233">
        <f>VLOOKUP(B283,Synthèse!B283:F591,5,FALSE)</f>
        <v>17328761.13126386</v>
      </c>
      <c r="E283" s="329">
        <f t="shared" si="12"/>
        <v>1249823.8617381249</v>
      </c>
      <c r="F283" s="470">
        <v>862812.42257443094</v>
      </c>
      <c r="G283" s="233">
        <v>-227221.66699234117</v>
      </c>
      <c r="H283" s="329">
        <f t="shared" si="13"/>
        <v>-1090034.0895667721</v>
      </c>
      <c r="I283" s="432">
        <v>1183727.3587287073</v>
      </c>
      <c r="J283" s="233">
        <f>VLOOKUP(B283,'M) Police'!B283:O583,14,FALSE)</f>
        <v>1148727.0874383636</v>
      </c>
      <c r="K283" s="329">
        <f t="shared" si="14"/>
        <v>-35000.27129034372</v>
      </c>
    </row>
    <row r="284" spans="1:11" x14ac:dyDescent="0.25">
      <c r="A284" s="159">
        <f>+'B) D RI'!A285</f>
        <v>5891</v>
      </c>
      <c r="B284" s="435" t="str">
        <f>+'B) D RI'!B285</f>
        <v>Veytaux</v>
      </c>
      <c r="C284" s="432">
        <v>758273.68999530282</v>
      </c>
      <c r="D284" s="233">
        <f>VLOOKUP(B284,Synthèse!B284:F592,5,FALSE)</f>
        <v>982498.36277875991</v>
      </c>
      <c r="E284" s="329">
        <f t="shared" si="12"/>
        <v>224224.67278345709</v>
      </c>
      <c r="F284" s="470">
        <v>363143.36535697168</v>
      </c>
      <c r="G284" s="233">
        <v>136489.10476612137</v>
      </c>
      <c r="H284" s="329">
        <f t="shared" si="13"/>
        <v>-226654.26059085032</v>
      </c>
      <c r="I284" s="432">
        <v>51439.698953263214</v>
      </c>
      <c r="J284" s="233">
        <f>VLOOKUP(B284,'M) Police'!B284:O584,14,FALSE)</f>
        <v>46590.223023683735</v>
      </c>
      <c r="K284" s="329">
        <f t="shared" si="14"/>
        <v>-4849.4759295794793</v>
      </c>
    </row>
    <row r="285" spans="1:11" x14ac:dyDescent="0.25">
      <c r="A285" s="159">
        <f>+'B) D RI'!A286</f>
        <v>5902</v>
      </c>
      <c r="B285" s="435" t="str">
        <f>+'B) D RI'!B286</f>
        <v>Belmont-sur-Yverdon</v>
      </c>
      <c r="C285" s="432">
        <v>147717.07002548085</v>
      </c>
      <c r="D285" s="233">
        <f>VLOOKUP(B285,Synthèse!B285:F593,5,FALSE)</f>
        <v>151665.71732790591</v>
      </c>
      <c r="E285" s="329">
        <f t="shared" si="12"/>
        <v>3948.647302425059</v>
      </c>
      <c r="F285" s="470">
        <v>-42065.405177843975</v>
      </c>
      <c r="G285" s="233">
        <v>-9277.8574018694089</v>
      </c>
      <c r="H285" s="329">
        <f t="shared" si="13"/>
        <v>32787.54777597457</v>
      </c>
      <c r="I285" s="432">
        <v>29143.235902111031</v>
      </c>
      <c r="J285" s="233">
        <f>VLOOKUP(B285,'M) Police'!B285:O585,14,FALSE)</f>
        <v>32015.274365768364</v>
      </c>
      <c r="K285" s="329">
        <f t="shared" si="14"/>
        <v>2872.0384636573326</v>
      </c>
    </row>
    <row r="286" spans="1:11" x14ac:dyDescent="0.25">
      <c r="A286" s="159">
        <f>+'B) D RI'!A287</f>
        <v>5903</v>
      </c>
      <c r="B286" s="435" t="str">
        <f>+'B) D RI'!B287</f>
        <v>Bioley-Magnoux</v>
      </c>
      <c r="C286" s="432">
        <v>102956.83434367608</v>
      </c>
      <c r="D286" s="233">
        <f>VLOOKUP(B286,Synthèse!B286:F594,5,FALSE)</f>
        <v>96091.585159160313</v>
      </c>
      <c r="E286" s="329">
        <f t="shared" si="12"/>
        <v>-6865.2491845157638</v>
      </c>
      <c r="F286" s="470">
        <v>-235841.18765709086</v>
      </c>
      <c r="G286" s="233">
        <v>-229496.28567707597</v>
      </c>
      <c r="H286" s="329">
        <f t="shared" si="13"/>
        <v>6344.9019800148963</v>
      </c>
      <c r="I286" s="432">
        <v>18765.511271705349</v>
      </c>
      <c r="J286" s="233">
        <f>VLOOKUP(B286,'M) Police'!B286:O586,14,FALSE)</f>
        <v>16825.764906471253</v>
      </c>
      <c r="K286" s="329">
        <f t="shared" si="14"/>
        <v>-1939.7463652340957</v>
      </c>
    </row>
    <row r="287" spans="1:11" x14ac:dyDescent="0.25">
      <c r="A287" s="159">
        <f>+'B) D RI'!A288</f>
        <v>5904</v>
      </c>
      <c r="B287" s="435" t="str">
        <f>+'B) D RI'!B288</f>
        <v>Chamblon</v>
      </c>
      <c r="C287" s="432">
        <v>380278.40913082188</v>
      </c>
      <c r="D287" s="233">
        <f>VLOOKUP(B287,Synthèse!B287:F595,5,FALSE)</f>
        <v>327731.90780382755</v>
      </c>
      <c r="E287" s="329">
        <f t="shared" si="12"/>
        <v>-52546.50132699433</v>
      </c>
      <c r="F287" s="470">
        <v>343618.7766549791</v>
      </c>
      <c r="G287" s="233">
        <v>250465.41049109606</v>
      </c>
      <c r="H287" s="329">
        <f t="shared" si="13"/>
        <v>-93153.366163883038</v>
      </c>
      <c r="I287" s="432">
        <v>29832.330906977179</v>
      </c>
      <c r="J287" s="233">
        <f>VLOOKUP(B287,'M) Police'!B287:O587,14,FALSE)</f>
        <v>24920.50907994101</v>
      </c>
      <c r="K287" s="329">
        <f t="shared" si="14"/>
        <v>-4911.8218270361685</v>
      </c>
    </row>
    <row r="288" spans="1:11" x14ac:dyDescent="0.25">
      <c r="A288" s="159">
        <f>+'B) D RI'!A289</f>
        <v>5905</v>
      </c>
      <c r="B288" s="435" t="str">
        <f>+'B) D RI'!B289</f>
        <v>Champvent</v>
      </c>
      <c r="C288" s="432">
        <v>450986.14798039681</v>
      </c>
      <c r="D288" s="233">
        <f>VLOOKUP(B288,Synthèse!B288:F596,5,FALSE)</f>
        <v>393211.00498405605</v>
      </c>
      <c r="E288" s="329">
        <f t="shared" si="12"/>
        <v>-57775.142996340757</v>
      </c>
      <c r="F288" s="470">
        <v>114139.39244348429</v>
      </c>
      <c r="G288" s="233">
        <v>233345.80415690402</v>
      </c>
      <c r="H288" s="329">
        <f t="shared" si="13"/>
        <v>119206.41171341973</v>
      </c>
      <c r="I288" s="432">
        <v>66920.962643922117</v>
      </c>
      <c r="J288" s="233">
        <f>VLOOKUP(B288,'M) Police'!B288:O588,14,FALSE)</f>
        <v>75370.192745899942</v>
      </c>
      <c r="K288" s="329">
        <f t="shared" si="14"/>
        <v>8449.2301019778242</v>
      </c>
    </row>
    <row r="289" spans="1:11" x14ac:dyDescent="0.25">
      <c r="A289" s="159">
        <f>+'B) D RI'!A290</f>
        <v>5907</v>
      </c>
      <c r="B289" s="435" t="str">
        <f>+'B) D RI'!B290</f>
        <v>Chavannes-le-Chêne</v>
      </c>
      <c r="C289" s="432">
        <v>160554.08726606407</v>
      </c>
      <c r="D289" s="233">
        <f>VLOOKUP(B289,Synthèse!B289:F597,5,FALSE)</f>
        <v>126393.24267270818</v>
      </c>
      <c r="E289" s="329">
        <f t="shared" si="12"/>
        <v>-34160.844593355898</v>
      </c>
      <c r="F289" s="470">
        <v>-54284.131815560599</v>
      </c>
      <c r="G289" s="233">
        <v>-73777.142479273578</v>
      </c>
      <c r="H289" s="329">
        <f t="shared" si="13"/>
        <v>-19493.010663712979</v>
      </c>
      <c r="I289" s="432">
        <v>28133.283226123465</v>
      </c>
      <c r="J289" s="233">
        <f>VLOOKUP(B289,'M) Police'!B289:O589,14,FALSE)</f>
        <v>25055.506430617264</v>
      </c>
      <c r="K289" s="329">
        <f t="shared" si="14"/>
        <v>-3077.7767955062009</v>
      </c>
    </row>
    <row r="290" spans="1:11" x14ac:dyDescent="0.25">
      <c r="A290" s="159">
        <f>+'B) D RI'!A291</f>
        <v>5908</v>
      </c>
      <c r="B290" s="435" t="str">
        <f>+'B) D RI'!B291</f>
        <v>Chêne-Pâquier</v>
      </c>
      <c r="C290" s="432">
        <v>50051.955513714995</v>
      </c>
      <c r="D290" s="233">
        <f>VLOOKUP(B290,Synthèse!B290:F598,5,FALSE)</f>
        <v>85729.838116084196</v>
      </c>
      <c r="E290" s="329">
        <f t="shared" si="12"/>
        <v>35677.882602369202</v>
      </c>
      <c r="F290" s="470">
        <v>-57214.626813926225</v>
      </c>
      <c r="G290" s="233">
        <v>-50700.480985512266</v>
      </c>
      <c r="H290" s="329">
        <f t="shared" si="13"/>
        <v>6514.145828413959</v>
      </c>
      <c r="I290" s="432">
        <v>9218.3324808533707</v>
      </c>
      <c r="J290" s="233">
        <f>VLOOKUP(B290,'M) Police'!B290:O590,14,FALSE)</f>
        <v>9722.565355919789</v>
      </c>
      <c r="K290" s="329">
        <f t="shared" si="14"/>
        <v>504.23287506641827</v>
      </c>
    </row>
    <row r="291" spans="1:11" x14ac:dyDescent="0.25">
      <c r="A291" s="159">
        <f>+'B) D RI'!A292</f>
        <v>5909</v>
      </c>
      <c r="B291" s="435" t="str">
        <f>+'B) D RI'!B292</f>
        <v>Cheseaux-Noréaz</v>
      </c>
      <c r="C291" s="432">
        <v>426123.12311014527</v>
      </c>
      <c r="D291" s="233">
        <f>VLOOKUP(B291,Synthèse!B291:F599,5,FALSE)</f>
        <v>568651.28865769086</v>
      </c>
      <c r="E291" s="329">
        <f t="shared" si="12"/>
        <v>142528.16554754559</v>
      </c>
      <c r="F291" s="470">
        <v>166158.58622895542</v>
      </c>
      <c r="G291" s="233">
        <v>482614.78460477479</v>
      </c>
      <c r="H291" s="329">
        <f t="shared" si="13"/>
        <v>316456.19837581937</v>
      </c>
      <c r="I291" s="432">
        <v>32250.137837510116</v>
      </c>
      <c r="J291" s="233">
        <f>VLOOKUP(B291,'M) Police'!B291:O591,14,FALSE)</f>
        <v>40739.876046040074</v>
      </c>
      <c r="K291" s="329">
        <f t="shared" si="14"/>
        <v>8489.7382085299578</v>
      </c>
    </row>
    <row r="292" spans="1:11" x14ac:dyDescent="0.25">
      <c r="A292" s="159">
        <f>+'B) D RI'!A293</f>
        <v>5910</v>
      </c>
      <c r="B292" s="435" t="str">
        <f>+'B) D RI'!B293</f>
        <v>Cronay</v>
      </c>
      <c r="C292" s="432">
        <v>171421.40399533397</v>
      </c>
      <c r="D292" s="233">
        <f>VLOOKUP(B292,Synthèse!B292:F600,5,FALSE)</f>
        <v>155170.14367736693</v>
      </c>
      <c r="E292" s="329">
        <f t="shared" si="12"/>
        <v>-16251.26031796704</v>
      </c>
      <c r="F292" s="470">
        <v>-145652.63849062758</v>
      </c>
      <c r="G292" s="233">
        <v>-127608.42069386301</v>
      </c>
      <c r="H292" s="329">
        <f t="shared" si="13"/>
        <v>18044.217796764569</v>
      </c>
      <c r="I292" s="432">
        <v>32063.614817846112</v>
      </c>
      <c r="J292" s="233">
        <f>VLOOKUP(B292,'M) Police'!B292:O592,14,FALSE)</f>
        <v>29998.806469876807</v>
      </c>
      <c r="K292" s="329">
        <f t="shared" si="14"/>
        <v>-2064.808347969305</v>
      </c>
    </row>
    <row r="293" spans="1:11" x14ac:dyDescent="0.25">
      <c r="A293" s="159">
        <f>+'B) D RI'!A294</f>
        <v>5911</v>
      </c>
      <c r="B293" s="435" t="str">
        <f>+'B) D RI'!B294</f>
        <v>Cuarny</v>
      </c>
      <c r="C293" s="432">
        <v>118072.83625065189</v>
      </c>
      <c r="D293" s="233">
        <f>VLOOKUP(B293,Synthèse!B293:F601,5,FALSE)</f>
        <v>129694.03971289212</v>
      </c>
      <c r="E293" s="329">
        <f t="shared" si="12"/>
        <v>11621.203462240228</v>
      </c>
      <c r="F293" s="470">
        <v>-59058.773261654234</v>
      </c>
      <c r="G293" s="233">
        <v>-92751.080440972233</v>
      </c>
      <c r="H293" s="329">
        <f t="shared" si="13"/>
        <v>-33692.307179317999</v>
      </c>
      <c r="I293" s="432">
        <v>24814.63641601264</v>
      </c>
      <c r="J293" s="233">
        <f>VLOOKUP(B293,'M) Police'!B293:O593,14,FALSE)</f>
        <v>21557.071940795679</v>
      </c>
      <c r="K293" s="329">
        <f t="shared" si="14"/>
        <v>-3257.564475216961</v>
      </c>
    </row>
    <row r="294" spans="1:11" x14ac:dyDescent="0.25">
      <c r="A294" s="159">
        <f>+'B) D RI'!A295</f>
        <v>5912</v>
      </c>
      <c r="B294" s="435" t="str">
        <f>+'B) D RI'!B295</f>
        <v>Démoret</v>
      </c>
      <c r="C294" s="432">
        <v>46761.200248867572</v>
      </c>
      <c r="D294" s="233">
        <f>VLOOKUP(B294,Synthèse!B294:F602,5,FALSE)</f>
        <v>45889.138565556335</v>
      </c>
      <c r="E294" s="329">
        <f t="shared" si="12"/>
        <v>-872.06168331123627</v>
      </c>
      <c r="F294" s="470">
        <v>-54973.420737075649</v>
      </c>
      <c r="G294" s="233">
        <v>-90211.400256849913</v>
      </c>
      <c r="H294" s="329">
        <f t="shared" si="13"/>
        <v>-35237.979519774264</v>
      </c>
      <c r="I294" s="432">
        <v>8708.5239286530123</v>
      </c>
      <c r="J294" s="233">
        <f>VLOOKUP(B294,'M) Police'!B294:O594,14,FALSE)</f>
        <v>9679.4155345874751</v>
      </c>
      <c r="K294" s="329">
        <f t="shared" si="14"/>
        <v>970.89160593446286</v>
      </c>
    </row>
    <row r="295" spans="1:11" x14ac:dyDescent="0.25">
      <c r="A295" s="159">
        <f>+'B) D RI'!A296</f>
        <v>5913</v>
      </c>
      <c r="B295" s="435" t="str">
        <f>+'B) D RI'!B296</f>
        <v>Donneloye</v>
      </c>
      <c r="C295" s="432">
        <v>383711.7302325879</v>
      </c>
      <c r="D295" s="233">
        <f>VLOOKUP(B295,Synthèse!B295:F603,5,FALSE)</f>
        <v>378431.9073714352</v>
      </c>
      <c r="E295" s="329">
        <f t="shared" si="12"/>
        <v>-5279.8228611527011</v>
      </c>
      <c r="F295" s="470">
        <v>-61352.412631811778</v>
      </c>
      <c r="G295" s="233">
        <v>-72315.8766501387</v>
      </c>
      <c r="H295" s="329">
        <f t="shared" si="13"/>
        <v>-10963.464018326922</v>
      </c>
      <c r="I295" s="432">
        <v>66595.694204151732</v>
      </c>
      <c r="J295" s="233">
        <f>VLOOKUP(B295,'M) Police'!B295:O595,14,FALSE)</f>
        <v>63031.471116825764</v>
      </c>
      <c r="K295" s="329">
        <f t="shared" si="14"/>
        <v>-3564.2230873259687</v>
      </c>
    </row>
    <row r="296" spans="1:11" x14ac:dyDescent="0.25">
      <c r="A296" s="159">
        <f>+'B) D RI'!A297</f>
        <v>5914</v>
      </c>
      <c r="B296" s="435" t="str">
        <f>+'B) D RI'!B297</f>
        <v>Ependes</v>
      </c>
      <c r="C296" s="432">
        <v>140681.74586742613</v>
      </c>
      <c r="D296" s="233">
        <f>VLOOKUP(B296,Synthèse!B296:F604,5,FALSE)</f>
        <v>155781.27370563301</v>
      </c>
      <c r="E296" s="329">
        <f t="shared" si="12"/>
        <v>15099.527838206879</v>
      </c>
      <c r="F296" s="470">
        <v>-63255.582240456664</v>
      </c>
      <c r="G296" s="233">
        <v>-54418.071969811885</v>
      </c>
      <c r="H296" s="329">
        <f t="shared" si="13"/>
        <v>8837.5102706447797</v>
      </c>
      <c r="I296" s="432">
        <v>11506.496679143318</v>
      </c>
      <c r="J296" s="233">
        <f>VLOOKUP(B296,'M) Police'!B296:O596,14,FALSE)</f>
        <v>11633.2832182006</v>
      </c>
      <c r="K296" s="329">
        <f t="shared" si="14"/>
        <v>126.78653905728243</v>
      </c>
    </row>
    <row r="297" spans="1:11" x14ac:dyDescent="0.25">
      <c r="A297" s="159">
        <f>+'B) D RI'!A298</f>
        <v>5919</v>
      </c>
      <c r="B297" s="435" t="str">
        <f>+'B) D RI'!B298</f>
        <v>Mathod</v>
      </c>
      <c r="C297" s="432">
        <v>340863.38918798167</v>
      </c>
      <c r="D297" s="233">
        <f>VLOOKUP(B297,Synthèse!B297:F605,5,FALSE)</f>
        <v>358481.97427605093</v>
      </c>
      <c r="E297" s="329">
        <f t="shared" si="12"/>
        <v>17618.58508806926</v>
      </c>
      <c r="F297" s="470">
        <v>-84212.580433073905</v>
      </c>
      <c r="G297" s="233">
        <v>-6252.9596727968019</v>
      </c>
      <c r="H297" s="329">
        <f t="shared" si="13"/>
        <v>77959.620760277103</v>
      </c>
      <c r="I297" s="432">
        <v>21981.550306797708</v>
      </c>
      <c r="J297" s="233">
        <f>VLOOKUP(B297,'M) Police'!B297:O597,14,FALSE)</f>
        <v>21341.405211333589</v>
      </c>
      <c r="K297" s="329">
        <f t="shared" si="14"/>
        <v>-640.14509546411864</v>
      </c>
    </row>
    <row r="298" spans="1:11" x14ac:dyDescent="0.25">
      <c r="A298" s="159">
        <f>+'B) D RI'!A299</f>
        <v>5921</v>
      </c>
      <c r="B298" s="435" t="str">
        <f>+'B) D RI'!B299</f>
        <v>Molondin</v>
      </c>
      <c r="C298" s="432">
        <v>101000.90861773916</v>
      </c>
      <c r="D298" s="233">
        <f>VLOOKUP(B298,Synthèse!B298:F606,5,FALSE)</f>
        <v>92222.77634178687</v>
      </c>
      <c r="E298" s="329">
        <f t="shared" si="12"/>
        <v>-8778.1322759522882</v>
      </c>
      <c r="F298" s="470">
        <v>-97426.245238515156</v>
      </c>
      <c r="G298" s="233">
        <v>-86022.878970874794</v>
      </c>
      <c r="H298" s="329">
        <f t="shared" si="13"/>
        <v>11403.366267640362</v>
      </c>
      <c r="I298" s="432">
        <v>17506.503070307335</v>
      </c>
      <c r="J298" s="233">
        <f>VLOOKUP(B298,'M) Police'!B298:O598,14,FALSE)</f>
        <v>17243.743656863779</v>
      </c>
      <c r="K298" s="329">
        <f t="shared" si="14"/>
        <v>-262.7594134435567</v>
      </c>
    </row>
    <row r="299" spans="1:11" x14ac:dyDescent="0.25">
      <c r="A299" s="159">
        <f>+'B) D RI'!A300</f>
        <v>5922</v>
      </c>
      <c r="B299" s="435" t="str">
        <f>+'B) D RI'!B300</f>
        <v>Montagny-près-Yverdon</v>
      </c>
      <c r="C299" s="432">
        <v>823179.23023371375</v>
      </c>
      <c r="D299" s="233">
        <f>VLOOKUP(B299,Synthèse!B299:F607,5,FALSE)</f>
        <v>817044.77941340464</v>
      </c>
      <c r="E299" s="329">
        <f t="shared" si="12"/>
        <v>-6134.45082030911</v>
      </c>
      <c r="F299" s="470">
        <v>648362.46427608398</v>
      </c>
      <c r="G299" s="233">
        <v>518860.73829853506</v>
      </c>
      <c r="H299" s="329">
        <f t="shared" si="13"/>
        <v>-129501.72597754892</v>
      </c>
      <c r="I299" s="432">
        <v>121250.95014169082</v>
      </c>
      <c r="J299" s="233">
        <f>VLOOKUP(B299,'M) Police'!B299:O599,14,FALSE)</f>
        <v>112127.3161913798</v>
      </c>
      <c r="K299" s="329">
        <f t="shared" si="14"/>
        <v>-9123.6339503110212</v>
      </c>
    </row>
    <row r="300" spans="1:11" x14ac:dyDescent="0.25">
      <c r="A300" s="159">
        <f>+'B) D RI'!A301</f>
        <v>5923</v>
      </c>
      <c r="B300" s="435" t="str">
        <f>+'B) D RI'!B301</f>
        <v>Oppens</v>
      </c>
      <c r="C300" s="432">
        <v>104815.09229088674</v>
      </c>
      <c r="D300" s="233">
        <f>VLOOKUP(B300,Synthèse!B300:F608,5,FALSE)</f>
        <v>92000.45666823865</v>
      </c>
      <c r="E300" s="329">
        <f t="shared" si="12"/>
        <v>-12814.635622648086</v>
      </c>
      <c r="F300" s="470">
        <v>-52280.276914727925</v>
      </c>
      <c r="G300" s="233">
        <v>-57507.209494980991</v>
      </c>
      <c r="H300" s="329">
        <f t="shared" si="13"/>
        <v>-5226.9325802530657</v>
      </c>
      <c r="I300" s="432">
        <v>15556.883905447787</v>
      </c>
      <c r="J300" s="233">
        <f>VLOOKUP(B300,'M) Police'!B300:O600,14,FALSE)</f>
        <v>16101.897142316877</v>
      </c>
      <c r="K300" s="329">
        <f t="shared" si="14"/>
        <v>545.01323686909018</v>
      </c>
    </row>
    <row r="301" spans="1:11" x14ac:dyDescent="0.25">
      <c r="A301" s="159">
        <f>+'B) D RI'!A302</f>
        <v>5924</v>
      </c>
      <c r="B301" s="435" t="str">
        <f>+'B) D RI'!B302</f>
        <v>Orges</v>
      </c>
      <c r="C301" s="432">
        <v>162349.81780969937</v>
      </c>
      <c r="D301" s="233">
        <f>VLOOKUP(B301,Synthèse!B301:F609,5,FALSE)</f>
        <v>176286.03794160351</v>
      </c>
      <c r="E301" s="329">
        <f t="shared" si="12"/>
        <v>13936.220131904149</v>
      </c>
      <c r="F301" s="470">
        <v>67449.461730645839</v>
      </c>
      <c r="G301" s="233">
        <v>71375.136299139092</v>
      </c>
      <c r="H301" s="329">
        <f t="shared" si="13"/>
        <v>3925.6745684932539</v>
      </c>
      <c r="I301" s="432">
        <v>30151.219977506644</v>
      </c>
      <c r="J301" s="233">
        <f>VLOOKUP(B301,'M) Police'!B301:O601,14,FALSE)</f>
        <v>32890.234467271162</v>
      </c>
      <c r="K301" s="329">
        <f t="shared" si="14"/>
        <v>2739.0144897645187</v>
      </c>
    </row>
    <row r="302" spans="1:11" x14ac:dyDescent="0.25">
      <c r="A302" s="159">
        <f>+'B) D RI'!A303</f>
        <v>5925</v>
      </c>
      <c r="B302" s="435" t="str">
        <f>+'B) D RI'!B303</f>
        <v>Orzens</v>
      </c>
      <c r="C302" s="432">
        <v>85772.767927858193</v>
      </c>
      <c r="D302" s="233">
        <f>VLOOKUP(B302,Synthèse!B302:F610,5,FALSE)</f>
        <v>107019.24326966572</v>
      </c>
      <c r="E302" s="329">
        <f t="shared" si="12"/>
        <v>21246.475341807527</v>
      </c>
      <c r="F302" s="470">
        <v>-43951.065173587995</v>
      </c>
      <c r="G302" s="233">
        <v>-8842.4364170484296</v>
      </c>
      <c r="H302" s="329">
        <f t="shared" si="13"/>
        <v>35108.628756539561</v>
      </c>
      <c r="I302" s="432">
        <v>15374.633912495714</v>
      </c>
      <c r="J302" s="233">
        <f>VLOOKUP(B302,'M) Police'!B302:O602,14,FALSE)</f>
        <v>17335.054946270058</v>
      </c>
      <c r="K302" s="329">
        <f t="shared" si="14"/>
        <v>1960.4210337743443</v>
      </c>
    </row>
    <row r="303" spans="1:11" x14ac:dyDescent="0.25">
      <c r="A303" s="159">
        <f>+'B) D RI'!A304</f>
        <v>5926</v>
      </c>
      <c r="B303" s="435" t="str">
        <f>+'B) D RI'!B304</f>
        <v>Pomy</v>
      </c>
      <c r="C303" s="432">
        <v>416128.72376076359</v>
      </c>
      <c r="D303" s="233">
        <f>VLOOKUP(B303,Synthèse!B303:F611,5,FALSE)</f>
        <v>417679.79806213436</v>
      </c>
      <c r="E303" s="329">
        <f t="shared" si="12"/>
        <v>1551.0743013707688</v>
      </c>
      <c r="F303" s="470">
        <v>97805.521900443389</v>
      </c>
      <c r="G303" s="233">
        <v>245025.01832935246</v>
      </c>
      <c r="H303" s="329">
        <f t="shared" si="13"/>
        <v>147219.49642890907</v>
      </c>
      <c r="I303" s="432">
        <v>29650.603959264314</v>
      </c>
      <c r="J303" s="233">
        <f>VLOOKUP(B303,'M) Police'!B303:O603,14,FALSE)</f>
        <v>33090.961901665083</v>
      </c>
      <c r="K303" s="329">
        <f t="shared" si="14"/>
        <v>3440.3579424007694</v>
      </c>
    </row>
    <row r="304" spans="1:11" x14ac:dyDescent="0.25">
      <c r="A304" s="159">
        <f>+'B) D RI'!A305</f>
        <v>5928</v>
      </c>
      <c r="B304" s="435" t="str">
        <f>+'B) D RI'!B305</f>
        <v>Rovray</v>
      </c>
      <c r="C304" s="432">
        <v>76650.183024854909</v>
      </c>
      <c r="D304" s="233">
        <f>VLOOKUP(B304,Synthèse!B304:F612,5,FALSE)</f>
        <v>77650.711022877833</v>
      </c>
      <c r="E304" s="329">
        <f t="shared" si="12"/>
        <v>1000.5279980229243</v>
      </c>
      <c r="F304" s="470">
        <v>-14609.692951251589</v>
      </c>
      <c r="G304" s="233">
        <v>-24682.091812145009</v>
      </c>
      <c r="H304" s="329">
        <f t="shared" si="13"/>
        <v>-10072.39886089342</v>
      </c>
      <c r="I304" s="432">
        <v>14163.471637987021</v>
      </c>
      <c r="J304" s="233">
        <f>VLOOKUP(B304,'M) Police'!B304:O604,14,FALSE)</f>
        <v>13484.177104269937</v>
      </c>
      <c r="K304" s="329">
        <f t="shared" si="14"/>
        <v>-679.29453371708405</v>
      </c>
    </row>
    <row r="305" spans="1:11" x14ac:dyDescent="0.25">
      <c r="A305" s="159">
        <f>+'B) D RI'!A306</f>
        <v>5929</v>
      </c>
      <c r="B305" s="435" t="str">
        <f>+'B) D RI'!B306</f>
        <v>Suchy</v>
      </c>
      <c r="C305" s="432">
        <v>279019.79435501597</v>
      </c>
      <c r="D305" s="233">
        <f>VLOOKUP(B305,Synthèse!B305:F613,5,FALSE)</f>
        <v>299719.43246758013</v>
      </c>
      <c r="E305" s="329">
        <f t="shared" si="12"/>
        <v>20699.638112564164</v>
      </c>
      <c r="F305" s="470">
        <v>24082.130044143523</v>
      </c>
      <c r="G305" s="233">
        <v>58756.408272192915</v>
      </c>
      <c r="H305" s="329">
        <f t="shared" si="13"/>
        <v>34674.278228049392</v>
      </c>
      <c r="I305" s="432">
        <v>21590.854999355575</v>
      </c>
      <c r="J305" s="233">
        <f>VLOOKUP(B305,'M) Police'!B305:O605,14,FALSE)</f>
        <v>21323.827951675888</v>
      </c>
      <c r="K305" s="329">
        <f t="shared" si="14"/>
        <v>-267.0270476796868</v>
      </c>
    </row>
    <row r="306" spans="1:11" x14ac:dyDescent="0.25">
      <c r="A306" s="159">
        <f>+'B) D RI'!A307</f>
        <v>5930</v>
      </c>
      <c r="B306" s="435" t="str">
        <f>+'B) D RI'!B307</f>
        <v>Suscévaz</v>
      </c>
      <c r="C306" s="432">
        <v>86840.796249827254</v>
      </c>
      <c r="D306" s="233">
        <f>VLOOKUP(B306,Synthèse!B306:F614,5,FALSE)</f>
        <v>117078.90689925717</v>
      </c>
      <c r="E306" s="329">
        <f t="shared" si="12"/>
        <v>30238.110649429917</v>
      </c>
      <c r="F306" s="470">
        <v>-2501.7520333694147</v>
      </c>
      <c r="G306" s="233">
        <v>-11146.64230990392</v>
      </c>
      <c r="H306" s="329">
        <f t="shared" si="13"/>
        <v>-8644.8902765345047</v>
      </c>
      <c r="I306" s="432">
        <v>6361.8881404187732</v>
      </c>
      <c r="J306" s="233">
        <f>VLOOKUP(B306,'M) Police'!B306:O606,14,FALSE)</f>
        <v>7345.3343826692962</v>
      </c>
      <c r="K306" s="329">
        <f t="shared" si="14"/>
        <v>983.44624225052303</v>
      </c>
    </row>
    <row r="307" spans="1:11" x14ac:dyDescent="0.25">
      <c r="A307" s="159">
        <f>+'B) D RI'!A308</f>
        <v>5931</v>
      </c>
      <c r="B307" s="435" t="str">
        <f>+'B) D RI'!B308</f>
        <v>Treycovagnes</v>
      </c>
      <c r="C307" s="432">
        <v>261414.57319660633</v>
      </c>
      <c r="D307" s="233">
        <f>VLOOKUP(B307,Synthèse!B307:F615,5,FALSE)</f>
        <v>224331.91510749032</v>
      </c>
      <c r="E307" s="329">
        <f t="shared" si="12"/>
        <v>-37082.658089116012</v>
      </c>
      <c r="F307" s="470">
        <v>173082.9209415628</v>
      </c>
      <c r="G307" s="233">
        <v>-2458.5702826826591</v>
      </c>
      <c r="H307" s="329">
        <f t="shared" si="13"/>
        <v>-175541.49122424546</v>
      </c>
      <c r="I307" s="432">
        <v>21310.922461308452</v>
      </c>
      <c r="J307" s="233">
        <f>VLOOKUP(B307,'M) Police'!B307:O607,14,FALSE)</f>
        <v>16131.474841593565</v>
      </c>
      <c r="K307" s="329">
        <f t="shared" si="14"/>
        <v>-5179.447619714887</v>
      </c>
    </row>
    <row r="308" spans="1:11" x14ac:dyDescent="0.25">
      <c r="A308" s="159">
        <f>+'B) D RI'!A309</f>
        <v>5932</v>
      </c>
      <c r="B308" s="435" t="str">
        <f>+'B) D RI'!B309</f>
        <v>Ursins</v>
      </c>
      <c r="C308" s="432">
        <v>104883.74610716848</v>
      </c>
      <c r="D308" s="233">
        <f>VLOOKUP(B308,Synthèse!B308:F616,5,FALSE)</f>
        <v>121428.22518792943</v>
      </c>
      <c r="E308" s="329">
        <f t="shared" si="12"/>
        <v>16544.479080760953</v>
      </c>
      <c r="F308" s="470">
        <v>-124481.2390584618</v>
      </c>
      <c r="G308" s="233">
        <v>8026.0238584925537</v>
      </c>
      <c r="H308" s="329">
        <f t="shared" si="13"/>
        <v>132507.26291695435</v>
      </c>
      <c r="I308" s="432">
        <v>20247.738091625397</v>
      </c>
      <c r="J308" s="233">
        <f>VLOOKUP(B308,'M) Police'!B308:O608,14,FALSE)</f>
        <v>20859.36793442435</v>
      </c>
      <c r="K308" s="329">
        <f t="shared" si="14"/>
        <v>611.62984279895318</v>
      </c>
    </row>
    <row r="309" spans="1:11" x14ac:dyDescent="0.25">
      <c r="A309" s="159">
        <f>+'B) D RI'!A310</f>
        <v>5933</v>
      </c>
      <c r="B309" s="435" t="str">
        <f>+'B) D RI'!B310</f>
        <v>Valeyres-sous-Montagny</v>
      </c>
      <c r="C309" s="432">
        <v>342956.3548754417</v>
      </c>
      <c r="D309" s="233">
        <f>VLOOKUP(B309,Synthèse!B309:F617,5,FALSE)</f>
        <v>374064.73958899698</v>
      </c>
      <c r="E309" s="329">
        <f t="shared" si="12"/>
        <v>31108.384713555279</v>
      </c>
      <c r="F309" s="470">
        <v>-221488.62909768213</v>
      </c>
      <c r="G309" s="233">
        <v>21554.270277066855</v>
      </c>
      <c r="H309" s="329">
        <f t="shared" si="13"/>
        <v>243042.89937474899</v>
      </c>
      <c r="I309" s="432">
        <v>61816.090682479058</v>
      </c>
      <c r="J309" s="233">
        <f>VLOOKUP(B309,'M) Police'!B309:O609,14,FALSE)</f>
        <v>69261.012868722377</v>
      </c>
      <c r="K309" s="329">
        <f t="shared" si="14"/>
        <v>7444.9221862433187</v>
      </c>
    </row>
    <row r="310" spans="1:11" x14ac:dyDescent="0.25">
      <c r="A310" s="159">
        <f>+'B) D RI'!A311</f>
        <v>5934</v>
      </c>
      <c r="B310" s="435" t="str">
        <f>+'B) D RI'!B311</f>
        <v>Valeyres-sous-Ursins</v>
      </c>
      <c r="C310" s="432">
        <v>121707.95937303529</v>
      </c>
      <c r="D310" s="233">
        <f>VLOOKUP(B310,Synthèse!B310:F618,5,FALSE)</f>
        <v>112967.08762974221</v>
      </c>
      <c r="E310" s="329">
        <f t="shared" si="12"/>
        <v>-8740.8717432930862</v>
      </c>
      <c r="F310" s="470">
        <v>-12867.671677761262</v>
      </c>
      <c r="G310" s="233">
        <v>45238.330825248398</v>
      </c>
      <c r="H310" s="329">
        <f t="shared" si="13"/>
        <v>58106.002503009659</v>
      </c>
      <c r="I310" s="432">
        <v>21970.444105078699</v>
      </c>
      <c r="J310" s="233">
        <f>VLOOKUP(B310,'M) Police'!B310:O610,14,FALSE)</f>
        <v>23995.082522874945</v>
      </c>
      <c r="K310" s="329">
        <f t="shared" si="14"/>
        <v>2024.6384177962464</v>
      </c>
    </row>
    <row r="311" spans="1:11" x14ac:dyDescent="0.25">
      <c r="A311" s="159">
        <f>+'B) D RI'!A312</f>
        <v>5935</v>
      </c>
      <c r="B311" s="435" t="str">
        <f>+'B) D RI'!B312</f>
        <v>Villars-Epeney</v>
      </c>
      <c r="C311" s="432">
        <v>74350.505684752599</v>
      </c>
      <c r="D311" s="233">
        <f>VLOOKUP(B311,Synthèse!B311:F619,5,FALSE)</f>
        <v>89714.411773515996</v>
      </c>
      <c r="E311" s="329">
        <f t="shared" si="12"/>
        <v>15363.906088763397</v>
      </c>
      <c r="F311" s="470">
        <v>49498.095958479142</v>
      </c>
      <c r="G311" s="233">
        <v>89942.34329003442</v>
      </c>
      <c r="H311" s="329">
        <f t="shared" si="13"/>
        <v>40444.247331555278</v>
      </c>
      <c r="I311" s="432">
        <v>13458.25285892666</v>
      </c>
      <c r="J311" s="233">
        <f>VLOOKUP(B311,'M) Police'!B311:O611,14,FALSE)</f>
        <v>15528.342898265326</v>
      </c>
      <c r="K311" s="329">
        <f t="shared" si="14"/>
        <v>2070.0900393386655</v>
      </c>
    </row>
    <row r="312" spans="1:11" x14ac:dyDescent="0.25">
      <c r="A312" s="159">
        <f>+'B) D RI'!A313</f>
        <v>5937</v>
      </c>
      <c r="B312" s="435" t="str">
        <f>+'B) D RI'!B313</f>
        <v>Vugelles-La Mothe</v>
      </c>
      <c r="C312" s="432">
        <v>41689.593333374716</v>
      </c>
      <c r="D312" s="233">
        <f>VLOOKUP(B312,Synthèse!B312:F620,5,FALSE)</f>
        <v>44877.072798046851</v>
      </c>
      <c r="E312" s="329">
        <f t="shared" si="12"/>
        <v>3187.4794646721348</v>
      </c>
      <c r="F312" s="470">
        <v>-74760.766760013794</v>
      </c>
      <c r="G312" s="233">
        <v>-68154.439611119975</v>
      </c>
      <c r="H312" s="329">
        <f t="shared" si="13"/>
        <v>6606.327148893819</v>
      </c>
      <c r="I312" s="432">
        <v>7101.3405414533236</v>
      </c>
      <c r="J312" s="233">
        <f>VLOOKUP(B312,'M) Police'!B312:O612,14,FALSE)</f>
        <v>7454.2167391154635</v>
      </c>
      <c r="K312" s="329">
        <f t="shared" si="14"/>
        <v>352.87619766213993</v>
      </c>
    </row>
    <row r="313" spans="1:11" x14ac:dyDescent="0.25">
      <c r="A313" s="159">
        <f>+'B) D RI'!A314</f>
        <v>5938</v>
      </c>
      <c r="B313" s="435" t="str">
        <f>+'B) D RI'!B314</f>
        <v>Yverdon-les-Bains</v>
      </c>
      <c r="C313" s="432">
        <v>15267584.204072582</v>
      </c>
      <c r="D313" s="233">
        <f>VLOOKUP(B313,Synthèse!B313:F621,5,FALSE)</f>
        <v>14921465.803547526</v>
      </c>
      <c r="E313" s="329">
        <f t="shared" si="12"/>
        <v>-346118.40052505583</v>
      </c>
      <c r="F313" s="470">
        <v>-28215364.538787838</v>
      </c>
      <c r="G313" s="233">
        <v>-27656938.718682256</v>
      </c>
      <c r="H313" s="329">
        <f t="shared" si="13"/>
        <v>558425.82010558248</v>
      </c>
      <c r="I313" s="432">
        <v>1053576.6226865703</v>
      </c>
      <c r="J313" s="233">
        <f>VLOOKUP(B313,'M) Police'!B313:O613,14,FALSE)</f>
        <v>963256.91517956147</v>
      </c>
      <c r="K313" s="329">
        <f t="shared" si="14"/>
        <v>-90319.707507008803</v>
      </c>
    </row>
    <row r="314" spans="1:11" x14ac:dyDescent="0.25">
      <c r="A314" s="159">
        <f>+'B) D RI'!A315</f>
        <v>5939</v>
      </c>
      <c r="B314" s="435" t="str">
        <f>+'B) D RI'!B315</f>
        <v>Yvonand</v>
      </c>
      <c r="C314" s="432">
        <v>1781183.1945179659</v>
      </c>
      <c r="D314" s="233">
        <f>VLOOKUP(B314,Synthèse!B314:F622,5,FALSE)</f>
        <v>1723070.6233460363</v>
      </c>
      <c r="E314" s="329">
        <f t="shared" si="12"/>
        <v>-58112.571171929594</v>
      </c>
      <c r="F314" s="470">
        <v>-759148.50582555623</v>
      </c>
      <c r="G314" s="233">
        <v>-730345.94332168519</v>
      </c>
      <c r="H314" s="329">
        <f t="shared" si="13"/>
        <v>28802.562503871042</v>
      </c>
      <c r="I314" s="432">
        <v>278031.32396679802</v>
      </c>
      <c r="J314" s="233">
        <f>VLOOKUP(B314,'M) Police'!B314:O614,14,FALSE)</f>
        <v>288999.5491622237</v>
      </c>
      <c r="K314" s="329">
        <f t="shared" si="14"/>
        <v>10968.225195425679</v>
      </c>
    </row>
    <row r="315" spans="1:11" x14ac:dyDescent="0.25">
      <c r="A315" s="31"/>
      <c r="B315" s="25">
        <f>COUNTA(B6:B314)</f>
        <v>309</v>
      </c>
      <c r="C315" s="433">
        <f t="shared" ref="C315:H315" si="15">SUM(C6:C314)</f>
        <v>770525999.99999952</v>
      </c>
      <c r="D315" s="434">
        <f t="shared" si="15"/>
        <v>790010913.99999928</v>
      </c>
      <c r="E315" s="153">
        <f t="shared" si="15"/>
        <v>19484914.000000417</v>
      </c>
      <c r="F315" s="433">
        <f t="shared" si="15"/>
        <v>449999.97490438505</v>
      </c>
      <c r="G315" s="434">
        <v>450000.00000026927</v>
      </c>
      <c r="H315" s="153">
        <f t="shared" si="15"/>
        <v>2.5095867575146258E-2</v>
      </c>
      <c r="I315" s="467">
        <f t="shared" ref="I315:K315" si="16">SUM(I6:I314)</f>
        <v>66919050.99999997</v>
      </c>
      <c r="J315" s="452">
        <f t="shared" si="16"/>
        <v>66919050.938490741</v>
      </c>
      <c r="K315" s="153">
        <f t="shared" si="16"/>
        <v>-6.1509232051321305E-2</v>
      </c>
    </row>
    <row r="316" spans="1:11" x14ac:dyDescent="0.25">
      <c r="D316" s="465"/>
      <c r="I316" s="461"/>
      <c r="J316" s="6"/>
    </row>
    <row r="317" spans="1:11" x14ac:dyDescent="0.25">
      <c r="I317" s="461"/>
      <c r="J317" s="6"/>
    </row>
    <row r="318" spans="1:11" x14ac:dyDescent="0.25">
      <c r="I318" s="461"/>
    </row>
    <row r="319" spans="1:11" x14ac:dyDescent="0.25">
      <c r="I319" s="472"/>
    </row>
  </sheetData>
  <mergeCells count="6">
    <mergeCell ref="I4:K4"/>
    <mergeCell ref="A1:E1"/>
    <mergeCell ref="A4:A5"/>
    <mergeCell ref="B4:B5"/>
    <mergeCell ref="C4:E4"/>
    <mergeCell ref="F4:H4"/>
  </mergeCells>
  <pageMargins left="0.70866141732283472" right="0.70866141732283472" top="0.74803149606299213" bottom="0.74803149606299213" header="0.31496062992125984" footer="0.31496062992125984"/>
  <pageSetup paperSize="9" scale="99" fitToHeight="11" orientation="landscape" r:id="rId1"/>
  <headerFooter>
    <oddFooter>&amp;LSCL - division finances communales&amp;R&amp;P/&amp;N</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2.75" x14ac:dyDescent="0.2"/>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
    <tabColor theme="3" tint="0.39997558519241921"/>
    <pageSetUpPr fitToPage="1"/>
  </sheetPr>
  <dimension ref="B1:J68"/>
  <sheetViews>
    <sheetView tabSelected="1" workbookViewId="0">
      <selection activeCell="M10" sqref="M10"/>
    </sheetView>
  </sheetViews>
  <sheetFormatPr baseColWidth="10" defaultColWidth="10.875" defaultRowHeight="15" x14ac:dyDescent="0.25"/>
  <cols>
    <col min="1" max="1" width="3.375" style="166" customWidth="1"/>
    <col min="2" max="2" width="17.125" style="166" customWidth="1"/>
    <col min="3" max="4" width="12.75" style="166" customWidth="1"/>
    <col min="5" max="6" width="12.75" style="212" customWidth="1"/>
    <col min="7" max="16384" width="10.875" style="166"/>
  </cols>
  <sheetData>
    <row r="1" spans="2:6" ht="31.5" x14ac:dyDescent="0.5">
      <c r="B1" s="206" t="s">
        <v>499</v>
      </c>
    </row>
    <row r="3" spans="2:6" s="213" customFormat="1" ht="26.25" x14ac:dyDescent="0.4">
      <c r="B3" s="216"/>
      <c r="C3" s="501"/>
      <c r="D3" s="501"/>
      <c r="E3" s="501"/>
      <c r="F3" s="214"/>
    </row>
    <row r="6" spans="2:6" ht="18.75" x14ac:dyDescent="0.3">
      <c r="B6" s="500" t="str">
        <f>CONCATENATE("Péréquation, ",Paramètres!B5)</f>
        <v>Péréquation, 2018</v>
      </c>
      <c r="C6" s="500"/>
      <c r="D6" s="500"/>
      <c r="E6" s="500"/>
      <c r="F6" s="500"/>
    </row>
    <row r="7" spans="2:6" s="250" customFormat="1" ht="18.75" x14ac:dyDescent="0.3">
      <c r="B7" s="500">
        <f>C3</f>
        <v>0</v>
      </c>
      <c r="C7" s="500"/>
      <c r="D7" s="500"/>
      <c r="E7" s="500"/>
      <c r="F7" s="500"/>
    </row>
    <row r="8" spans="2:6" s="250" customFormat="1" ht="12.75" x14ac:dyDescent="0.2">
      <c r="B8" s="257" t="e">
        <f>CONCATENATE("Population : ",VLOOKUP($B$7,'A) Base RI'!$B$7:$AN$315,39,FALSE))</f>
        <v>#N/A</v>
      </c>
      <c r="C8" s="248"/>
      <c r="D8" s="248"/>
      <c r="E8" s="249"/>
      <c r="F8" s="256" t="e">
        <f>CONCATENATE("N° OFS : ",VLOOKUP($B$7,Paramètres!$A$70:$B$378,2,FALSE))</f>
        <v>#N/A</v>
      </c>
    </row>
    <row r="9" spans="2:6" s="250" customFormat="1" ht="12.75" x14ac:dyDescent="0.2">
      <c r="B9" s="257" t="e">
        <f>CONCATENATE("Taux : ",VLOOKUP($B$7,'A) Base RI'!$B$7:$AN$315,38,FALSE))</f>
        <v>#N/A</v>
      </c>
      <c r="C9" s="248"/>
      <c r="D9" s="248"/>
      <c r="E9" s="249"/>
      <c r="F9" s="337" t="e">
        <f>CONCATENATE("Point impôt communal : ",ROUND(VLOOKUP(B7,'D) Ecrêtage'!B5:M322,2,FALSE),0))</f>
        <v>#N/A</v>
      </c>
    </row>
    <row r="10" spans="2:6" s="250" customFormat="1" ht="12.75" x14ac:dyDescent="0.2">
      <c r="B10" s="248"/>
      <c r="C10" s="248"/>
      <c r="D10" s="248"/>
      <c r="E10" s="249"/>
      <c r="F10" s="337" t="e">
        <f>CONCATENATE("Point impôt écrêté : ",ROUND(VLOOKUP(B7,'H) Péréquation directe'!B16:C333,2,FALSE),0))</f>
        <v>#N/A</v>
      </c>
    </row>
    <row r="11" spans="2:6" ht="18" x14ac:dyDescent="0.35">
      <c r="B11" s="240" t="s">
        <v>526</v>
      </c>
      <c r="C11" s="108"/>
      <c r="D11" s="108"/>
      <c r="E11" s="215"/>
      <c r="F11" s="215"/>
    </row>
    <row r="12" spans="2:6" s="250" customFormat="1" ht="6" customHeight="1" x14ac:dyDescent="0.2">
      <c r="B12" s="248"/>
      <c r="C12" s="248"/>
      <c r="D12" s="248"/>
      <c r="E12" s="249"/>
      <c r="F12" s="249"/>
    </row>
    <row r="13" spans="2:6" s="250" customFormat="1" ht="12.75" x14ac:dyDescent="0.2">
      <c r="B13" s="255" t="s">
        <v>445</v>
      </c>
      <c r="C13" s="248"/>
      <c r="D13" s="248"/>
      <c r="E13" s="249"/>
      <c r="F13" s="249"/>
    </row>
    <row r="14" spans="2:6" s="250" customFormat="1" ht="12.75" x14ac:dyDescent="0.2">
      <c r="B14" s="248" t="s">
        <v>488</v>
      </c>
      <c r="C14" s="248"/>
      <c r="D14" s="248"/>
      <c r="E14" s="251" t="e">
        <f>VLOOKUP($C$3,'C) Prél. conj.'!$B$3:$E$391,2,FALSE)*0.5</f>
        <v>#N/A</v>
      </c>
      <c r="F14" s="249"/>
    </row>
    <row r="15" spans="2:6" s="250" customFormat="1" ht="12.75" x14ac:dyDescent="0.2">
      <c r="B15" s="248" t="s">
        <v>199</v>
      </c>
      <c r="C15" s="248"/>
      <c r="D15" s="248"/>
      <c r="E15" s="251" t="e">
        <f>VLOOKUP($C$3,'C) Prél. conj.'!$B$3:$E$391,3,FALSE)*0.3</f>
        <v>#N/A</v>
      </c>
      <c r="F15" s="249" t="e">
        <f>E14+E15</f>
        <v>#N/A</v>
      </c>
    </row>
    <row r="16" spans="2:6" s="250" customFormat="1" ht="6" customHeight="1" x14ac:dyDescent="0.2">
      <c r="B16" s="248"/>
      <c r="C16" s="248"/>
      <c r="D16" s="248"/>
      <c r="E16" s="249"/>
      <c r="F16" s="249"/>
    </row>
    <row r="17" spans="2:10" s="250" customFormat="1" ht="12.75" x14ac:dyDescent="0.2">
      <c r="B17" s="255" t="s">
        <v>486</v>
      </c>
      <c r="C17" s="248"/>
      <c r="D17" s="248"/>
      <c r="E17" s="249"/>
      <c r="F17" s="249"/>
    </row>
    <row r="18" spans="2:10" s="250" customFormat="1" ht="12.75" x14ac:dyDescent="0.2">
      <c r="B18" s="248" t="s">
        <v>490</v>
      </c>
      <c r="C18" s="248"/>
      <c r="D18" s="252" t="e">
        <f>VLOOKUP($C$3,'D) Ecrêtage'!$B$3:$L$391,10,FALSE)</f>
        <v>#N/A</v>
      </c>
      <c r="E18" s="249"/>
      <c r="F18" s="249" t="e">
        <f>VLOOKUP($C$3,'D) Ecrêtage'!$B$3:$L$391,11,FALSE)</f>
        <v>#N/A</v>
      </c>
    </row>
    <row r="19" spans="2:10" s="250" customFormat="1" ht="6" customHeight="1" x14ac:dyDescent="0.2">
      <c r="B19" s="248"/>
      <c r="C19" s="248"/>
      <c r="D19" s="248"/>
      <c r="E19" s="249"/>
      <c r="F19" s="249"/>
    </row>
    <row r="20" spans="2:10" s="250" customFormat="1" ht="12.75" x14ac:dyDescent="0.2">
      <c r="B20" s="255" t="s">
        <v>489</v>
      </c>
      <c r="C20" s="248"/>
      <c r="D20" s="248"/>
      <c r="E20" s="249"/>
      <c r="F20" s="249"/>
    </row>
    <row r="21" spans="2:10" s="250" customFormat="1" ht="12.75" x14ac:dyDescent="0.2">
      <c r="B21" s="248" t="str">
        <f>CONCATENATE("Nombre de points écrêtés à répartir ",ROUND('E) Fact soc'!D7,2))</f>
        <v>Nombre de points écrêtés à répartir 14.63</v>
      </c>
      <c r="C21" s="248"/>
      <c r="D21" s="248"/>
      <c r="E21" s="249"/>
      <c r="F21" s="249"/>
    </row>
    <row r="22" spans="2:10" s="250" customFormat="1" ht="12.75" x14ac:dyDescent="0.2">
      <c r="B22" s="248" t="s">
        <v>498</v>
      </c>
      <c r="C22" s="248"/>
      <c r="D22" s="248"/>
      <c r="E22" s="249"/>
      <c r="F22" s="249" t="e">
        <f>VLOOKUP($C$3,'E) Fact soc'!$B$9:$G$391,5,FALSE)</f>
        <v>#N/A</v>
      </c>
    </row>
    <row r="23" spans="2:10" s="250" customFormat="1" ht="6" customHeight="1" x14ac:dyDescent="0.2">
      <c r="B23" s="248"/>
      <c r="C23" s="248"/>
      <c r="D23" s="248"/>
      <c r="E23" s="249"/>
      <c r="F23" s="249"/>
    </row>
    <row r="24" spans="2:10" s="250" customFormat="1" ht="12.75" x14ac:dyDescent="0.2">
      <c r="B24" s="255" t="s">
        <v>491</v>
      </c>
      <c r="C24" s="248"/>
      <c r="D24" s="248"/>
      <c r="E24" s="249"/>
      <c r="F24" s="254" t="e">
        <f>F15+F18+F22</f>
        <v>#N/A</v>
      </c>
    </row>
    <row r="25" spans="2:10" s="250" customFormat="1" ht="6" customHeight="1" x14ac:dyDescent="0.2">
      <c r="B25" s="248"/>
      <c r="C25" s="248"/>
      <c r="D25" s="248"/>
      <c r="E25" s="249"/>
      <c r="F25" s="249"/>
    </row>
    <row r="26" spans="2:10" ht="18" x14ac:dyDescent="0.35">
      <c r="B26" s="240" t="s">
        <v>527</v>
      </c>
      <c r="C26" s="108"/>
      <c r="D26" s="108"/>
      <c r="E26" s="215"/>
      <c r="F26" s="215"/>
      <c r="J26" s="460"/>
    </row>
    <row r="27" spans="2:10" s="250" customFormat="1" ht="6" customHeight="1" x14ac:dyDescent="0.2">
      <c r="B27" s="248"/>
      <c r="C27" s="248"/>
      <c r="D27" s="248"/>
      <c r="E27" s="249"/>
      <c r="F27" s="249"/>
    </row>
    <row r="28" spans="2:10" s="250" customFormat="1" ht="12.75" x14ac:dyDescent="0.2">
      <c r="B28" s="255" t="s">
        <v>310</v>
      </c>
      <c r="C28" s="248"/>
      <c r="D28" s="248"/>
      <c r="E28" s="249"/>
      <c r="F28" s="249" t="e">
        <f>-VLOOKUP($C$3,'F) Population'!$B$8:$K$391,10,FALSE)</f>
        <v>#N/A</v>
      </c>
    </row>
    <row r="29" spans="2:10" s="250" customFormat="1" ht="6" customHeight="1" x14ac:dyDescent="0.2">
      <c r="B29" s="248"/>
      <c r="C29" s="248"/>
      <c r="D29" s="248"/>
      <c r="E29" s="249"/>
      <c r="F29" s="249"/>
    </row>
    <row r="30" spans="2:10" s="250" customFormat="1" ht="12.75" x14ac:dyDescent="0.2">
      <c r="B30" s="255" t="s">
        <v>492</v>
      </c>
      <c r="C30" s="248"/>
      <c r="D30" s="248"/>
      <c r="E30" s="249"/>
      <c r="F30" s="249" t="e">
        <f>-VLOOKUP($C$3,'G) Solidarité'!$B$5:$I$391,8,FALSE)</f>
        <v>#N/A</v>
      </c>
    </row>
    <row r="31" spans="2:10" s="250" customFormat="1" ht="6" customHeight="1" x14ac:dyDescent="0.2">
      <c r="B31" s="248"/>
      <c r="C31" s="248"/>
      <c r="D31" s="248"/>
      <c r="E31" s="249"/>
      <c r="F31" s="249"/>
    </row>
    <row r="32" spans="2:10" s="250" customFormat="1" ht="12.75" x14ac:dyDescent="0.2">
      <c r="B32" s="255" t="s">
        <v>144</v>
      </c>
      <c r="C32" s="248"/>
      <c r="D32" s="248"/>
      <c r="E32" s="249"/>
      <c r="F32" s="249"/>
    </row>
    <row r="33" spans="2:8" s="250" customFormat="1" ht="12.75" x14ac:dyDescent="0.2">
      <c r="B33" s="248" t="s">
        <v>493</v>
      </c>
      <c r="C33" s="248"/>
      <c r="D33" s="248"/>
      <c r="E33" s="251" t="e">
        <f>VLOOKUP(B7,'I) Dépenses thématiques'!B5:O313,9,FALSE)</f>
        <v>#N/A</v>
      </c>
      <c r="F33" s="249"/>
    </row>
    <row r="34" spans="2:8" s="250" customFormat="1" ht="12.75" x14ac:dyDescent="0.2">
      <c r="B34" s="248" t="s">
        <v>219</v>
      </c>
      <c r="C34" s="248"/>
      <c r="D34" s="248"/>
      <c r="E34" s="251" t="e">
        <f>VLOOKUP(B7,'I) Dépenses thématiques'!B5:O313,13,FALSE)</f>
        <v>#N/A</v>
      </c>
      <c r="F34" s="249" t="e">
        <f>SUM(E33:E34)</f>
        <v>#N/A</v>
      </c>
    </row>
    <row r="35" spans="2:8" s="250" customFormat="1" ht="6" customHeight="1" x14ac:dyDescent="0.2">
      <c r="B35" s="248"/>
      <c r="C35" s="248"/>
      <c r="D35" s="248"/>
      <c r="E35" s="249"/>
      <c r="F35" s="249"/>
    </row>
    <row r="36" spans="2:8" s="250" customFormat="1" ht="12.75" x14ac:dyDescent="0.2">
      <c r="B36" s="255" t="s">
        <v>494</v>
      </c>
      <c r="C36" s="248"/>
      <c r="D36" s="248"/>
      <c r="E36" s="249"/>
      <c r="F36" s="249"/>
    </row>
    <row r="37" spans="2:8" s="250" customFormat="1" ht="12.75" x14ac:dyDescent="0.2">
      <c r="B37" s="248" t="s">
        <v>642</v>
      </c>
      <c r="C37" s="248"/>
      <c r="D37" s="248"/>
      <c r="E37" s="251" t="e">
        <f>VLOOKUP($C$3,'J) Plafonnement effort'!$B$5:$I$391,8,FALSE)</f>
        <v>#N/A</v>
      </c>
      <c r="F37" s="249"/>
    </row>
    <row r="38" spans="2:8" s="250" customFormat="1" ht="12.75" x14ac:dyDescent="0.2">
      <c r="B38" s="248" t="s">
        <v>495</v>
      </c>
      <c r="C38" s="248"/>
      <c r="D38" s="248"/>
      <c r="E38" s="251" t="e">
        <f>VLOOKUP($C$3,'K) Plafonnement aide'!$B$5:$J$391,9,FALSE)</f>
        <v>#N/A</v>
      </c>
      <c r="F38" s="249"/>
    </row>
    <row r="39" spans="2:8" s="250" customFormat="1" ht="12.75" x14ac:dyDescent="0.2">
      <c r="B39" s="248" t="s">
        <v>496</v>
      </c>
      <c r="C39" s="248"/>
      <c r="D39" s="248"/>
      <c r="E39" s="251" t="e">
        <f>VLOOKUP($C$3,'L) Plafonnement taux'!B6:Q314,16,FALSE)</f>
        <v>#N/A</v>
      </c>
      <c r="F39" s="249" t="e">
        <f>SUM(E37:E39)</f>
        <v>#N/A</v>
      </c>
    </row>
    <row r="40" spans="2:8" s="250" customFormat="1" ht="6" customHeight="1" x14ac:dyDescent="0.2">
      <c r="B40" s="248"/>
      <c r="C40" s="248"/>
      <c r="D40" s="248"/>
      <c r="E40" s="249"/>
      <c r="F40" s="249"/>
    </row>
    <row r="41" spans="2:8" s="250" customFormat="1" ht="12.75" x14ac:dyDescent="0.2">
      <c r="B41" s="255" t="s">
        <v>99</v>
      </c>
      <c r="C41" s="248"/>
      <c r="D41" s="248"/>
      <c r="E41" s="249"/>
      <c r="F41" s="249" t="e">
        <f>VLOOKUP($C$3,'H) Péréquation directe'!$B$16:$I$391,4,FALSE)</f>
        <v>#N/A</v>
      </c>
    </row>
    <row r="42" spans="2:8" s="250" customFormat="1" ht="6" customHeight="1" x14ac:dyDescent="0.2">
      <c r="B42" s="248"/>
      <c r="C42" s="248"/>
      <c r="D42" s="248"/>
      <c r="E42" s="249"/>
      <c r="F42" s="249"/>
    </row>
    <row r="43" spans="2:8" s="250" customFormat="1" ht="12.75" x14ac:dyDescent="0.2">
      <c r="B43" s="255" t="s">
        <v>497</v>
      </c>
      <c r="C43" s="248"/>
      <c r="D43" s="248"/>
      <c r="E43" s="249"/>
      <c r="F43" s="416" t="e">
        <f>SUM(F27:F42)</f>
        <v>#N/A</v>
      </c>
      <c r="G43" s="466"/>
      <c r="H43" s="474"/>
    </row>
    <row r="44" spans="2:8" s="250" customFormat="1" ht="6" customHeight="1" x14ac:dyDescent="0.2">
      <c r="B44" s="248"/>
      <c r="C44" s="248"/>
      <c r="D44" s="248"/>
      <c r="E44" s="249"/>
      <c r="F44" s="249"/>
    </row>
    <row r="45" spans="2:8" ht="18" x14ac:dyDescent="0.35">
      <c r="B45" s="240" t="s">
        <v>528</v>
      </c>
      <c r="C45" s="108"/>
      <c r="D45" s="108"/>
      <c r="E45" s="215"/>
      <c r="F45" s="215"/>
    </row>
    <row r="46" spans="2:8" s="250" customFormat="1" ht="6" customHeight="1" x14ac:dyDescent="0.2">
      <c r="B46" s="248"/>
      <c r="C46" s="248"/>
      <c r="D46" s="248"/>
      <c r="E46" s="249"/>
      <c r="F46" s="249"/>
    </row>
    <row r="47" spans="2:8" s="250" customFormat="1" ht="12.75" x14ac:dyDescent="0.2">
      <c r="B47" s="248" t="s">
        <v>511</v>
      </c>
      <c r="C47" s="248"/>
      <c r="D47" s="248"/>
      <c r="E47" s="251" t="e">
        <f>VLOOKUP($C$3,'M) Police'!$B$6:$N$388,10,FALSE)</f>
        <v>#N/A</v>
      </c>
      <c r="F47" s="249"/>
    </row>
    <row r="48" spans="2:8" s="250" customFormat="1" ht="12.75" x14ac:dyDescent="0.2">
      <c r="B48" s="248" t="s">
        <v>512</v>
      </c>
      <c r="C48" s="248"/>
      <c r="D48" s="248"/>
      <c r="E48" s="251" t="e">
        <f>VLOOKUP($C$3,'M) Police'!$B$6:$N$388,13,FALSE)</f>
        <v>#N/A</v>
      </c>
      <c r="F48" s="249" t="e">
        <f>E47+E48</f>
        <v>#N/A</v>
      </c>
    </row>
    <row r="49" spans="2:8" s="250" customFormat="1" ht="12.75" x14ac:dyDescent="0.2">
      <c r="B49" s="248"/>
      <c r="C49" s="248"/>
      <c r="D49" s="248"/>
      <c r="E49" s="249"/>
      <c r="F49" s="253"/>
    </row>
    <row r="50" spans="2:8" s="250" customFormat="1" ht="12.75" x14ac:dyDescent="0.2">
      <c r="B50" s="255" t="s">
        <v>517</v>
      </c>
      <c r="C50" s="248"/>
      <c r="D50" s="248"/>
      <c r="E50" s="249"/>
      <c r="F50" s="254" t="e">
        <f>F48</f>
        <v>#N/A</v>
      </c>
    </row>
    <row r="51" spans="2:8" s="250" customFormat="1" ht="6" customHeight="1" x14ac:dyDescent="0.2">
      <c r="B51" s="248"/>
      <c r="C51" s="248"/>
      <c r="D51" s="248"/>
      <c r="E51" s="249"/>
      <c r="F51" s="249"/>
    </row>
    <row r="52" spans="2:8" ht="18" x14ac:dyDescent="0.35">
      <c r="B52" s="240" t="s">
        <v>529</v>
      </c>
      <c r="C52" s="108"/>
      <c r="D52" s="108"/>
      <c r="E52" s="215"/>
      <c r="F52" s="215"/>
    </row>
    <row r="53" spans="2:8" s="250" customFormat="1" ht="6" customHeight="1" x14ac:dyDescent="0.2">
      <c r="B53" s="248"/>
      <c r="C53" s="248"/>
      <c r="D53" s="248"/>
      <c r="E53" s="249"/>
      <c r="F53" s="249"/>
    </row>
    <row r="54" spans="2:8" x14ac:dyDescent="0.25">
      <c r="B54" s="255" t="s">
        <v>643</v>
      </c>
      <c r="C54" s="248"/>
      <c r="D54" s="248"/>
      <c r="E54" s="248"/>
      <c r="F54" s="254" t="e">
        <f>+F24+F43+F50</f>
        <v>#N/A</v>
      </c>
      <c r="H54" s="460"/>
    </row>
    <row r="55" spans="2:8" s="250" customFormat="1" ht="6" customHeight="1" x14ac:dyDescent="0.2">
      <c r="B55" s="248"/>
      <c r="C55" s="248"/>
      <c r="D55" s="248"/>
      <c r="E55" s="249"/>
      <c r="F55" s="249"/>
    </row>
    <row r="56" spans="2:8" ht="18" x14ac:dyDescent="0.35">
      <c r="B56" s="240" t="s">
        <v>644</v>
      </c>
      <c r="C56" s="108"/>
      <c r="D56" s="108"/>
      <c r="E56" s="215"/>
      <c r="F56" s="215"/>
    </row>
    <row r="57" spans="2:8" s="250" customFormat="1" ht="6" customHeight="1" x14ac:dyDescent="0.2">
      <c r="B57" s="248"/>
      <c r="C57" s="248"/>
      <c r="D57" s="248"/>
      <c r="E57" s="249"/>
      <c r="F57" s="249"/>
    </row>
    <row r="58" spans="2:8" s="250" customFormat="1" ht="25.5" x14ac:dyDescent="0.2">
      <c r="B58" s="248"/>
      <c r="C58" s="419" t="s">
        <v>630</v>
      </c>
      <c r="D58" s="420" t="s">
        <v>98</v>
      </c>
      <c r="E58" s="420" t="s">
        <v>334</v>
      </c>
      <c r="F58" s="421" t="s">
        <v>506</v>
      </c>
    </row>
    <row r="59" spans="2:8" s="250" customFormat="1" ht="12.75" x14ac:dyDescent="0.2">
      <c r="B59" s="422" t="s">
        <v>631</v>
      </c>
      <c r="C59" s="423" t="e">
        <f>SUM(D59:F59)</f>
        <v>#N/A</v>
      </c>
      <c r="D59" s="424" t="e">
        <f>VLOOKUP(B7,'Acomptes vs Décompte'!B6:K314,2,FALSE)</f>
        <v>#N/A</v>
      </c>
      <c r="E59" s="424" t="e">
        <f>VLOOKUP(B7,'Acomptes vs Décompte'!B6:K314,5,FALSE)</f>
        <v>#N/A</v>
      </c>
      <c r="F59" s="425" t="e">
        <f>VLOOKUP(B7,'Acomptes vs Décompte'!B6:K314,8,FALSE)</f>
        <v>#N/A</v>
      </c>
    </row>
    <row r="60" spans="2:8" s="250" customFormat="1" ht="12.75" x14ac:dyDescent="0.2">
      <c r="B60" s="422" t="s">
        <v>632</v>
      </c>
      <c r="C60" s="436" t="e">
        <f>SUM(D60:F60)</f>
        <v>#N/A</v>
      </c>
      <c r="D60" s="426" t="e">
        <f>VLOOKUP(B7,'Acomptes vs Décompte'!B6:K314,3,FALSE)</f>
        <v>#N/A</v>
      </c>
      <c r="E60" s="426" t="e">
        <f>VLOOKUP(B7,'Acomptes vs Décompte'!B6:K314,6,FALSE)</f>
        <v>#N/A</v>
      </c>
      <c r="F60" s="427" t="e">
        <f>VLOOKUP(B7,'Acomptes vs Décompte'!B6:K314,9,FALSE)</f>
        <v>#N/A</v>
      </c>
    </row>
    <row r="61" spans="2:8" x14ac:dyDescent="0.25">
      <c r="B61" s="422" t="s">
        <v>633</v>
      </c>
      <c r="C61" s="423" t="e">
        <f>SUM(D61:F61)</f>
        <v>#N/A</v>
      </c>
      <c r="D61" s="423" t="e">
        <f>D60-D59</f>
        <v>#N/A</v>
      </c>
      <c r="E61" s="424" t="e">
        <f>E60-E59</f>
        <v>#N/A</v>
      </c>
      <c r="F61" s="425" t="e">
        <f>F60-F59</f>
        <v>#N/A</v>
      </c>
    </row>
    <row r="62" spans="2:8" x14ac:dyDescent="0.25">
      <c r="B62" s="13"/>
      <c r="C62" s="428" t="s">
        <v>634</v>
      </c>
      <c r="D62" s="13"/>
      <c r="E62" s="6"/>
      <c r="F62" s="6"/>
    </row>
    <row r="63" spans="2:8" x14ac:dyDescent="0.25">
      <c r="B63" s="502" t="s">
        <v>635</v>
      </c>
      <c r="C63" s="502"/>
      <c r="D63" s="502"/>
      <c r="E63" s="502"/>
      <c r="F63" s="502"/>
    </row>
    <row r="64" spans="2:8" x14ac:dyDescent="0.25">
      <c r="B64" s="502"/>
      <c r="C64" s="502"/>
      <c r="D64" s="502"/>
      <c r="E64" s="502"/>
      <c r="F64" s="502"/>
    </row>
    <row r="65" spans="2:6" x14ac:dyDescent="0.25">
      <c r="B65" s="502"/>
      <c r="C65" s="502"/>
      <c r="D65" s="502"/>
      <c r="E65" s="502"/>
      <c r="F65" s="502"/>
    </row>
    <row r="66" spans="2:6" x14ac:dyDescent="0.25">
      <c r="B66" s="502"/>
      <c r="C66" s="502"/>
      <c r="D66" s="502"/>
      <c r="E66" s="502"/>
      <c r="F66" s="502"/>
    </row>
    <row r="67" spans="2:6" x14ac:dyDescent="0.25">
      <c r="B67" s="502"/>
      <c r="C67" s="502"/>
      <c r="D67" s="502"/>
      <c r="E67" s="502"/>
      <c r="F67" s="502"/>
    </row>
    <row r="68" spans="2:6" x14ac:dyDescent="0.25">
      <c r="B68" s="502"/>
      <c r="C68" s="502"/>
      <c r="D68" s="502"/>
      <c r="E68" s="502"/>
      <c r="F68" s="502"/>
    </row>
  </sheetData>
  <protectedRanges>
    <protectedRange sqref="C3:E3" name="Plage1"/>
  </protectedRanges>
  <mergeCells count="4">
    <mergeCell ref="B6:F6"/>
    <mergeCell ref="B7:F7"/>
    <mergeCell ref="C3:E3"/>
    <mergeCell ref="B63:F68"/>
  </mergeCells>
  <printOptions horizontalCentered="1" verticalCentered="1"/>
  <pageMargins left="0.70866141732283472" right="0.70866141732283472" top="0.35433070866141736" bottom="0.35433070866141736" header="0.31496062992125984" footer="0.31496062992125984"/>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Paramètres!$A$70:$A$378</xm:f>
          </x14:formula1>
          <xm:sqref>C3</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2.75" x14ac:dyDescent="0.2"/>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pageSetUpPr fitToPage="1"/>
  </sheetPr>
  <dimension ref="B1:G74"/>
  <sheetViews>
    <sheetView workbookViewId="0">
      <selection activeCell="C3" sqref="C3:D3"/>
    </sheetView>
  </sheetViews>
  <sheetFormatPr baseColWidth="10" defaultColWidth="10.875" defaultRowHeight="15" x14ac:dyDescent="0.25"/>
  <cols>
    <col min="1" max="1" width="3.375" style="371" customWidth="1"/>
    <col min="2" max="2" width="7.75" style="371" customWidth="1"/>
    <col min="3" max="3" width="40.75" style="371" bestFit="1" customWidth="1"/>
    <col min="4" max="4" width="12.5" style="371" customWidth="1"/>
    <col min="5" max="5" width="27.125" style="371" customWidth="1"/>
    <col min="6" max="6" width="10.875" style="371"/>
    <col min="7" max="7" width="11.75" style="371" bestFit="1" customWidth="1"/>
    <col min="8" max="16384" width="10.875" style="371"/>
  </cols>
  <sheetData>
    <row r="1" spans="2:5" ht="31.5" x14ac:dyDescent="0.5">
      <c r="B1" s="370" t="s">
        <v>499</v>
      </c>
      <c r="E1" s="372"/>
    </row>
    <row r="3" spans="2:5" s="374" customFormat="1" ht="26.25" x14ac:dyDescent="0.4">
      <c r="B3" s="373"/>
      <c r="C3" s="503"/>
      <c r="D3" s="503"/>
      <c r="E3" s="371"/>
    </row>
    <row r="6" spans="2:5" ht="23.25" x14ac:dyDescent="0.35">
      <c r="B6" s="504" t="s">
        <v>650</v>
      </c>
      <c r="C6" s="504"/>
      <c r="D6" s="504"/>
      <c r="E6" s="504"/>
    </row>
    <row r="7" spans="2:5" ht="23.25" x14ac:dyDescent="0.35">
      <c r="B7" s="504">
        <f>C3</f>
        <v>0</v>
      </c>
      <c r="C7" s="504"/>
      <c r="D7" s="504"/>
      <c r="E7" s="504"/>
    </row>
    <row r="8" spans="2:5" s="379" customFormat="1" ht="12.75" x14ac:dyDescent="0.2">
      <c r="B8" s="375"/>
      <c r="C8" s="376"/>
      <c r="D8" s="377"/>
      <c r="E8" s="378" t="e">
        <f>CONCATENATE("N° OFS : ",VLOOKUP($B$7,Paramètres!$A$65:$B$382,2,FALSE))</f>
        <v>#N/A</v>
      </c>
    </row>
    <row r="9" spans="2:5" ht="18" x14ac:dyDescent="0.35">
      <c r="B9" s="380" t="s">
        <v>592</v>
      </c>
      <c r="C9" s="381"/>
      <c r="D9" s="382" t="s">
        <v>467</v>
      </c>
      <c r="E9" s="382" t="s">
        <v>593</v>
      </c>
    </row>
    <row r="10" spans="2:5" s="379" customFormat="1" ht="3.75" customHeight="1" x14ac:dyDescent="0.2">
      <c r="B10" s="377"/>
      <c r="C10" s="377"/>
      <c r="D10" s="377"/>
      <c r="E10" s="377"/>
    </row>
    <row r="11" spans="2:5" s="387" customFormat="1" ht="12.75" x14ac:dyDescent="0.2">
      <c r="B11" s="383">
        <v>4001</v>
      </c>
      <c r="C11" s="384" t="s">
        <v>594</v>
      </c>
      <c r="D11" s="385" t="e">
        <f>VLOOKUP($C$3,'A) Base RI'!$B$7:$AR$315,2,FALSE)</f>
        <v>#N/A</v>
      </c>
      <c r="E11" s="386"/>
    </row>
    <row r="12" spans="2:5" s="387" customFormat="1" ht="12.75" x14ac:dyDescent="0.2">
      <c r="B12" s="383">
        <v>4002</v>
      </c>
      <c r="C12" s="384" t="s">
        <v>595</v>
      </c>
      <c r="D12" s="385" t="e">
        <f>VLOOKUP($C$3,'A) Base RI'!$B$7:$AR$315,3,FALSE)</f>
        <v>#N/A</v>
      </c>
      <c r="E12" s="388"/>
    </row>
    <row r="13" spans="2:5" s="387" customFormat="1" ht="12.75" x14ac:dyDescent="0.2">
      <c r="B13" s="383"/>
      <c r="C13" s="384" t="s">
        <v>263</v>
      </c>
      <c r="D13" s="385" t="e">
        <f>VLOOKUP($C$3,'A) Base RI'!$B$7:$AR$315,4,FALSE)</f>
        <v>#N/A</v>
      </c>
      <c r="E13" s="386"/>
    </row>
    <row r="14" spans="2:5" s="387" customFormat="1" ht="12.75" x14ac:dyDescent="0.2">
      <c r="B14" s="383">
        <v>4005</v>
      </c>
      <c r="C14" s="384" t="s">
        <v>596</v>
      </c>
      <c r="D14" s="385" t="e">
        <f>VLOOKUP($C$3,'A) Base RI'!$B$7:$AR$315,5,FALSE)</f>
        <v>#N/A</v>
      </c>
      <c r="E14" s="386"/>
    </row>
    <row r="15" spans="2:5" s="387" customFormat="1" ht="12.75" x14ac:dyDescent="0.2">
      <c r="B15" s="383">
        <v>4011</v>
      </c>
      <c r="C15" s="384" t="s">
        <v>597</v>
      </c>
      <c r="D15" s="385" t="e">
        <f>VLOOKUP($C$3,'A) Base RI'!$B$7:$AR$315,6,FALSE)</f>
        <v>#N/A</v>
      </c>
      <c r="E15" s="386"/>
    </row>
    <row r="16" spans="2:5" s="387" customFormat="1" ht="12.75" x14ac:dyDescent="0.2">
      <c r="B16" s="383">
        <v>4012</v>
      </c>
      <c r="C16" s="384" t="s">
        <v>598</v>
      </c>
      <c r="D16" s="385" t="e">
        <f>VLOOKUP($C$3,'A) Base RI'!$B$7:$AR$320,7,FALSE)</f>
        <v>#N/A</v>
      </c>
      <c r="E16" s="386"/>
    </row>
    <row r="17" spans="2:7" s="387" customFormat="1" ht="12.75" x14ac:dyDescent="0.2">
      <c r="B17" s="383">
        <v>4004</v>
      </c>
      <c r="C17" s="384" t="s">
        <v>599</v>
      </c>
      <c r="D17" s="385" t="e">
        <f>VLOOKUP($C$3,'A) Base RI'!$B$7:$AR$315,8,FALSE)</f>
        <v>#N/A</v>
      </c>
      <c r="E17" s="386"/>
    </row>
    <row r="18" spans="2:7" s="387" customFormat="1" ht="12.75" x14ac:dyDescent="0.2">
      <c r="B18" s="383">
        <v>4003</v>
      </c>
      <c r="C18" s="384" t="s">
        <v>388</v>
      </c>
      <c r="D18" s="385" t="e">
        <f>VLOOKUP($C$3,'A) Base RI'!$B$7:$AR$315,9,FALSE)</f>
        <v>#N/A</v>
      </c>
      <c r="E18" s="386"/>
    </row>
    <row r="19" spans="2:7" s="387" customFormat="1" ht="12.75" x14ac:dyDescent="0.2">
      <c r="B19" s="383">
        <v>4013</v>
      </c>
      <c r="C19" s="384" t="s">
        <v>600</v>
      </c>
      <c r="D19" s="385" t="e">
        <f>VLOOKUP($C$3,'A) Base RI'!$B$7:$AR$315,10,FALSE)</f>
        <v>#N/A</v>
      </c>
      <c r="E19" s="386"/>
    </row>
    <row r="20" spans="2:7" s="387" customFormat="1" ht="12.75" x14ac:dyDescent="0.2">
      <c r="B20" s="383">
        <v>4020</v>
      </c>
      <c r="C20" s="384" t="s">
        <v>601</v>
      </c>
      <c r="D20" s="389" t="e">
        <f>VLOOKUP($C$3,'A) Base RI'!$B$7:$AR$315,11,FALSE)</f>
        <v>#N/A</v>
      </c>
      <c r="E20" s="386"/>
    </row>
    <row r="21" spans="2:7" s="387" customFormat="1" ht="12.75" x14ac:dyDescent="0.2">
      <c r="B21" s="383"/>
      <c r="C21" s="390" t="s">
        <v>602</v>
      </c>
      <c r="D21" s="391" t="e">
        <f>SUM(D11:D20)</f>
        <v>#N/A</v>
      </c>
      <c r="E21" s="391"/>
      <c r="G21" s="483"/>
    </row>
    <row r="22" spans="2:7" s="387" customFormat="1" ht="7.15" customHeight="1" x14ac:dyDescent="0.2">
      <c r="B22" s="383"/>
      <c r="C22" s="384"/>
      <c r="D22" s="392"/>
      <c r="E22" s="392"/>
    </row>
    <row r="23" spans="2:7" s="387" customFormat="1" ht="12.75" x14ac:dyDescent="0.2">
      <c r="B23" s="383" t="s">
        <v>603</v>
      </c>
      <c r="C23" s="384" t="s">
        <v>604</v>
      </c>
      <c r="D23" s="385" t="e">
        <f>VLOOKUP($C$3,'A) Base RI'!$B$7:$AR$315,13,FALSE)</f>
        <v>#N/A</v>
      </c>
      <c r="E23" s="386"/>
    </row>
    <row r="24" spans="2:7" s="387" customFormat="1" ht="12.75" x14ac:dyDescent="0.2">
      <c r="B24" s="383">
        <v>4050</v>
      </c>
      <c r="C24" s="384" t="s">
        <v>605</v>
      </c>
      <c r="D24" s="385" t="e">
        <f>VLOOKUP($C$3,'A) Base RI'!$B$7:$AR$315,14,FALSE)</f>
        <v>#N/A</v>
      </c>
      <c r="E24" s="386"/>
    </row>
    <row r="25" spans="2:7" s="387" customFormat="1" ht="12.75" x14ac:dyDescent="0.2">
      <c r="B25" s="383">
        <v>4040</v>
      </c>
      <c r="C25" s="384" t="s">
        <v>201</v>
      </c>
      <c r="D25" s="385" t="e">
        <f>VLOOKUP($C$3,'A) Base RI'!$B$7:$AR$315,15,FALSE)</f>
        <v>#N/A</v>
      </c>
      <c r="E25" s="386"/>
    </row>
    <row r="26" spans="2:7" s="387" customFormat="1" ht="12.75" x14ac:dyDescent="0.2">
      <c r="B26" s="383">
        <v>4090</v>
      </c>
      <c r="C26" s="384" t="s">
        <v>423</v>
      </c>
      <c r="D26" s="385" t="e">
        <f>VLOOKUP($C$3,'A) Base RI'!$B$7:$AR$315,16,FALSE)</f>
        <v>#N/A</v>
      </c>
      <c r="E26" s="386"/>
    </row>
    <row r="27" spans="2:7" s="387" customFormat="1" ht="12.75" x14ac:dyDescent="0.2">
      <c r="B27" s="383">
        <v>4411</v>
      </c>
      <c r="C27" s="384" t="s">
        <v>606</v>
      </c>
      <c r="D27" s="385" t="e">
        <f>VLOOKUP($C$3,'A) Base RI'!$B$7:$AR$315,17,FALSE)</f>
        <v>#N/A</v>
      </c>
      <c r="E27" s="386"/>
    </row>
    <row r="28" spans="2:7" s="387" customFormat="1" ht="12.75" x14ac:dyDescent="0.2">
      <c r="B28" s="383">
        <v>4100</v>
      </c>
      <c r="C28" s="384" t="s">
        <v>551</v>
      </c>
      <c r="D28" s="385" t="e">
        <f>VLOOKUP($C$3,'A) Base RI'!$B$7:$AR$315,18,FALSE)</f>
        <v>#N/A</v>
      </c>
      <c r="E28" s="386"/>
    </row>
    <row r="29" spans="2:7" s="387" customFormat="1" ht="12.75" x14ac:dyDescent="0.2">
      <c r="B29" s="383">
        <v>4103</v>
      </c>
      <c r="C29" s="384" t="s">
        <v>552</v>
      </c>
      <c r="D29" s="385" t="e">
        <f>VLOOKUP($C$3,'A) Base RI'!$B$7:$AR$315,19,FALSE)</f>
        <v>#N/A</v>
      </c>
      <c r="E29" s="386"/>
    </row>
    <row r="30" spans="2:7" s="387" customFormat="1" ht="12.75" x14ac:dyDescent="0.2">
      <c r="B30" s="383">
        <v>4061</v>
      </c>
      <c r="C30" s="384" t="s">
        <v>607</v>
      </c>
      <c r="D30" s="385" t="e">
        <f>VLOOKUP($C$3,'A) Base RI'!$B$7:$AR$315,20,FALSE)</f>
        <v>#N/A</v>
      </c>
      <c r="E30" s="386"/>
    </row>
    <row r="31" spans="2:7" s="387" customFormat="1" ht="12.75" x14ac:dyDescent="0.2">
      <c r="B31" s="383">
        <v>4062</v>
      </c>
      <c r="C31" s="384" t="s">
        <v>608</v>
      </c>
      <c r="D31" s="385" t="e">
        <f>VLOOKUP($C$3,'A) Base RI'!$B$7:$AR$315,21,FALSE)</f>
        <v>#N/A</v>
      </c>
      <c r="E31" s="386"/>
    </row>
    <row r="32" spans="2:7" s="387" customFormat="1" ht="12.75" x14ac:dyDescent="0.2">
      <c r="B32" s="383">
        <v>406</v>
      </c>
      <c r="C32" s="384" t="s">
        <v>609</v>
      </c>
      <c r="D32" s="389" t="e">
        <f>VLOOKUP($C$3,'A) Base RI'!$B$7:$AR$315,22,FALSE)</f>
        <v>#N/A</v>
      </c>
      <c r="E32" s="386"/>
    </row>
    <row r="33" spans="2:5" s="387" customFormat="1" ht="12.75" x14ac:dyDescent="0.2">
      <c r="B33" s="383"/>
      <c r="C33" s="390" t="s">
        <v>198</v>
      </c>
      <c r="D33" s="391" t="e">
        <f>SUM(D23:D32)</f>
        <v>#N/A</v>
      </c>
      <c r="E33" s="391"/>
    </row>
    <row r="34" spans="2:5" s="387" customFormat="1" ht="12.75" x14ac:dyDescent="0.2">
      <c r="B34" s="383"/>
      <c r="C34" s="390" t="s">
        <v>610</v>
      </c>
      <c r="D34" s="391" t="e">
        <f>D21+D33</f>
        <v>#N/A</v>
      </c>
      <c r="E34" s="391"/>
    </row>
    <row r="35" spans="2:5" s="387" customFormat="1" ht="6" customHeight="1" x14ac:dyDescent="0.2">
      <c r="B35" s="383"/>
      <c r="C35" s="384"/>
      <c r="D35" s="385"/>
      <c r="E35" s="385"/>
    </row>
    <row r="36" spans="2:5" s="396" customFormat="1" ht="18" x14ac:dyDescent="0.2">
      <c r="B36" s="393" t="s">
        <v>611</v>
      </c>
      <c r="C36" s="394"/>
      <c r="D36" s="395" t="s">
        <v>467</v>
      </c>
      <c r="E36" s="395" t="s">
        <v>593</v>
      </c>
    </row>
    <row r="37" spans="2:5" s="387" customFormat="1" ht="6" customHeight="1" x14ac:dyDescent="0.2">
      <c r="B37" s="397"/>
      <c r="C37" s="390"/>
      <c r="D37" s="385"/>
      <c r="E37" s="385"/>
    </row>
    <row r="38" spans="2:5" s="387" customFormat="1" ht="12.75" x14ac:dyDescent="0.2">
      <c r="B38" s="383">
        <v>4341</v>
      </c>
      <c r="C38" s="384" t="s">
        <v>612</v>
      </c>
      <c r="D38" s="385" t="e">
        <f>VLOOKUP($C$3,'A) Base RI'!$B$7:$AR$315,24,FALSE)</f>
        <v>#N/A</v>
      </c>
      <c r="E38" s="386"/>
    </row>
    <row r="39" spans="2:5" s="387" customFormat="1" ht="12.75" x14ac:dyDescent="0.2">
      <c r="B39" s="383">
        <v>4341</v>
      </c>
      <c r="C39" s="384" t="s">
        <v>613</v>
      </c>
      <c r="D39" s="385" t="e">
        <f>VLOOKUP($C$3,'A) Base RI'!$B$7:$AR$315,25,FALSE)</f>
        <v>#N/A</v>
      </c>
      <c r="E39" s="386"/>
    </row>
    <row r="40" spans="2:5" s="387" customFormat="1" ht="12.75" x14ac:dyDescent="0.2">
      <c r="B40" s="383">
        <v>4342</v>
      </c>
      <c r="C40" s="384" t="s">
        <v>614</v>
      </c>
      <c r="D40" s="385" t="e">
        <f>VLOOKUP($C$3,'A) Base RI'!$B$7:$AR$315,26,FALSE)</f>
        <v>#N/A</v>
      </c>
      <c r="E40" s="386"/>
    </row>
    <row r="41" spans="2:5" s="387" customFormat="1" ht="12.75" x14ac:dyDescent="0.2">
      <c r="B41" s="383">
        <v>4342</v>
      </c>
      <c r="C41" s="384" t="s">
        <v>563</v>
      </c>
      <c r="D41" s="385" t="e">
        <f>VLOOKUP($C$3,'A) Base RI'!$B$7:$AR$315,27,FALSE)</f>
        <v>#N/A</v>
      </c>
      <c r="E41" s="386"/>
    </row>
    <row r="42" spans="2:5" s="387" customFormat="1" ht="12.75" x14ac:dyDescent="0.2">
      <c r="B42" s="383">
        <v>4342</v>
      </c>
      <c r="C42" s="384" t="s">
        <v>615</v>
      </c>
      <c r="D42" s="385" t="e">
        <f>VLOOKUP($C$3,'A) Base RI'!$B$7:$AR$315,28,FALSE)</f>
        <v>#N/A</v>
      </c>
      <c r="E42" s="386"/>
    </row>
    <row r="43" spans="2:5" s="387" customFormat="1" ht="12.75" x14ac:dyDescent="0.2">
      <c r="B43" s="383">
        <v>4341</v>
      </c>
      <c r="C43" s="384" t="s">
        <v>616</v>
      </c>
      <c r="D43" s="385" t="e">
        <f>VLOOKUP($C$3,'A) Base RI'!$B$7:$AR$315,29,FALSE)</f>
        <v>#N/A</v>
      </c>
      <c r="E43" s="386"/>
    </row>
    <row r="44" spans="2:5" s="387" customFormat="1" ht="12.75" x14ac:dyDescent="0.2">
      <c r="B44" s="383">
        <v>4341</v>
      </c>
      <c r="C44" s="384" t="s">
        <v>617</v>
      </c>
      <c r="D44" s="385" t="e">
        <f>VLOOKUP($C$3,'A) Base RI'!$B$7:$AR$315,30,FALSE)</f>
        <v>#N/A</v>
      </c>
      <c r="E44" s="386"/>
    </row>
    <row r="45" spans="2:5" s="387" customFormat="1" ht="12.75" x14ac:dyDescent="0.2">
      <c r="B45" s="383">
        <v>4301</v>
      </c>
      <c r="C45" s="384" t="s">
        <v>618</v>
      </c>
      <c r="D45" s="385" t="e">
        <f>VLOOKUP($C$3,'A) Base RI'!$B$7:$AR$315,31,FALSE)</f>
        <v>#N/A</v>
      </c>
      <c r="E45" s="386"/>
    </row>
    <row r="46" spans="2:5" s="387" customFormat="1" ht="12.75" x14ac:dyDescent="0.2">
      <c r="B46" s="383">
        <v>4066</v>
      </c>
      <c r="C46" s="384" t="s">
        <v>568</v>
      </c>
      <c r="D46" s="385" t="e">
        <f>VLOOKUP($C$3,'A) Base RI'!$B$7:$AR$315,32,FALSE)</f>
        <v>#N/A</v>
      </c>
      <c r="E46" s="386"/>
    </row>
    <row r="47" spans="2:5" s="387" customFormat="1" ht="12.75" x14ac:dyDescent="0.2">
      <c r="B47" s="383">
        <v>434</v>
      </c>
      <c r="C47" s="384" t="s">
        <v>569</v>
      </c>
      <c r="D47" s="385" t="e">
        <f>VLOOKUP($C$3,'A) Base RI'!$B$7:$AR$315,33,FALSE)</f>
        <v>#N/A</v>
      </c>
      <c r="E47" s="386"/>
    </row>
    <row r="48" spans="2:5" s="387" customFormat="1" ht="12.75" x14ac:dyDescent="0.2">
      <c r="B48" s="383">
        <v>434</v>
      </c>
      <c r="C48" s="384" t="s">
        <v>619</v>
      </c>
      <c r="D48" s="385" t="e">
        <f>VLOOKUP($C$3,'A) Base RI'!$B$7:$AR$315,34,FALSE)</f>
        <v>#N/A</v>
      </c>
      <c r="E48" s="386"/>
    </row>
    <row r="49" spans="2:5" s="387" customFormat="1" ht="12.75" x14ac:dyDescent="0.2">
      <c r="B49" s="383">
        <v>434</v>
      </c>
      <c r="C49" s="384" t="s">
        <v>571</v>
      </c>
      <c r="D49" s="385" t="e">
        <f>VLOOKUP($C$3,'A) Base RI'!$B$7:$AR$315,35,FALSE)</f>
        <v>#N/A</v>
      </c>
      <c r="E49" s="386"/>
    </row>
    <row r="50" spans="2:5" s="387" customFormat="1" ht="12.75" x14ac:dyDescent="0.2">
      <c r="B50" s="383">
        <v>434</v>
      </c>
      <c r="C50" s="384" t="s">
        <v>572</v>
      </c>
      <c r="D50" s="389" t="e">
        <f>VLOOKUP($C$3,'A) Base RI'!$B$7:$AR$315,36,FALSE)</f>
        <v>#N/A</v>
      </c>
      <c r="E50" s="386"/>
    </row>
    <row r="51" spans="2:5" s="387" customFormat="1" ht="12.75" x14ac:dyDescent="0.2">
      <c r="B51" s="383"/>
      <c r="C51" s="390" t="s">
        <v>620</v>
      </c>
      <c r="D51" s="391" t="e">
        <f>SUM(D38:D50)</f>
        <v>#N/A</v>
      </c>
      <c r="E51" s="391"/>
    </row>
    <row r="52" spans="2:5" s="387" customFormat="1" ht="7.15" customHeight="1" x14ac:dyDescent="0.2">
      <c r="B52" s="383"/>
      <c r="C52" s="390"/>
      <c r="D52" s="385"/>
      <c r="E52" s="385"/>
    </row>
    <row r="53" spans="2:5" s="387" customFormat="1" ht="12.75" x14ac:dyDescent="0.2">
      <c r="B53" s="383" t="s">
        <v>621</v>
      </c>
      <c r="C53" s="384" t="s">
        <v>622</v>
      </c>
      <c r="D53" s="385" t="e">
        <f>VLOOKUP($C$3,'A) Base RI'!$B$7:$AR$315,40,FALSE)</f>
        <v>#N/A</v>
      </c>
      <c r="E53" s="386"/>
    </row>
    <row r="54" spans="2:5" s="387" customFormat="1" ht="12.75" x14ac:dyDescent="0.2">
      <c r="B54" s="383"/>
      <c r="C54" s="384" t="s">
        <v>623</v>
      </c>
      <c r="D54" s="385" t="e">
        <f>VLOOKUP($C$3,'A) Base RI'!$B$7:$AR$315,41,FALSE)</f>
        <v>#N/A</v>
      </c>
      <c r="E54" s="386"/>
    </row>
    <row r="55" spans="2:5" s="387" customFormat="1" ht="12.75" x14ac:dyDescent="0.2">
      <c r="B55" s="383"/>
      <c r="C55" s="384" t="s">
        <v>253</v>
      </c>
      <c r="D55" s="385" t="e">
        <f>VLOOKUP($C$3,'A) Base RI'!$B$7:$AR$315,42,FALSE)</f>
        <v>#N/A</v>
      </c>
      <c r="E55" s="386"/>
    </row>
    <row r="56" spans="2:5" s="387" customFormat="1" ht="6" customHeight="1" x14ac:dyDescent="0.2">
      <c r="B56" s="383"/>
      <c r="C56" s="384"/>
      <c r="D56" s="385"/>
      <c r="E56" s="385"/>
    </row>
    <row r="57" spans="2:5" s="396" customFormat="1" ht="18" x14ac:dyDescent="0.2">
      <c r="B57" s="393" t="s">
        <v>624</v>
      </c>
      <c r="C57" s="394"/>
      <c r="D57" s="398"/>
      <c r="E57" s="398"/>
    </row>
    <row r="58" spans="2:5" s="387" customFormat="1" ht="6" customHeight="1" x14ac:dyDescent="0.2">
      <c r="B58" s="399"/>
      <c r="C58" s="400"/>
      <c r="D58" s="385"/>
      <c r="E58" s="385"/>
    </row>
    <row r="59" spans="2:5" s="387" customFormat="1" ht="13.9" customHeight="1" x14ac:dyDescent="0.2">
      <c r="B59" s="401"/>
      <c r="C59" s="401" t="s">
        <v>651</v>
      </c>
      <c r="D59" s="385" t="e">
        <f>VLOOKUP($C$3,'A) Base RI'!$B$7:$AR$315,38,FALSE)</f>
        <v>#N/A</v>
      </c>
      <c r="E59" s="386"/>
    </row>
    <row r="60" spans="2:5" s="387" customFormat="1" ht="13.9" customHeight="1" x14ac:dyDescent="0.2">
      <c r="B60" s="401"/>
      <c r="C60" s="401" t="s">
        <v>652</v>
      </c>
      <c r="D60" s="385" t="e">
        <f>VLOOKUP($C$3,'A) Base RI'!$B$7:$AR$315,43,FALSE)</f>
        <v>#N/A</v>
      </c>
      <c r="E60" s="386"/>
    </row>
    <row r="61" spans="2:5" s="387" customFormat="1" ht="13.9" customHeight="1" x14ac:dyDescent="0.2">
      <c r="B61" s="401"/>
      <c r="C61" s="401" t="s">
        <v>653</v>
      </c>
      <c r="D61" s="402" t="e">
        <f>VLOOKUP($C$3,'A) Base RI'!$B$7:$AR$315,39,FALSE)</f>
        <v>#N/A</v>
      </c>
      <c r="E61" s="386"/>
    </row>
    <row r="62" spans="2:5" s="404" customFormat="1" ht="6" customHeight="1" x14ac:dyDescent="0.2">
      <c r="B62" s="403"/>
      <c r="C62" s="403"/>
      <c r="D62" s="403"/>
      <c r="E62" s="403"/>
    </row>
    <row r="63" spans="2:5" ht="18" x14ac:dyDescent="0.35">
      <c r="B63" s="380"/>
      <c r="C63" s="405"/>
      <c r="D63" s="406"/>
      <c r="E63" s="406"/>
    </row>
    <row r="64" spans="2:5" s="404" customFormat="1" ht="6" customHeight="1" x14ac:dyDescent="0.2">
      <c r="B64" s="403"/>
      <c r="C64" s="403"/>
      <c r="D64" s="403"/>
      <c r="E64" s="403"/>
    </row>
    <row r="65" spans="2:5" ht="45.75" customHeight="1" x14ac:dyDescent="0.25">
      <c r="B65" s="505" t="s">
        <v>625</v>
      </c>
      <c r="C65" s="505"/>
      <c r="D65" s="505"/>
      <c r="E65" s="505"/>
    </row>
    <row r="66" spans="2:5" x14ac:dyDescent="0.25">
      <c r="B66" s="506" t="str">
        <f>CONCATENATE(B7,", le")</f>
        <v>0, le</v>
      </c>
      <c r="C66" s="506"/>
      <c r="D66" s="407"/>
      <c r="E66" s="407"/>
    </row>
    <row r="67" spans="2:5" x14ac:dyDescent="0.25">
      <c r="B67" s="408">
        <f ca="1">TODAY()</f>
        <v>42651</v>
      </c>
      <c r="C67" s="409"/>
      <c r="D67" s="407"/>
      <c r="E67" s="407"/>
    </row>
    <row r="68" spans="2:5" x14ac:dyDescent="0.25">
      <c r="B68" s="408"/>
      <c r="C68" s="409"/>
      <c r="D68" s="407"/>
      <c r="E68" s="407"/>
    </row>
    <row r="69" spans="2:5" x14ac:dyDescent="0.25">
      <c r="B69" s="409" t="s">
        <v>626</v>
      </c>
      <c r="C69" s="409"/>
      <c r="D69" s="407"/>
      <c r="E69" s="410" t="s">
        <v>627</v>
      </c>
    </row>
    <row r="70" spans="2:5" x14ac:dyDescent="0.25">
      <c r="B70" s="411"/>
      <c r="C70" s="409"/>
      <c r="D70" s="407"/>
      <c r="E70" s="407"/>
    </row>
    <row r="71" spans="2:5" x14ac:dyDescent="0.25">
      <c r="B71" s="412"/>
      <c r="C71" s="413"/>
      <c r="D71" s="414"/>
      <c r="E71" s="414"/>
    </row>
    <row r="72" spans="2:5" x14ac:dyDescent="0.25">
      <c r="B72" s="415" t="s">
        <v>628</v>
      </c>
      <c r="C72" s="409"/>
      <c r="D72" s="407"/>
      <c r="E72" s="407"/>
    </row>
    <row r="73" spans="2:5" x14ac:dyDescent="0.25">
      <c r="B73" s="412"/>
      <c r="C73" s="413"/>
      <c r="D73" s="414"/>
      <c r="E73" s="414"/>
    </row>
    <row r="74" spans="2:5" x14ac:dyDescent="0.25">
      <c r="B74" s="415" t="s">
        <v>629</v>
      </c>
      <c r="C74" s="409"/>
      <c r="D74" s="407"/>
      <c r="E74" s="407"/>
    </row>
  </sheetData>
  <protectedRanges>
    <protectedRange sqref="E38:E50 E53:E55 E59:E61 E23:E32 E11 E13:E20" name="Plage2"/>
    <protectedRange sqref="C3" name="Plage1"/>
  </protectedRanges>
  <mergeCells count="5">
    <mergeCell ref="C3:D3"/>
    <mergeCell ref="B6:E6"/>
    <mergeCell ref="B7:E7"/>
    <mergeCell ref="B65:E65"/>
    <mergeCell ref="B66:C66"/>
  </mergeCells>
  <printOptions horizontalCentered="1" verticalCentered="1"/>
  <pageMargins left="0.70866141732283472" right="0.70866141732283472" top="0.35433070866141736" bottom="0.35433070866141736" header="0.31496062992125984" footer="0.31496062992125984"/>
  <pageSetup paperSize="9" scale="83"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Paramètres!$A$70:$A$378</xm:f>
          </x14:formula1>
          <xm:sqref>C3:D3</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4">
    <tabColor rgb="FF00B050"/>
  </sheetPr>
  <dimension ref="A1:AR316"/>
  <sheetViews>
    <sheetView zoomScaleNormal="100" workbookViewId="0">
      <pane xSplit="2" ySplit="6" topLeftCell="C7" activePane="bottomRight" state="frozen"/>
      <selection pane="topRight" activeCell="C1" sqref="C1"/>
      <selection pane="bottomLeft" activeCell="A7" sqref="A7"/>
      <selection pane="bottomRight" activeCell="C7" sqref="C7"/>
    </sheetView>
  </sheetViews>
  <sheetFormatPr baseColWidth="10" defaultColWidth="8.625" defaultRowHeight="15" x14ac:dyDescent="0.25"/>
  <cols>
    <col min="1" max="1" width="7.75" style="359" customWidth="1"/>
    <col min="2" max="2" width="23.625" style="15" bestFit="1" customWidth="1"/>
    <col min="3" max="3" width="15.5" style="353" bestFit="1" customWidth="1"/>
    <col min="4" max="4" width="15.125" style="15" bestFit="1" customWidth="1"/>
    <col min="5" max="5" width="8.875" style="15" bestFit="1" customWidth="1"/>
    <col min="6" max="6" width="10.875" style="15" bestFit="1" customWidth="1"/>
    <col min="7" max="7" width="14" style="15" bestFit="1" customWidth="1"/>
    <col min="8" max="8" width="13.375" style="15" bestFit="1" customWidth="1"/>
    <col min="9" max="9" width="13.875" style="15" customWidth="1"/>
    <col min="10" max="10" width="14" style="15" bestFit="1" customWidth="1"/>
    <col min="11" max="11" width="13.375" style="15" bestFit="1" customWidth="1"/>
    <col min="12" max="12" width="14" style="15" bestFit="1" customWidth="1"/>
    <col min="13" max="13" width="15.5" style="15" bestFit="1" customWidth="1"/>
    <col min="14" max="14" width="13.125" style="15" bestFit="1" customWidth="1"/>
    <col min="15" max="15" width="14" style="15" bestFit="1" customWidth="1"/>
    <col min="16" max="16" width="13.375" style="15" bestFit="1" customWidth="1"/>
    <col min="17" max="17" width="13.875" style="15" customWidth="1"/>
    <col min="18" max="20" width="13.375" style="15" bestFit="1" customWidth="1"/>
    <col min="21" max="21" width="12.125" style="15" bestFit="1" customWidth="1"/>
    <col min="22" max="22" width="13.625" style="15" bestFit="1" customWidth="1"/>
    <col min="23" max="23" width="12.125" style="15" bestFit="1" customWidth="1"/>
    <col min="24" max="24" width="15.5" style="15" bestFit="1" customWidth="1"/>
    <col min="25" max="37" width="14.25" style="15" customWidth="1"/>
    <col min="38" max="38" width="14" style="15" bestFit="1" customWidth="1"/>
    <col min="39" max="39" width="12" style="15" customWidth="1"/>
    <col min="40" max="40" width="10.875" style="6" bestFit="1" customWidth="1"/>
    <col min="41" max="41" width="13.375" style="15" bestFit="1" customWidth="1"/>
    <col min="42" max="42" width="11.25" style="15" bestFit="1" customWidth="1"/>
    <col min="43" max="43" width="11.875" style="15" bestFit="1" customWidth="1"/>
    <col min="44" max="44" width="7" style="15" bestFit="1" customWidth="1"/>
    <col min="45" max="16384" width="8.625" style="15"/>
  </cols>
  <sheetData>
    <row r="1" spans="1:44" ht="21" x14ac:dyDescent="0.35">
      <c r="A1" s="354" t="s">
        <v>462</v>
      </c>
      <c r="B1" s="339"/>
      <c r="C1" s="340"/>
      <c r="D1" s="339"/>
      <c r="E1" s="339"/>
      <c r="F1" s="339"/>
      <c r="G1" s="339"/>
      <c r="H1" s="339"/>
      <c r="I1" s="339"/>
      <c r="J1" s="339"/>
      <c r="S1" s="360"/>
      <c r="T1" s="360"/>
      <c r="U1" s="363"/>
      <c r="V1" s="361"/>
      <c r="W1" s="360"/>
      <c r="Y1" s="360"/>
      <c r="Z1" s="476">
        <f>4918147.89+2692476.9-2695056.75</f>
        <v>4915568.0399999991</v>
      </c>
      <c r="AA1" s="360"/>
      <c r="AB1" s="360"/>
      <c r="AC1" s="360"/>
      <c r="AD1" s="360"/>
      <c r="AE1" s="360"/>
      <c r="AF1" s="360"/>
      <c r="AG1" s="360"/>
      <c r="AH1" s="360"/>
      <c r="AI1" s="360"/>
      <c r="AJ1" s="360"/>
      <c r="AK1" s="360"/>
      <c r="AL1" s="360"/>
      <c r="AM1" s="360"/>
    </row>
    <row r="2" spans="1:44" ht="21" x14ac:dyDescent="0.35">
      <c r="A2" s="354">
        <f>Paramètres!B5</f>
        <v>2018</v>
      </c>
      <c r="C2" s="341"/>
      <c r="D2" s="342"/>
      <c r="E2" s="339"/>
      <c r="F2" s="339"/>
      <c r="G2" s="339"/>
      <c r="H2" s="339"/>
      <c r="I2" s="339"/>
      <c r="J2" s="339"/>
      <c r="S2" s="360"/>
      <c r="T2" s="360"/>
      <c r="U2" s="363"/>
      <c r="V2" s="361"/>
      <c r="W2" s="360"/>
      <c r="Y2" s="360"/>
      <c r="Z2" s="360"/>
      <c r="AA2" s="360"/>
      <c r="AB2" s="360"/>
      <c r="AC2" s="360"/>
      <c r="AD2" s="360"/>
      <c r="AE2" s="360"/>
      <c r="AF2" s="360"/>
      <c r="AG2" s="360"/>
      <c r="AH2" s="360"/>
      <c r="AI2" s="360"/>
      <c r="AJ2" s="360"/>
      <c r="AK2" s="360"/>
      <c r="AL2" s="360"/>
      <c r="AM2" s="360"/>
    </row>
    <row r="3" spans="1:44" x14ac:dyDescent="0.25">
      <c r="A3" s="355"/>
      <c r="B3" s="339"/>
      <c r="C3" s="340"/>
      <c r="D3" s="339"/>
      <c r="E3" s="339"/>
      <c r="F3" s="339"/>
      <c r="G3" s="339"/>
      <c r="H3" s="339"/>
      <c r="I3" s="339"/>
      <c r="J3" s="339"/>
      <c r="L3" s="343"/>
      <c r="S3" s="360"/>
      <c r="T3" s="360"/>
      <c r="U3" s="363"/>
      <c r="V3" s="360"/>
      <c r="W3" s="360"/>
      <c r="Y3" s="360"/>
      <c r="Z3" s="360"/>
      <c r="AA3" s="360"/>
      <c r="AB3" s="360"/>
      <c r="AC3" s="360"/>
      <c r="AD3" s="360"/>
      <c r="AE3" s="360"/>
      <c r="AF3" s="360"/>
      <c r="AG3" s="360"/>
      <c r="AH3" s="360"/>
      <c r="AI3" s="360"/>
      <c r="AJ3" s="360"/>
      <c r="AK3" s="360"/>
      <c r="AL3" s="360"/>
      <c r="AM3" s="360"/>
    </row>
    <row r="4" spans="1:44" s="344" customFormat="1" ht="38.1" customHeight="1" x14ac:dyDescent="0.2">
      <c r="A4" s="519" t="s">
        <v>50</v>
      </c>
      <c r="B4" s="522" t="s">
        <v>532</v>
      </c>
      <c r="C4" s="515" t="s">
        <v>418</v>
      </c>
      <c r="D4" s="525" t="s">
        <v>419</v>
      </c>
      <c r="E4" s="510" t="s">
        <v>263</v>
      </c>
      <c r="F4" s="510" t="s">
        <v>264</v>
      </c>
      <c r="G4" s="510" t="s">
        <v>420</v>
      </c>
      <c r="H4" s="510" t="s">
        <v>421</v>
      </c>
      <c r="I4" s="510" t="s">
        <v>422</v>
      </c>
      <c r="J4" s="510" t="s">
        <v>388</v>
      </c>
      <c r="K4" s="510" t="s">
        <v>389</v>
      </c>
      <c r="L4" s="510" t="s">
        <v>390</v>
      </c>
      <c r="M4" s="510" t="s">
        <v>198</v>
      </c>
      <c r="N4" s="510" t="s">
        <v>199</v>
      </c>
      <c r="O4" s="510" t="s">
        <v>200</v>
      </c>
      <c r="P4" s="510" t="s">
        <v>201</v>
      </c>
      <c r="Q4" s="510" t="s">
        <v>423</v>
      </c>
      <c r="R4" s="510" t="s">
        <v>202</v>
      </c>
      <c r="S4" s="507" t="s">
        <v>551</v>
      </c>
      <c r="T4" s="507" t="s">
        <v>552</v>
      </c>
      <c r="U4" s="515" t="s">
        <v>553</v>
      </c>
      <c r="V4" s="507" t="s">
        <v>554</v>
      </c>
      <c r="W4" s="517" t="s">
        <v>555</v>
      </c>
      <c r="X4" s="510" t="s">
        <v>143</v>
      </c>
      <c r="Y4" s="527" t="s">
        <v>560</v>
      </c>
      <c r="Z4" s="507" t="s">
        <v>561</v>
      </c>
      <c r="AA4" s="507" t="s">
        <v>562</v>
      </c>
      <c r="AB4" s="507" t="s">
        <v>563</v>
      </c>
      <c r="AC4" s="507" t="s">
        <v>564</v>
      </c>
      <c r="AD4" s="507" t="s">
        <v>565</v>
      </c>
      <c r="AE4" s="507" t="s">
        <v>566</v>
      </c>
      <c r="AF4" s="507" t="s">
        <v>567</v>
      </c>
      <c r="AG4" s="507" t="s">
        <v>568</v>
      </c>
      <c r="AH4" s="507" t="s">
        <v>569</v>
      </c>
      <c r="AI4" s="507" t="s">
        <v>570</v>
      </c>
      <c r="AJ4" s="507" t="s">
        <v>571</v>
      </c>
      <c r="AK4" s="507" t="s">
        <v>572</v>
      </c>
      <c r="AL4" s="517" t="s">
        <v>573</v>
      </c>
      <c r="AM4" s="515" t="s">
        <v>83</v>
      </c>
      <c r="AN4" s="513" t="s">
        <v>461</v>
      </c>
      <c r="AO4" s="510" t="s">
        <v>251</v>
      </c>
      <c r="AP4" s="510" t="s">
        <v>252</v>
      </c>
      <c r="AQ4" s="510" t="s">
        <v>253</v>
      </c>
      <c r="AR4" s="510" t="s">
        <v>516</v>
      </c>
    </row>
    <row r="5" spans="1:44" s="344" customFormat="1" ht="38.1" customHeight="1" x14ac:dyDescent="0.2">
      <c r="A5" s="520"/>
      <c r="B5" s="523"/>
      <c r="C5" s="516"/>
      <c r="D5" s="526"/>
      <c r="E5" s="512"/>
      <c r="F5" s="512"/>
      <c r="G5" s="512"/>
      <c r="H5" s="512"/>
      <c r="I5" s="512"/>
      <c r="J5" s="512"/>
      <c r="K5" s="512"/>
      <c r="L5" s="512"/>
      <c r="M5" s="512"/>
      <c r="N5" s="512"/>
      <c r="O5" s="512"/>
      <c r="P5" s="512"/>
      <c r="Q5" s="511"/>
      <c r="R5" s="512"/>
      <c r="S5" s="509"/>
      <c r="T5" s="508"/>
      <c r="U5" s="516"/>
      <c r="V5" s="508"/>
      <c r="W5" s="518"/>
      <c r="X5" s="512"/>
      <c r="Y5" s="528"/>
      <c r="Z5" s="508"/>
      <c r="AA5" s="508"/>
      <c r="AB5" s="508"/>
      <c r="AC5" s="508"/>
      <c r="AD5" s="508"/>
      <c r="AE5" s="508"/>
      <c r="AF5" s="508"/>
      <c r="AG5" s="508"/>
      <c r="AH5" s="509"/>
      <c r="AI5" s="509"/>
      <c r="AJ5" s="509"/>
      <c r="AK5" s="509"/>
      <c r="AL5" s="518"/>
      <c r="AM5" s="516"/>
      <c r="AN5" s="514"/>
      <c r="AO5" s="511"/>
      <c r="AP5" s="511"/>
      <c r="AQ5" s="511"/>
      <c r="AR5" s="511"/>
    </row>
    <row r="6" spans="1:44" s="339" customFormat="1" x14ac:dyDescent="0.25">
      <c r="A6" s="521"/>
      <c r="B6" s="524"/>
      <c r="C6" s="345" t="s">
        <v>424</v>
      </c>
      <c r="D6" s="346" t="s">
        <v>425</v>
      </c>
      <c r="E6" s="346" t="s">
        <v>84</v>
      </c>
      <c r="F6" s="346" t="s">
        <v>85</v>
      </c>
      <c r="G6" s="346" t="s">
        <v>426</v>
      </c>
      <c r="H6" s="346" t="s">
        <v>427</v>
      </c>
      <c r="I6" s="346" t="s">
        <v>87</v>
      </c>
      <c r="J6" s="346" t="s">
        <v>88</v>
      </c>
      <c r="K6" s="346" t="s">
        <v>89</v>
      </c>
      <c r="L6" s="346" t="s">
        <v>90</v>
      </c>
      <c r="M6" s="346" t="s">
        <v>91</v>
      </c>
      <c r="N6" s="346" t="s">
        <v>92</v>
      </c>
      <c r="O6" s="346" t="s">
        <v>93</v>
      </c>
      <c r="P6" s="346" t="s">
        <v>94</v>
      </c>
      <c r="Q6" s="512"/>
      <c r="R6" s="346" t="s">
        <v>95</v>
      </c>
      <c r="S6" s="508"/>
      <c r="T6" s="293" t="s">
        <v>556</v>
      </c>
      <c r="U6" s="345" t="s">
        <v>557</v>
      </c>
      <c r="V6" s="293" t="s">
        <v>558</v>
      </c>
      <c r="W6" s="458" t="s">
        <v>559</v>
      </c>
      <c r="X6" s="346" t="s">
        <v>96</v>
      </c>
      <c r="Y6" s="293" t="s">
        <v>574</v>
      </c>
      <c r="Z6" s="293" t="s">
        <v>575</v>
      </c>
      <c r="AA6" s="293" t="s">
        <v>576</v>
      </c>
      <c r="AB6" s="293" t="s">
        <v>577</v>
      </c>
      <c r="AC6" s="293" t="s">
        <v>578</v>
      </c>
      <c r="AD6" s="293" t="s">
        <v>579</v>
      </c>
      <c r="AE6" s="293" t="s">
        <v>580</v>
      </c>
      <c r="AF6" s="293" t="s">
        <v>581</v>
      </c>
      <c r="AG6" s="293" t="s">
        <v>582</v>
      </c>
      <c r="AH6" s="508"/>
      <c r="AI6" s="508"/>
      <c r="AJ6" s="508"/>
      <c r="AK6" s="508"/>
      <c r="AL6" s="293" t="s">
        <v>583</v>
      </c>
      <c r="AM6" s="417">
        <f>+Paramètres!B8</f>
        <v>2018</v>
      </c>
      <c r="AN6" s="367">
        <f>+Paramètres!B7</f>
        <v>42003</v>
      </c>
      <c r="AO6" s="512"/>
      <c r="AP6" s="512"/>
      <c r="AQ6" s="512"/>
      <c r="AR6" s="512"/>
    </row>
    <row r="7" spans="1:44" x14ac:dyDescent="0.25">
      <c r="A7" s="356">
        <v>5401</v>
      </c>
      <c r="B7" s="348" t="s">
        <v>266</v>
      </c>
      <c r="C7" s="348">
        <v>12551584.710000001</v>
      </c>
      <c r="D7" s="348">
        <v>1759394.42</v>
      </c>
      <c r="E7" s="348"/>
      <c r="F7" s="348"/>
      <c r="G7" s="348">
        <v>1922134.05</v>
      </c>
      <c r="H7" s="348">
        <v>105731.5</v>
      </c>
      <c r="I7" s="348">
        <v>7765.25</v>
      </c>
      <c r="J7" s="348">
        <v>616612.9</v>
      </c>
      <c r="K7" s="348">
        <v>223186.85</v>
      </c>
      <c r="L7" s="348">
        <v>2073061.4</v>
      </c>
      <c r="M7" s="349">
        <f>SUM(C7:L7)</f>
        <v>19259471.080000002</v>
      </c>
      <c r="N7" s="368">
        <v>1058449.45</v>
      </c>
      <c r="O7" s="368">
        <v>586742</v>
      </c>
      <c r="P7" s="368">
        <v>811384.1</v>
      </c>
      <c r="Q7" s="368">
        <v>60316.67</v>
      </c>
      <c r="R7" s="368">
        <v>402573.65</v>
      </c>
      <c r="S7" s="368"/>
      <c r="T7" s="368">
        <v>85926.6</v>
      </c>
      <c r="U7" s="368">
        <v>52450</v>
      </c>
      <c r="V7" s="368"/>
      <c r="W7" s="368"/>
      <c r="X7" s="349">
        <f>SUM(M7:W7)</f>
        <v>22317313.550000004</v>
      </c>
      <c r="Y7" s="92">
        <v>55051.9</v>
      </c>
      <c r="Z7" s="353"/>
      <c r="AA7" s="92">
        <v>811763.05</v>
      </c>
      <c r="AB7" s="353"/>
      <c r="AC7" s="92">
        <v>1340623.8500000001</v>
      </c>
      <c r="AD7" s="353">
        <v>63170.15</v>
      </c>
      <c r="AE7" s="92"/>
      <c r="AF7" s="353">
        <v>566.75</v>
      </c>
      <c r="AG7" s="92">
        <v>32872.550000000003</v>
      </c>
      <c r="AH7" s="353">
        <v>370076.35</v>
      </c>
      <c r="AI7" s="92"/>
      <c r="AJ7" s="353"/>
      <c r="AK7" s="92">
        <v>278821.7</v>
      </c>
      <c r="AL7" s="364">
        <f>SUM(Y7:AK7)</f>
        <v>2952946.3000000003</v>
      </c>
      <c r="AM7" s="365">
        <f>VLOOKUP(B7,'[1]2018'!$A$7:$F$349,6,FALSE)</f>
        <v>67.5</v>
      </c>
      <c r="AN7" s="91">
        <f>VLOOKUP(A7,'[2]2018 (2)'!$B$1:$D$318,3,FALSE)</f>
        <v>10134</v>
      </c>
      <c r="AO7" s="15">
        <v>-321666.98</v>
      </c>
      <c r="AP7" s="92"/>
      <c r="AQ7" s="92">
        <v>-645.51</v>
      </c>
      <c r="AR7" s="454">
        <v>1.2</v>
      </c>
    </row>
    <row r="8" spans="1:44" x14ac:dyDescent="0.25">
      <c r="A8" s="356">
        <v>5402</v>
      </c>
      <c r="B8" s="348" t="s">
        <v>267</v>
      </c>
      <c r="C8" s="348">
        <v>8728409.1199999992</v>
      </c>
      <c r="D8" s="348">
        <v>1192204.75</v>
      </c>
      <c r="E8" s="348"/>
      <c r="F8" s="348"/>
      <c r="G8" s="348">
        <v>914612.95</v>
      </c>
      <c r="H8" s="348">
        <v>70709.95</v>
      </c>
      <c r="I8" s="348">
        <v>-67367.5</v>
      </c>
      <c r="J8" s="348">
        <v>309541.81</v>
      </c>
      <c r="K8" s="348">
        <v>106621.8</v>
      </c>
      <c r="L8" s="348">
        <v>1549823.8</v>
      </c>
      <c r="M8" s="349">
        <f t="shared" ref="M8:M71" si="0">SUM(C8:L8)</f>
        <v>12804556.68</v>
      </c>
      <c r="N8" s="368">
        <v>202311.1</v>
      </c>
      <c r="O8" s="368">
        <v>57137.7</v>
      </c>
      <c r="P8" s="368">
        <v>540896.75</v>
      </c>
      <c r="Q8" s="368">
        <v>104295.16</v>
      </c>
      <c r="R8" s="368">
        <v>285520.5</v>
      </c>
      <c r="S8" s="368">
        <v>3176.25</v>
      </c>
      <c r="T8" s="368">
        <v>28658.9</v>
      </c>
      <c r="U8" s="368">
        <v>73500</v>
      </c>
      <c r="V8" s="368">
        <v>112252.85</v>
      </c>
      <c r="W8" s="368">
        <v>2000</v>
      </c>
      <c r="X8" s="349">
        <f t="shared" ref="X8:X71" si="1">SUM(M8:W8)</f>
        <v>14214305.889999999</v>
      </c>
      <c r="Y8" s="34">
        <v>41779.800000000003</v>
      </c>
      <c r="Z8" s="353">
        <v>163331.5</v>
      </c>
      <c r="AA8" s="34">
        <v>2022734.8</v>
      </c>
      <c r="AB8" s="353"/>
      <c r="AC8" s="34">
        <v>895748.47</v>
      </c>
      <c r="AD8" s="353">
        <v>131452.35</v>
      </c>
      <c r="AE8" s="34"/>
      <c r="AF8" s="353"/>
      <c r="AG8" s="34">
        <v>102947</v>
      </c>
      <c r="AH8" s="353">
        <v>233533.55</v>
      </c>
      <c r="AI8" s="34"/>
      <c r="AJ8" s="353"/>
      <c r="AK8" s="34"/>
      <c r="AL8" s="364">
        <f t="shared" ref="AL8:AL71" si="2">SUM(Y8:AK8)</f>
        <v>3591527.47</v>
      </c>
      <c r="AM8" s="17">
        <f>VLOOKUP(B8,'[1]2018'!$A$7:$F$349,6,FALSE)</f>
        <v>71</v>
      </c>
      <c r="AN8" s="32">
        <f>VLOOKUP(A8,'[2]2018 (2)'!$B$1:$D$318,3,FALSE)</f>
        <v>7757</v>
      </c>
      <c r="AO8" s="15">
        <v>-344821.64</v>
      </c>
      <c r="AP8" s="34"/>
      <c r="AQ8" s="34">
        <v>-401.51</v>
      </c>
      <c r="AR8" s="455">
        <v>1.25</v>
      </c>
    </row>
    <row r="9" spans="1:44" x14ac:dyDescent="0.25">
      <c r="A9" s="356">
        <v>5403</v>
      </c>
      <c r="B9" s="348" t="s">
        <v>117</v>
      </c>
      <c r="C9" s="348">
        <v>602719.35</v>
      </c>
      <c r="D9" s="348">
        <v>49578.41</v>
      </c>
      <c r="E9" s="348"/>
      <c r="F9" s="348"/>
      <c r="G9" s="348">
        <v>15069.9</v>
      </c>
      <c r="H9" s="348">
        <v>247.1</v>
      </c>
      <c r="I9" s="348"/>
      <c r="J9" s="348">
        <v>37312.67</v>
      </c>
      <c r="K9" s="348">
        <v>975.8</v>
      </c>
      <c r="L9" s="348">
        <v>59116.75</v>
      </c>
      <c r="M9" s="349">
        <f t="shared" si="0"/>
        <v>765019.9800000001</v>
      </c>
      <c r="N9" s="368"/>
      <c r="O9" s="368">
        <v>55.5</v>
      </c>
      <c r="P9" s="368">
        <v>45793</v>
      </c>
      <c r="Q9" s="368">
        <v>4460.54</v>
      </c>
      <c r="R9" s="368">
        <v>18465.7</v>
      </c>
      <c r="S9" s="368"/>
      <c r="T9" s="368"/>
      <c r="U9" s="368">
        <v>6150</v>
      </c>
      <c r="V9" s="368"/>
      <c r="W9" s="368"/>
      <c r="X9" s="349">
        <f t="shared" si="1"/>
        <v>839944.72000000009</v>
      </c>
      <c r="Y9" s="34">
        <v>22800</v>
      </c>
      <c r="Z9" s="353"/>
      <c r="AA9" s="34">
        <v>72584</v>
      </c>
      <c r="AB9" s="353"/>
      <c r="AC9" s="34">
        <v>42396</v>
      </c>
      <c r="AD9" s="353">
        <v>22800</v>
      </c>
      <c r="AE9" s="34"/>
      <c r="AF9" s="353"/>
      <c r="AG9" s="34">
        <v>31187</v>
      </c>
      <c r="AH9" s="353"/>
      <c r="AI9" s="34"/>
      <c r="AJ9" s="353"/>
      <c r="AK9" s="34"/>
      <c r="AL9" s="364">
        <f t="shared" si="2"/>
        <v>191767</v>
      </c>
      <c r="AM9" s="17">
        <f>VLOOKUP(B9,'[1]2018'!$A$7:$F$349,6,FALSE)</f>
        <v>74</v>
      </c>
      <c r="AN9" s="32">
        <f>VLOOKUP(A9,'[2]2018 (2)'!$B$1:$D$318,3,FALSE)</f>
        <v>426</v>
      </c>
      <c r="AO9" s="15">
        <v>-16488.96</v>
      </c>
      <c r="AP9" s="34"/>
      <c r="AQ9" s="34">
        <v>-0.37</v>
      </c>
      <c r="AR9" s="455">
        <v>1</v>
      </c>
    </row>
    <row r="10" spans="1:44" x14ac:dyDescent="0.25">
      <c r="A10" s="356">
        <v>5404</v>
      </c>
      <c r="B10" s="348" t="s">
        <v>118</v>
      </c>
      <c r="C10" s="348">
        <v>614485.27</v>
      </c>
      <c r="D10" s="348">
        <v>123535.09</v>
      </c>
      <c r="E10" s="348"/>
      <c r="F10" s="348"/>
      <c r="G10" s="348">
        <v>29720.799999999999</v>
      </c>
      <c r="H10" s="348">
        <v>19.05</v>
      </c>
      <c r="I10" s="348"/>
      <c r="J10" s="348">
        <v>2754.62</v>
      </c>
      <c r="K10" s="348">
        <v>565.75</v>
      </c>
      <c r="L10" s="348">
        <v>119006.35</v>
      </c>
      <c r="M10" s="349">
        <f t="shared" si="0"/>
        <v>890086.93</v>
      </c>
      <c r="N10" s="368">
        <v>22870.9</v>
      </c>
      <c r="O10" s="368">
        <v>6544.4</v>
      </c>
      <c r="P10" s="368">
        <v>17595.75</v>
      </c>
      <c r="Q10" s="368">
        <v>1993.73</v>
      </c>
      <c r="R10" s="368">
        <v>34218</v>
      </c>
      <c r="S10" s="368"/>
      <c r="T10" s="368">
        <v>1036.2</v>
      </c>
      <c r="U10" s="368">
        <v>6200</v>
      </c>
      <c r="V10" s="368"/>
      <c r="W10" s="368"/>
      <c r="X10" s="349">
        <f t="shared" si="1"/>
        <v>980545.91</v>
      </c>
      <c r="Y10" s="34">
        <v>5500</v>
      </c>
      <c r="Z10" s="353"/>
      <c r="AA10" s="34">
        <v>47701.85</v>
      </c>
      <c r="AB10" s="353"/>
      <c r="AC10" s="34">
        <v>36766</v>
      </c>
      <c r="AD10" s="353">
        <v>3850</v>
      </c>
      <c r="AE10" s="34"/>
      <c r="AF10" s="353"/>
      <c r="AG10" s="34">
        <v>5330.75</v>
      </c>
      <c r="AH10" s="353">
        <v>11691.75</v>
      </c>
      <c r="AI10" s="34"/>
      <c r="AJ10" s="353"/>
      <c r="AK10" s="34"/>
      <c r="AL10" s="364">
        <f t="shared" si="2"/>
        <v>110840.35</v>
      </c>
      <c r="AM10" s="17">
        <f>VLOOKUP(B10,'[1]2018'!$A$7:$F$349,6,FALSE)</f>
        <v>70</v>
      </c>
      <c r="AN10" s="32">
        <f>VLOOKUP(A10,'[2]2018 (2)'!$B$1:$D$318,3,FALSE)</f>
        <v>438</v>
      </c>
      <c r="AO10" s="15">
        <v>-6462.73</v>
      </c>
      <c r="AP10" s="34"/>
      <c r="AQ10" s="34">
        <v>-17.23</v>
      </c>
      <c r="AR10" s="455">
        <v>1.5</v>
      </c>
    </row>
    <row r="11" spans="1:44" x14ac:dyDescent="0.25">
      <c r="A11" s="356">
        <v>5405</v>
      </c>
      <c r="B11" s="348" t="s">
        <v>119</v>
      </c>
      <c r="C11" s="348">
        <v>3006343.17</v>
      </c>
      <c r="D11" s="348">
        <v>1233509.73</v>
      </c>
      <c r="E11" s="348"/>
      <c r="F11" s="348"/>
      <c r="G11" s="348">
        <v>99369.5</v>
      </c>
      <c r="H11" s="348">
        <v>4783.95</v>
      </c>
      <c r="I11" s="348">
        <v>167661.60999999999</v>
      </c>
      <c r="J11" s="348">
        <v>78110.41</v>
      </c>
      <c r="K11" s="348">
        <v>14245.65</v>
      </c>
      <c r="L11" s="348">
        <v>755763.85</v>
      </c>
      <c r="M11" s="349">
        <f t="shared" si="0"/>
        <v>5359787.870000001</v>
      </c>
      <c r="N11" s="368"/>
      <c r="O11" s="368">
        <v>850859.6</v>
      </c>
      <c r="P11" s="368">
        <v>436669.5</v>
      </c>
      <c r="Q11" s="368">
        <v>69386.649999999994</v>
      </c>
      <c r="R11" s="368">
        <v>288698.25</v>
      </c>
      <c r="S11" s="368">
        <v>450</v>
      </c>
      <c r="T11" s="368">
        <v>5022.8500000000004</v>
      </c>
      <c r="U11" s="368">
        <v>9850</v>
      </c>
      <c r="V11" s="368">
        <v>540</v>
      </c>
      <c r="W11" s="368"/>
      <c r="X11" s="349">
        <f t="shared" si="1"/>
        <v>7021264.7200000007</v>
      </c>
      <c r="Y11" s="34">
        <v>16632.099999999999</v>
      </c>
      <c r="Z11" s="353"/>
      <c r="AA11" s="34">
        <v>181237.9</v>
      </c>
      <c r="AB11" s="353"/>
      <c r="AC11" s="34">
        <v>410133.24</v>
      </c>
      <c r="AD11" s="353">
        <v>48314.35</v>
      </c>
      <c r="AE11" s="34"/>
      <c r="AF11" s="353"/>
      <c r="AG11" s="34"/>
      <c r="AH11" s="353"/>
      <c r="AI11" s="34"/>
      <c r="AJ11" s="353"/>
      <c r="AK11" s="34"/>
      <c r="AL11" s="364">
        <f t="shared" si="2"/>
        <v>656317.59</v>
      </c>
      <c r="AM11" s="17">
        <f>VLOOKUP(B11,'[1]2018'!$A$7:$F$349,6,FALSE)</f>
        <v>75</v>
      </c>
      <c r="AN11" s="32">
        <f>VLOOKUP(A11,'[2]2018 (2)'!$B$1:$D$318,3,FALSE)</f>
        <v>1332</v>
      </c>
      <c r="AO11" s="15">
        <v>-107816.78</v>
      </c>
      <c r="AP11" s="34"/>
      <c r="AQ11" s="34">
        <v>-1020.24</v>
      </c>
      <c r="AR11" s="455">
        <v>1.5</v>
      </c>
    </row>
    <row r="12" spans="1:44" x14ac:dyDescent="0.25">
      <c r="A12" s="356">
        <v>5406</v>
      </c>
      <c r="B12" s="348" t="s">
        <v>120</v>
      </c>
      <c r="C12" s="348">
        <v>1156924.05</v>
      </c>
      <c r="D12" s="348">
        <v>135830.73000000001</v>
      </c>
      <c r="E12" s="348"/>
      <c r="F12" s="348"/>
      <c r="G12" s="348">
        <v>64997.4</v>
      </c>
      <c r="H12" s="348">
        <v>5417.3</v>
      </c>
      <c r="I12" s="348"/>
      <c r="J12" s="348">
        <v>48594.14</v>
      </c>
      <c r="K12" s="348">
        <v>9162.85</v>
      </c>
      <c r="L12" s="348">
        <v>189281.05</v>
      </c>
      <c r="M12" s="349">
        <f t="shared" si="0"/>
        <v>1610207.52</v>
      </c>
      <c r="N12" s="368">
        <v>5025.7</v>
      </c>
      <c r="O12" s="368">
        <v>6382.9</v>
      </c>
      <c r="P12" s="368">
        <v>22417.05</v>
      </c>
      <c r="Q12" s="368">
        <v>15.05</v>
      </c>
      <c r="R12" s="368">
        <v>18573.349999999999</v>
      </c>
      <c r="S12" s="368"/>
      <c r="T12" s="368"/>
      <c r="U12" s="368">
        <v>7150</v>
      </c>
      <c r="V12" s="368">
        <v>197755</v>
      </c>
      <c r="W12" s="368"/>
      <c r="X12" s="349">
        <f t="shared" si="1"/>
        <v>1867526.57</v>
      </c>
      <c r="Y12" s="34">
        <v>4306.5</v>
      </c>
      <c r="Z12" s="353">
        <v>2638.65</v>
      </c>
      <c r="AA12" s="34">
        <v>275802.59999999998</v>
      </c>
      <c r="AB12" s="353"/>
      <c r="AC12" s="34">
        <v>123428.5</v>
      </c>
      <c r="AD12" s="353">
        <v>1690.25</v>
      </c>
      <c r="AE12" s="34">
        <v>3665.9</v>
      </c>
      <c r="AF12" s="353"/>
      <c r="AG12" s="34">
        <v>53702</v>
      </c>
      <c r="AH12" s="353">
        <v>53775.13</v>
      </c>
      <c r="AI12" s="34"/>
      <c r="AJ12" s="353"/>
      <c r="AK12" s="34"/>
      <c r="AL12" s="364">
        <f t="shared" si="2"/>
        <v>519009.53</v>
      </c>
      <c r="AM12" s="17">
        <f>VLOOKUP(B12,'[1]2018'!$A$7:$F$349,6,FALSE)</f>
        <v>71</v>
      </c>
      <c r="AN12" s="32">
        <f>VLOOKUP(A12,'[2]2018 (2)'!$B$1:$D$318,3,FALSE)</f>
        <v>946</v>
      </c>
      <c r="AO12" s="15">
        <v>-33929.61</v>
      </c>
      <c r="AP12" s="34"/>
      <c r="AQ12" s="34">
        <v>0</v>
      </c>
      <c r="AR12" s="455">
        <v>1.3</v>
      </c>
    </row>
    <row r="13" spans="1:44" x14ac:dyDescent="0.25">
      <c r="A13" s="356">
        <v>5407</v>
      </c>
      <c r="B13" s="348" t="s">
        <v>121</v>
      </c>
      <c r="C13" s="348">
        <v>4024623.49</v>
      </c>
      <c r="D13" s="348">
        <v>955580.7</v>
      </c>
      <c r="E13" s="348"/>
      <c r="F13" s="348"/>
      <c r="G13" s="348">
        <v>557603.05000000005</v>
      </c>
      <c r="H13" s="348">
        <v>88995.65</v>
      </c>
      <c r="I13" s="348">
        <v>103811.4</v>
      </c>
      <c r="J13" s="348">
        <v>530827.74</v>
      </c>
      <c r="K13" s="348">
        <v>56627.1</v>
      </c>
      <c r="L13" s="348">
        <v>1213009.55</v>
      </c>
      <c r="M13" s="349">
        <f t="shared" si="0"/>
        <v>7531078.6800000006</v>
      </c>
      <c r="N13" s="368">
        <v>40574.25</v>
      </c>
      <c r="O13" s="368">
        <v>64833.3</v>
      </c>
      <c r="P13" s="368">
        <v>240474.65</v>
      </c>
      <c r="Q13" s="368">
        <v>64255.360000000001</v>
      </c>
      <c r="R13" s="368">
        <v>116951.25</v>
      </c>
      <c r="S13" s="368">
        <v>27495.25</v>
      </c>
      <c r="T13" s="368"/>
      <c r="U13" s="368">
        <v>17050</v>
      </c>
      <c r="V13" s="368"/>
      <c r="W13" s="368"/>
      <c r="X13" s="349">
        <f t="shared" si="1"/>
        <v>8102712.7400000012</v>
      </c>
      <c r="Y13" s="34">
        <v>-213023.2</v>
      </c>
      <c r="Z13" s="353"/>
      <c r="AA13" s="34">
        <v>209573.75</v>
      </c>
      <c r="AB13" s="353"/>
      <c r="AC13" s="34">
        <v>479341.03</v>
      </c>
      <c r="AD13" s="353">
        <v>-213023.2</v>
      </c>
      <c r="AE13" s="34"/>
      <c r="AF13" s="353"/>
      <c r="AG13" s="34"/>
      <c r="AH13" s="353">
        <v>132487</v>
      </c>
      <c r="AI13" s="34"/>
      <c r="AJ13" s="353"/>
      <c r="AK13" s="34"/>
      <c r="AL13" s="364">
        <f t="shared" si="2"/>
        <v>395355.38</v>
      </c>
      <c r="AM13" s="17">
        <f>VLOOKUP(B13,'[1]2018'!$A$7:$F$349,6,FALSE)</f>
        <v>78</v>
      </c>
      <c r="AN13" s="32">
        <f>VLOOKUP(A13,'[2]2018 (2)'!$B$1:$D$318,3,FALSE)</f>
        <v>3939</v>
      </c>
      <c r="AO13" s="15">
        <v>-200535.16</v>
      </c>
      <c r="AP13" s="34"/>
      <c r="AQ13" s="34">
        <v>-390.55</v>
      </c>
      <c r="AR13" s="455">
        <v>1.5</v>
      </c>
    </row>
    <row r="14" spans="1:44" x14ac:dyDescent="0.25">
      <c r="A14" s="356">
        <v>5408</v>
      </c>
      <c r="B14" s="348" t="s">
        <v>122</v>
      </c>
      <c r="C14" s="348">
        <v>1826568.72</v>
      </c>
      <c r="D14" s="348">
        <v>207713.47</v>
      </c>
      <c r="E14" s="348"/>
      <c r="F14" s="348"/>
      <c r="G14" s="348">
        <v>741133.35</v>
      </c>
      <c r="H14" s="348">
        <v>7893.9</v>
      </c>
      <c r="I14" s="348"/>
      <c r="J14" s="348">
        <v>88283.43</v>
      </c>
      <c r="K14" s="348">
        <v>16158.25</v>
      </c>
      <c r="L14" s="348">
        <v>281673.84999999998</v>
      </c>
      <c r="M14" s="349">
        <f t="shared" si="0"/>
        <v>3169424.97</v>
      </c>
      <c r="N14" s="368">
        <v>139114.85</v>
      </c>
      <c r="O14" s="368"/>
      <c r="P14" s="368">
        <v>387372.55</v>
      </c>
      <c r="Q14" s="368">
        <v>8032.71</v>
      </c>
      <c r="R14" s="368">
        <v>50551.65</v>
      </c>
      <c r="S14" s="368"/>
      <c r="T14" s="368">
        <v>17206.7</v>
      </c>
      <c r="U14" s="368">
        <v>7800</v>
      </c>
      <c r="V14" s="368"/>
      <c r="W14" s="368"/>
      <c r="X14" s="349">
        <f t="shared" si="1"/>
        <v>3779503.43</v>
      </c>
      <c r="Y14" s="34">
        <v>168508.65</v>
      </c>
      <c r="Z14" s="353"/>
      <c r="AA14" s="34">
        <v>95925.8</v>
      </c>
      <c r="AB14" s="353">
        <v>42450.9</v>
      </c>
      <c r="AC14" s="34">
        <v>111467.55</v>
      </c>
      <c r="AD14" s="353">
        <v>121988.3</v>
      </c>
      <c r="AE14" s="34"/>
      <c r="AF14" s="353"/>
      <c r="AG14" s="34">
        <v>62791.3</v>
      </c>
      <c r="AH14" s="353">
        <v>57400.7</v>
      </c>
      <c r="AI14" s="34"/>
      <c r="AJ14" s="353"/>
      <c r="AK14" s="34"/>
      <c r="AL14" s="364">
        <f t="shared" si="2"/>
        <v>660533.20000000007</v>
      </c>
      <c r="AM14" s="17">
        <f>VLOOKUP(B14,'[1]2018'!$A$7:$F$349,6,FALSE)</f>
        <v>78.5</v>
      </c>
      <c r="AN14" s="32">
        <f>VLOOKUP(A14,'[2]2018 (2)'!$B$1:$D$318,3,FALSE)</f>
        <v>1113</v>
      </c>
      <c r="AO14" s="15">
        <v>-40391.29</v>
      </c>
      <c r="AP14" s="34"/>
      <c r="AQ14" s="34">
        <v>-224.14</v>
      </c>
      <c r="AR14" s="455">
        <v>1.5</v>
      </c>
    </row>
    <row r="15" spans="1:44" x14ac:dyDescent="0.25">
      <c r="A15" s="356">
        <v>5409</v>
      </c>
      <c r="B15" s="348" t="s">
        <v>123</v>
      </c>
      <c r="C15" s="348">
        <v>12953156.33</v>
      </c>
      <c r="D15" s="348">
        <v>4790266.2699999996</v>
      </c>
      <c r="E15" s="348"/>
      <c r="F15" s="348"/>
      <c r="G15" s="348">
        <v>874429</v>
      </c>
      <c r="H15" s="348">
        <v>78476.850000000006</v>
      </c>
      <c r="I15" s="348">
        <v>2663385.38</v>
      </c>
      <c r="J15" s="348">
        <v>636620.25</v>
      </c>
      <c r="K15" s="348">
        <v>116612.8</v>
      </c>
      <c r="L15" s="348">
        <v>4103008.55</v>
      </c>
      <c r="M15" s="349">
        <f t="shared" si="0"/>
        <v>26215955.430000003</v>
      </c>
      <c r="N15" s="368">
        <v>74320.850000000006</v>
      </c>
      <c r="O15" s="368">
        <v>1989328.1</v>
      </c>
      <c r="P15" s="368">
        <v>1463003.25</v>
      </c>
      <c r="Q15" s="368">
        <v>105851.69</v>
      </c>
      <c r="R15" s="368">
        <v>648955.65</v>
      </c>
      <c r="S15" s="368"/>
      <c r="T15" s="368"/>
      <c r="U15" s="368">
        <v>56900</v>
      </c>
      <c r="V15" s="368"/>
      <c r="W15" s="368"/>
      <c r="X15" s="349">
        <f t="shared" si="1"/>
        <v>30554314.970000006</v>
      </c>
      <c r="Y15" s="34">
        <v>145308.84</v>
      </c>
      <c r="Z15" s="353">
        <v>31612.59</v>
      </c>
      <c r="AA15" s="34">
        <v>2366664.1</v>
      </c>
      <c r="AB15" s="353"/>
      <c r="AC15" s="34">
        <v>1478741.25</v>
      </c>
      <c r="AD15" s="353">
        <v>264759.15000000002</v>
      </c>
      <c r="AE15" s="34">
        <v>63920.55</v>
      </c>
      <c r="AF15" s="353"/>
      <c r="AG15" s="34">
        <v>3265067.74</v>
      </c>
      <c r="AH15" s="353"/>
      <c r="AI15" s="34"/>
      <c r="AJ15" s="353"/>
      <c r="AK15" s="34"/>
      <c r="AL15" s="364">
        <f t="shared" si="2"/>
        <v>7616074.2200000007</v>
      </c>
      <c r="AM15" s="17">
        <f>VLOOKUP(B15,'[1]2018'!$A$7:$F$349,6,FALSE)</f>
        <v>68</v>
      </c>
      <c r="AN15" s="32">
        <f>VLOOKUP(A15,'[2]2018 (2)'!$B$1:$D$318,3,FALSE)</f>
        <v>7461</v>
      </c>
      <c r="AO15" s="15">
        <v>-272742.56</v>
      </c>
      <c r="AP15" s="34"/>
      <c r="AQ15" s="34">
        <v>-6460.57</v>
      </c>
      <c r="AR15" s="455">
        <v>1.3</v>
      </c>
    </row>
    <row r="16" spans="1:44" x14ac:dyDescent="0.25">
      <c r="A16" s="356">
        <v>5410</v>
      </c>
      <c r="B16" s="348" t="s">
        <v>135</v>
      </c>
      <c r="C16" s="348">
        <v>2498104.88</v>
      </c>
      <c r="D16" s="348">
        <v>507413.84</v>
      </c>
      <c r="E16" s="348"/>
      <c r="F16" s="348"/>
      <c r="G16" s="348">
        <v>52512.25</v>
      </c>
      <c r="H16" s="348">
        <v>1364.45</v>
      </c>
      <c r="I16" s="348"/>
      <c r="J16" s="348">
        <v>62143.42</v>
      </c>
      <c r="K16" s="348">
        <v>7310.15</v>
      </c>
      <c r="L16" s="348">
        <v>555593.55000000005</v>
      </c>
      <c r="M16" s="349">
        <f t="shared" si="0"/>
        <v>3684442.54</v>
      </c>
      <c r="N16" s="368"/>
      <c r="O16" s="368">
        <v>48586.2</v>
      </c>
      <c r="P16" s="368">
        <v>153604.75</v>
      </c>
      <c r="Q16" s="368">
        <v>80.61</v>
      </c>
      <c r="R16" s="368">
        <v>120544.2</v>
      </c>
      <c r="S16" s="368">
        <v>9174.15</v>
      </c>
      <c r="T16" s="368"/>
      <c r="U16" s="368">
        <v>16600</v>
      </c>
      <c r="V16" s="368">
        <v>3187.9</v>
      </c>
      <c r="W16" s="368"/>
      <c r="X16" s="349">
        <f t="shared" si="1"/>
        <v>4036220.35</v>
      </c>
      <c r="Y16" s="34">
        <v>16350.5</v>
      </c>
      <c r="Z16" s="353"/>
      <c r="AA16" s="34">
        <v>478044.35</v>
      </c>
      <c r="AB16" s="353"/>
      <c r="AC16" s="34">
        <v>259090.94</v>
      </c>
      <c r="AD16" s="353">
        <v>29637</v>
      </c>
      <c r="AE16" s="34"/>
      <c r="AF16" s="353"/>
      <c r="AG16" s="34">
        <v>323353.65000000002</v>
      </c>
      <c r="AH16" s="353">
        <v>57390.9</v>
      </c>
      <c r="AI16" s="34"/>
      <c r="AJ16" s="353">
        <v>32794.800000000003</v>
      </c>
      <c r="AK16" s="34"/>
      <c r="AL16" s="364">
        <f t="shared" si="2"/>
        <v>1196662.1399999999</v>
      </c>
      <c r="AM16" s="17">
        <f>VLOOKUP(B16,'[1]2018'!$A$7:$F$349,6,FALSE)</f>
        <v>78.5</v>
      </c>
      <c r="AN16" s="32">
        <f>VLOOKUP(A16,'[2]2018 (2)'!$B$1:$D$318,3,FALSE)</f>
        <v>1121</v>
      </c>
      <c r="AO16" s="15">
        <v>-85157.28</v>
      </c>
      <c r="AP16" s="34"/>
      <c r="AQ16" s="34">
        <v>-112.78</v>
      </c>
      <c r="AR16" s="455">
        <v>1.5</v>
      </c>
    </row>
    <row r="17" spans="1:44" x14ac:dyDescent="0.25">
      <c r="A17" s="356">
        <v>5411</v>
      </c>
      <c r="B17" s="348" t="s">
        <v>136</v>
      </c>
      <c r="C17" s="348">
        <v>3233252.44</v>
      </c>
      <c r="D17" s="348">
        <v>1275409.08</v>
      </c>
      <c r="E17" s="348"/>
      <c r="F17" s="348"/>
      <c r="G17" s="348">
        <v>74651.850000000006</v>
      </c>
      <c r="H17" s="348">
        <v>9771.25</v>
      </c>
      <c r="I17" s="348">
        <v>67080.78</v>
      </c>
      <c r="J17" s="348">
        <v>119038.02</v>
      </c>
      <c r="K17" s="348">
        <v>21713.05</v>
      </c>
      <c r="L17" s="348">
        <v>1180816.8</v>
      </c>
      <c r="M17" s="349">
        <f t="shared" si="0"/>
        <v>5981733.2699999986</v>
      </c>
      <c r="N17" s="368">
        <v>10324.950000000001</v>
      </c>
      <c r="O17" s="368">
        <v>123078.6</v>
      </c>
      <c r="P17" s="368">
        <v>354188.05</v>
      </c>
      <c r="Q17" s="368">
        <v>-114.66</v>
      </c>
      <c r="R17" s="368">
        <v>260238.1</v>
      </c>
      <c r="S17" s="368"/>
      <c r="T17" s="368">
        <v>10500</v>
      </c>
      <c r="U17" s="368">
        <v>11100</v>
      </c>
      <c r="V17" s="368"/>
      <c r="W17" s="368"/>
      <c r="X17" s="349">
        <f t="shared" si="1"/>
        <v>6751048.3099999977</v>
      </c>
      <c r="Y17" s="34">
        <v>5576</v>
      </c>
      <c r="Z17" s="353"/>
      <c r="AA17" s="34">
        <v>370604.15</v>
      </c>
      <c r="AB17" s="353"/>
      <c r="AC17" s="34">
        <v>501257.36</v>
      </c>
      <c r="AD17" s="353">
        <v>17984</v>
      </c>
      <c r="AE17" s="34"/>
      <c r="AF17" s="353"/>
      <c r="AG17" s="34">
        <v>1303981.3600000001</v>
      </c>
      <c r="AH17" s="353"/>
      <c r="AI17" s="34"/>
      <c r="AJ17" s="353"/>
      <c r="AK17" s="34">
        <v>29188.35</v>
      </c>
      <c r="AL17" s="364">
        <f t="shared" si="2"/>
        <v>2228591.2200000002</v>
      </c>
      <c r="AM17" s="17">
        <f>VLOOKUP(B17,'[1]2018'!$A$7:$F$349,6,FALSE)</f>
        <v>76</v>
      </c>
      <c r="AN17" s="32">
        <f>VLOOKUP(A17,'[2]2018 (2)'!$B$1:$D$318,3,FALSE)</f>
        <v>1446</v>
      </c>
      <c r="AO17" s="15">
        <v>-46070.25</v>
      </c>
      <c r="AP17" s="34"/>
      <c r="AQ17" s="34">
        <v>-608.16999999999996</v>
      </c>
      <c r="AR17" s="455">
        <v>1.5</v>
      </c>
    </row>
    <row r="18" spans="1:44" x14ac:dyDescent="0.25">
      <c r="A18" s="356">
        <v>5412</v>
      </c>
      <c r="B18" s="348" t="s">
        <v>137</v>
      </c>
      <c r="C18" s="348">
        <v>1129845.82</v>
      </c>
      <c r="D18" s="348">
        <v>148140.82999999999</v>
      </c>
      <c r="E18" s="348"/>
      <c r="F18" s="348"/>
      <c r="G18" s="348">
        <v>272436.84999999998</v>
      </c>
      <c r="H18" s="348">
        <v>14118.3</v>
      </c>
      <c r="I18" s="348">
        <v>26681.200000000001</v>
      </c>
      <c r="J18" s="348">
        <v>83177.75</v>
      </c>
      <c r="K18" s="348">
        <v>48414.7</v>
      </c>
      <c r="L18" s="348">
        <v>217898.9</v>
      </c>
      <c r="M18" s="349">
        <f t="shared" si="0"/>
        <v>1940714.3499999999</v>
      </c>
      <c r="N18" s="368">
        <v>91968.35</v>
      </c>
      <c r="O18" s="368"/>
      <c r="P18" s="368">
        <v>581927.75</v>
      </c>
      <c r="Q18" s="368">
        <v>7537.12</v>
      </c>
      <c r="R18" s="368">
        <v>242241.05</v>
      </c>
      <c r="S18" s="368"/>
      <c r="T18" s="368"/>
      <c r="U18" s="368">
        <v>4450</v>
      </c>
      <c r="V18" s="368"/>
      <c r="W18" s="368"/>
      <c r="X18" s="349">
        <f t="shared" si="1"/>
        <v>2868838.62</v>
      </c>
      <c r="Y18" s="34"/>
      <c r="Z18" s="353">
        <v>4400</v>
      </c>
      <c r="AA18" s="34"/>
      <c r="AB18" s="353">
        <v>156395.26</v>
      </c>
      <c r="AC18" s="34"/>
      <c r="AD18" s="353">
        <v>94287.3</v>
      </c>
      <c r="AE18" s="34">
        <v>5280</v>
      </c>
      <c r="AF18" s="353"/>
      <c r="AG18" s="34">
        <v>502.5</v>
      </c>
      <c r="AH18" s="353">
        <v>61439.4</v>
      </c>
      <c r="AI18" s="34"/>
      <c r="AJ18" s="353"/>
      <c r="AK18" s="34"/>
      <c r="AL18" s="364">
        <f t="shared" si="2"/>
        <v>322304.46000000002</v>
      </c>
      <c r="AM18" s="17">
        <f>VLOOKUP(B18,'[1]2018'!$A$7:$F$349,6,FALSE)</f>
        <v>67.5</v>
      </c>
      <c r="AN18" s="32">
        <f>VLOOKUP(A18,'[2]2018 (2)'!$B$1:$D$318,3,FALSE)</f>
        <v>826</v>
      </c>
      <c r="AO18" s="15">
        <v>-51995.75</v>
      </c>
      <c r="AP18" s="34"/>
      <c r="AQ18" s="34">
        <v>-62.62</v>
      </c>
      <c r="AR18" s="455">
        <v>1</v>
      </c>
    </row>
    <row r="19" spans="1:44" x14ac:dyDescent="0.25">
      <c r="A19" s="356">
        <v>5413</v>
      </c>
      <c r="B19" s="348" t="s">
        <v>138</v>
      </c>
      <c r="C19" s="348">
        <v>1906394.33</v>
      </c>
      <c r="D19" s="348">
        <v>218028.58</v>
      </c>
      <c r="E19" s="348"/>
      <c r="F19" s="348"/>
      <c r="G19" s="348">
        <v>230724.45</v>
      </c>
      <c r="H19" s="348">
        <v>1153.4000000000001</v>
      </c>
      <c r="I19" s="348"/>
      <c r="J19" s="348">
        <v>101427.47</v>
      </c>
      <c r="K19" s="348">
        <v>33889.550000000003</v>
      </c>
      <c r="L19" s="348">
        <v>244739.8</v>
      </c>
      <c r="M19" s="349">
        <f t="shared" si="0"/>
        <v>2736357.58</v>
      </c>
      <c r="N19" s="368">
        <v>228358.3</v>
      </c>
      <c r="O19" s="368">
        <v>26964.3</v>
      </c>
      <c r="P19" s="368">
        <v>247564.85</v>
      </c>
      <c r="Q19" s="368">
        <v>23241.56</v>
      </c>
      <c r="R19" s="368">
        <v>87070.45</v>
      </c>
      <c r="S19" s="368"/>
      <c r="T19" s="368"/>
      <c r="U19" s="368">
        <v>12125</v>
      </c>
      <c r="V19" s="368"/>
      <c r="W19" s="368"/>
      <c r="X19" s="349">
        <f t="shared" si="1"/>
        <v>3361682.04</v>
      </c>
      <c r="Y19" s="34">
        <v>30340</v>
      </c>
      <c r="Z19" s="34">
        <v>11238</v>
      </c>
      <c r="AA19" s="34">
        <v>130693.35</v>
      </c>
      <c r="AB19" s="34" t="s">
        <v>649</v>
      </c>
      <c r="AC19" s="34">
        <v>197088.94</v>
      </c>
      <c r="AD19" s="34">
        <v>44845.599999999999</v>
      </c>
      <c r="AE19" s="34">
        <v>31329.9</v>
      </c>
      <c r="AF19" s="34" t="s">
        <v>649</v>
      </c>
      <c r="AG19" s="34" t="s">
        <v>649</v>
      </c>
      <c r="AH19" s="34">
        <v>72103.05</v>
      </c>
      <c r="AI19" s="34"/>
      <c r="AJ19" s="34">
        <v>20600.849999999999</v>
      </c>
      <c r="AK19" s="34"/>
      <c r="AL19" s="364">
        <f t="shared" si="2"/>
        <v>538239.69000000006</v>
      </c>
      <c r="AM19" s="17">
        <f>VLOOKUP(B19,'[1]2018'!$A$7:$F$349,6,FALSE)</f>
        <v>68</v>
      </c>
      <c r="AN19" s="32">
        <f>VLOOKUP(A19,'[2]2018 (2)'!$B$1:$D$318,3,FALSE)</f>
        <v>1775</v>
      </c>
      <c r="AO19" s="15">
        <v>-69426.48</v>
      </c>
      <c r="AP19" s="34"/>
      <c r="AQ19" s="34">
        <v>-76.510000000000005</v>
      </c>
      <c r="AR19" s="455">
        <v>1</v>
      </c>
    </row>
    <row r="20" spans="1:44" x14ac:dyDescent="0.25">
      <c r="A20" s="356">
        <v>5414</v>
      </c>
      <c r="B20" s="348" t="s">
        <v>139</v>
      </c>
      <c r="C20" s="348">
        <v>7730927.29</v>
      </c>
      <c r="D20" s="348">
        <v>1277286.3700000001</v>
      </c>
      <c r="E20" s="348"/>
      <c r="F20" s="348"/>
      <c r="G20" s="348">
        <v>486759.55</v>
      </c>
      <c r="H20" s="348">
        <v>168349.15</v>
      </c>
      <c r="I20" s="348">
        <v>137304.20000000001</v>
      </c>
      <c r="J20" s="348">
        <v>500025.99</v>
      </c>
      <c r="K20" s="348">
        <v>150985.95000000001</v>
      </c>
      <c r="L20" s="348">
        <v>1200106.1000000001</v>
      </c>
      <c r="M20" s="349">
        <f t="shared" si="0"/>
        <v>11651744.6</v>
      </c>
      <c r="N20" s="368">
        <v>1387107.6</v>
      </c>
      <c r="O20" s="368">
        <v>640549.19999999995</v>
      </c>
      <c r="P20" s="368">
        <v>799684.8</v>
      </c>
      <c r="Q20" s="368">
        <v>35069.129999999997</v>
      </c>
      <c r="R20" s="368">
        <v>227065.15</v>
      </c>
      <c r="S20" s="368"/>
      <c r="T20" s="368"/>
      <c r="U20" s="368">
        <v>31280</v>
      </c>
      <c r="V20" s="368"/>
      <c r="W20" s="368"/>
      <c r="X20" s="349">
        <f t="shared" si="1"/>
        <v>14772500.48</v>
      </c>
      <c r="Y20" s="34">
        <v>110287.95</v>
      </c>
      <c r="Z20" s="353"/>
      <c r="AA20" s="34">
        <v>1123383.1000000001</v>
      </c>
      <c r="AB20" s="353"/>
      <c r="AC20" s="34">
        <v>857102.45</v>
      </c>
      <c r="AD20" s="353">
        <v>141323.70000000001</v>
      </c>
      <c r="AE20" s="34"/>
      <c r="AF20" s="353"/>
      <c r="AG20" s="34">
        <v>76133</v>
      </c>
      <c r="AH20" s="353">
        <v>220132.8</v>
      </c>
      <c r="AI20" s="34"/>
      <c r="AJ20" s="353">
        <v>125790.15</v>
      </c>
      <c r="AK20" s="34"/>
      <c r="AL20" s="364">
        <f t="shared" si="2"/>
        <v>2654153.15</v>
      </c>
      <c r="AM20" s="17">
        <f>VLOOKUP(B20,'[1]2018'!$A$7:$F$349,6,FALSE)</f>
        <v>69</v>
      </c>
      <c r="AN20" s="32">
        <f>VLOOKUP(A20,'[2]2018 (2)'!$B$1:$D$318,3,FALSE)</f>
        <v>5771</v>
      </c>
      <c r="AO20" s="15">
        <v>-256734.91</v>
      </c>
      <c r="AP20" s="34"/>
      <c r="AQ20" s="34">
        <v>-843.06</v>
      </c>
      <c r="AR20" s="455">
        <v>1</v>
      </c>
    </row>
    <row r="21" spans="1:44" x14ac:dyDescent="0.25">
      <c r="A21" s="356">
        <v>5415</v>
      </c>
      <c r="B21" s="348" t="s">
        <v>77</v>
      </c>
      <c r="C21" s="348">
        <v>1745980.2</v>
      </c>
      <c r="D21" s="348">
        <v>272376.08</v>
      </c>
      <c r="E21" s="348"/>
      <c r="F21" s="348"/>
      <c r="G21" s="348">
        <v>190573.25</v>
      </c>
      <c r="H21" s="348">
        <v>1223.3</v>
      </c>
      <c r="I21" s="348">
        <v>567.5</v>
      </c>
      <c r="J21" s="348">
        <v>64534.82</v>
      </c>
      <c r="K21" s="348">
        <v>8444.25</v>
      </c>
      <c r="L21" s="348">
        <v>309611.55</v>
      </c>
      <c r="M21" s="349">
        <f t="shared" si="0"/>
        <v>2593310.9499999997</v>
      </c>
      <c r="N21" s="368">
        <v>37308.5</v>
      </c>
      <c r="O21" s="368">
        <v>1177.9000000000001</v>
      </c>
      <c r="P21" s="368">
        <v>90705.75</v>
      </c>
      <c r="Q21" s="368">
        <v>11963.97</v>
      </c>
      <c r="R21" s="368">
        <v>47979.8</v>
      </c>
      <c r="S21" s="368"/>
      <c r="T21" s="368"/>
      <c r="U21" s="368">
        <v>8300</v>
      </c>
      <c r="V21" s="368"/>
      <c r="W21" s="368"/>
      <c r="X21" s="349">
        <f t="shared" si="1"/>
        <v>2790746.8699999996</v>
      </c>
      <c r="Y21" s="34">
        <v>34766.800000000003</v>
      </c>
      <c r="Z21" s="353"/>
      <c r="AA21" s="34">
        <v>211642.73</v>
      </c>
      <c r="AB21" s="353"/>
      <c r="AC21" s="34">
        <v>41222.839999999997</v>
      </c>
      <c r="AD21" s="353">
        <v>49872.95</v>
      </c>
      <c r="AE21" s="34"/>
      <c r="AF21" s="353"/>
      <c r="AG21" s="34">
        <v>30296.5</v>
      </c>
      <c r="AH21" s="353">
        <v>35985.4</v>
      </c>
      <c r="AI21" s="34"/>
      <c r="AJ21" s="353"/>
      <c r="AK21" s="34">
        <v>35985.4</v>
      </c>
      <c r="AL21" s="364">
        <f t="shared" si="2"/>
        <v>439772.62000000005</v>
      </c>
      <c r="AM21" s="17">
        <f>VLOOKUP(B21,'[1]2018'!$A$7:$F$349,6,FALSE)</f>
        <v>71.5</v>
      </c>
      <c r="AN21" s="32">
        <f>VLOOKUP(A21,'[2]2018 (2)'!$B$1:$D$318,3,FALSE)</f>
        <v>1066</v>
      </c>
      <c r="AO21" s="15">
        <v>-28198.14</v>
      </c>
      <c r="AP21" s="34"/>
      <c r="AQ21" s="34">
        <v>-634.12</v>
      </c>
      <c r="AR21" s="455">
        <v>1.5</v>
      </c>
    </row>
    <row r="22" spans="1:44" x14ac:dyDescent="0.25">
      <c r="A22" s="356">
        <v>5421</v>
      </c>
      <c r="B22" s="348" t="s">
        <v>78</v>
      </c>
      <c r="C22" s="348">
        <v>3985676.47</v>
      </c>
      <c r="D22" s="348">
        <v>876468.74</v>
      </c>
      <c r="E22" s="348"/>
      <c r="F22" s="348"/>
      <c r="G22" s="348">
        <v>146275.4</v>
      </c>
      <c r="H22" s="348">
        <v>85942.55</v>
      </c>
      <c r="I22" s="348">
        <v>-387052.39</v>
      </c>
      <c r="J22" s="348">
        <v>214893.62</v>
      </c>
      <c r="K22" s="348">
        <v>12675.65</v>
      </c>
      <c r="L22" s="348">
        <v>289507.84999999998</v>
      </c>
      <c r="M22" s="349">
        <f t="shared" si="0"/>
        <v>5224387.8900000006</v>
      </c>
      <c r="N22" s="368">
        <v>27569.15</v>
      </c>
      <c r="O22" s="368">
        <v>2947.5</v>
      </c>
      <c r="P22" s="368">
        <v>109777.35</v>
      </c>
      <c r="Q22" s="368">
        <v>1238.24</v>
      </c>
      <c r="R22" s="368">
        <v>70069.399999999994</v>
      </c>
      <c r="S22" s="368"/>
      <c r="T22" s="368">
        <v>1583.7</v>
      </c>
      <c r="U22" s="368">
        <v>9600</v>
      </c>
      <c r="V22" s="368"/>
      <c r="W22" s="368"/>
      <c r="X22" s="349">
        <f t="shared" si="1"/>
        <v>5447173.2300000014</v>
      </c>
      <c r="Y22" s="34">
        <v>17205</v>
      </c>
      <c r="Z22" s="353"/>
      <c r="AA22" s="34">
        <v>362414.65</v>
      </c>
      <c r="AB22" s="353"/>
      <c r="AC22" s="34">
        <v>215004.92</v>
      </c>
      <c r="AD22" s="353">
        <v>28350</v>
      </c>
      <c r="AE22" s="34"/>
      <c r="AF22" s="353"/>
      <c r="AG22" s="34"/>
      <c r="AH22" s="353"/>
      <c r="AI22" s="34"/>
      <c r="AJ22" s="353"/>
      <c r="AK22" s="34"/>
      <c r="AL22" s="364">
        <f t="shared" si="2"/>
        <v>622974.57000000007</v>
      </c>
      <c r="AM22" s="17">
        <f>VLOOKUP(B22,'[1]2018'!$A$7:$F$349,6,FALSE)</f>
        <v>76</v>
      </c>
      <c r="AN22" s="32">
        <f>VLOOKUP(A22,'[2]2018 (2)'!$B$1:$D$318,3,FALSE)</f>
        <v>1469</v>
      </c>
      <c r="AO22" s="15">
        <v>-83924.68</v>
      </c>
      <c r="AP22" s="34"/>
      <c r="AQ22" s="34">
        <v>-1675.87</v>
      </c>
      <c r="AR22" s="455">
        <v>1</v>
      </c>
    </row>
    <row r="23" spans="1:44" x14ac:dyDescent="0.25">
      <c r="A23" s="356">
        <v>5422</v>
      </c>
      <c r="B23" s="348" t="s">
        <v>79</v>
      </c>
      <c r="C23" s="348">
        <v>9267611.0500000007</v>
      </c>
      <c r="D23" s="348">
        <v>1672049.4</v>
      </c>
      <c r="E23" s="348"/>
      <c r="F23" s="348"/>
      <c r="G23" s="348">
        <v>3179230.5</v>
      </c>
      <c r="H23" s="348">
        <v>156701.6</v>
      </c>
      <c r="I23" s="348">
        <v>240354.05</v>
      </c>
      <c r="J23" s="348">
        <v>669107.03</v>
      </c>
      <c r="K23" s="348">
        <v>185342.2</v>
      </c>
      <c r="L23" s="348">
        <v>944512.26</v>
      </c>
      <c r="M23" s="349">
        <f t="shared" si="0"/>
        <v>16314908.09</v>
      </c>
      <c r="N23" s="368">
        <v>883114.1</v>
      </c>
      <c r="O23" s="368">
        <v>461684.8</v>
      </c>
      <c r="P23" s="368">
        <v>446452.45</v>
      </c>
      <c r="Q23" s="368">
        <v>4139.51</v>
      </c>
      <c r="R23" s="368">
        <v>1448074.1</v>
      </c>
      <c r="S23" s="368">
        <v>650</v>
      </c>
      <c r="T23" s="368">
        <v>14767.8</v>
      </c>
      <c r="U23" s="368">
        <v>24300</v>
      </c>
      <c r="V23" s="368"/>
      <c r="W23" s="368"/>
      <c r="X23" s="349">
        <f t="shared" si="1"/>
        <v>19598090.850000005</v>
      </c>
      <c r="Y23" s="34">
        <v>224937.29</v>
      </c>
      <c r="Z23" s="34">
        <v>0</v>
      </c>
      <c r="AA23" s="34">
        <v>509842.59</v>
      </c>
      <c r="AB23" s="34">
        <v>0</v>
      </c>
      <c r="AC23" s="34">
        <v>283069.01</v>
      </c>
      <c r="AD23" s="34">
        <v>238746.2</v>
      </c>
      <c r="AE23" s="34">
        <v>0</v>
      </c>
      <c r="AF23" s="34">
        <v>0</v>
      </c>
      <c r="AG23" s="34">
        <v>0</v>
      </c>
      <c r="AH23" s="34">
        <v>217848</v>
      </c>
      <c r="AI23" s="34">
        <v>0</v>
      </c>
      <c r="AJ23" s="34">
        <v>0</v>
      </c>
      <c r="AK23" s="34">
        <v>0</v>
      </c>
      <c r="AL23" s="364">
        <f t="shared" si="2"/>
        <v>1474443.09</v>
      </c>
      <c r="AM23" s="17">
        <f>VLOOKUP(B23,'[1]2018'!$A$7:$F$349,6,FALSE)</f>
        <v>68</v>
      </c>
      <c r="AN23" s="32">
        <f>VLOOKUP(A23,'[2]2018 (2)'!$B$1:$D$318,3,FALSE)</f>
        <v>3242</v>
      </c>
      <c r="AO23" s="15">
        <v>-84992.53</v>
      </c>
      <c r="AP23" s="34"/>
      <c r="AQ23" s="34">
        <v>-1803.41</v>
      </c>
      <c r="AR23" s="455">
        <v>1</v>
      </c>
    </row>
    <row r="24" spans="1:44" x14ac:dyDescent="0.25">
      <c r="A24" s="356">
        <v>5423</v>
      </c>
      <c r="B24" s="348" t="s">
        <v>80</v>
      </c>
      <c r="C24" s="348">
        <v>886334.04</v>
      </c>
      <c r="D24" s="348">
        <v>120359.46</v>
      </c>
      <c r="E24" s="348"/>
      <c r="F24" s="348">
        <v>2730</v>
      </c>
      <c r="G24" s="348">
        <v>44724.75</v>
      </c>
      <c r="H24" s="348">
        <v>1586.15</v>
      </c>
      <c r="I24" s="348"/>
      <c r="J24" s="348">
        <v>60665.62</v>
      </c>
      <c r="K24" s="348">
        <v>3179.05</v>
      </c>
      <c r="L24" s="348">
        <v>37255.5</v>
      </c>
      <c r="M24" s="349">
        <f t="shared" si="0"/>
        <v>1156834.57</v>
      </c>
      <c r="N24" s="368">
        <v>20050.099999999999</v>
      </c>
      <c r="O24" s="368"/>
      <c r="P24" s="368">
        <v>20222.8</v>
      </c>
      <c r="Q24" s="368">
        <v>266.7</v>
      </c>
      <c r="R24" s="368">
        <v>14117.25</v>
      </c>
      <c r="S24" s="368">
        <v>150</v>
      </c>
      <c r="T24" s="368">
        <v>1186.2</v>
      </c>
      <c r="U24" s="368">
        <v>1450</v>
      </c>
      <c r="V24" s="368"/>
      <c r="W24" s="368"/>
      <c r="X24" s="349">
        <f t="shared" si="1"/>
        <v>1214277.6200000001</v>
      </c>
      <c r="Y24" s="34">
        <v>31726.5</v>
      </c>
      <c r="Z24" s="353"/>
      <c r="AA24" s="34">
        <v>135430.75</v>
      </c>
      <c r="AB24" s="353"/>
      <c r="AC24" s="34">
        <v>25587.5</v>
      </c>
      <c r="AD24" s="353">
        <v>75115</v>
      </c>
      <c r="AE24" s="34"/>
      <c r="AF24" s="353"/>
      <c r="AG24" s="34"/>
      <c r="AH24" s="353">
        <v>12088.55</v>
      </c>
      <c r="AI24" s="34"/>
      <c r="AJ24" s="353"/>
      <c r="AK24" s="34"/>
      <c r="AL24" s="364">
        <f t="shared" si="2"/>
        <v>279948.3</v>
      </c>
      <c r="AM24" s="17">
        <f>VLOOKUP(B24,'[1]2018'!$A$7:$F$349,6,FALSE)</f>
        <v>73</v>
      </c>
      <c r="AN24" s="32">
        <f>VLOOKUP(A24,'[2]2018 (2)'!$B$1:$D$318,3,FALSE)</f>
        <v>536</v>
      </c>
      <c r="AO24" s="15">
        <v>-185172.08</v>
      </c>
      <c r="AP24" s="34"/>
      <c r="AQ24" s="347">
        <v>-214.02</v>
      </c>
      <c r="AR24" s="455">
        <v>0.5</v>
      </c>
    </row>
    <row r="25" spans="1:44" x14ac:dyDescent="0.25">
      <c r="A25" s="356">
        <v>5424</v>
      </c>
      <c r="B25" s="348" t="s">
        <v>81</v>
      </c>
      <c r="C25" s="348">
        <v>621405.15</v>
      </c>
      <c r="D25" s="348">
        <v>67691.42</v>
      </c>
      <c r="E25" s="348"/>
      <c r="F25" s="348"/>
      <c r="G25" s="348">
        <v>-614.95000000000005</v>
      </c>
      <c r="H25" s="348">
        <v>358.1</v>
      </c>
      <c r="I25" s="348">
        <v>-741.75</v>
      </c>
      <c r="J25" s="348">
        <v>-7071.08</v>
      </c>
      <c r="K25" s="348">
        <v>767.1</v>
      </c>
      <c r="L25" s="348">
        <v>49339.9</v>
      </c>
      <c r="M25" s="349">
        <f t="shared" si="0"/>
        <v>731133.89000000013</v>
      </c>
      <c r="N25" s="368"/>
      <c r="O25" s="368"/>
      <c r="P25" s="368">
        <v>4002.35</v>
      </c>
      <c r="Q25" s="368"/>
      <c r="R25" s="368">
        <v>4550</v>
      </c>
      <c r="S25" s="368"/>
      <c r="T25" s="368"/>
      <c r="U25" s="368">
        <v>1750</v>
      </c>
      <c r="V25" s="368"/>
      <c r="W25" s="368"/>
      <c r="X25" s="349">
        <f t="shared" si="1"/>
        <v>741436.24000000011</v>
      </c>
      <c r="Y25" s="34"/>
      <c r="Z25" s="353"/>
      <c r="AA25" s="34">
        <v>39475.85</v>
      </c>
      <c r="AB25" s="353">
        <v>9697.0499999999993</v>
      </c>
      <c r="AC25" s="34">
        <v>13089.7</v>
      </c>
      <c r="AD25" s="353"/>
      <c r="AE25" s="34"/>
      <c r="AF25" s="353"/>
      <c r="AG25" s="34"/>
      <c r="AH25" s="353">
        <v>7290.8</v>
      </c>
      <c r="AI25" s="34"/>
      <c r="AJ25" s="353"/>
      <c r="AK25" s="34"/>
      <c r="AL25" s="364">
        <f t="shared" si="2"/>
        <v>69553.399999999994</v>
      </c>
      <c r="AM25" s="17">
        <f>VLOOKUP(B25,'[1]2018'!$A$7:$F$349,6,FALSE)</f>
        <v>77</v>
      </c>
      <c r="AN25" s="32">
        <f>VLOOKUP(A25,'[2]2018 (2)'!$B$1:$D$318,3,FALSE)</f>
        <v>307</v>
      </c>
      <c r="AO25" s="15">
        <v>-15019.7</v>
      </c>
      <c r="AP25" s="34"/>
      <c r="AQ25" s="34">
        <v>-196.35</v>
      </c>
      <c r="AR25" s="455">
        <v>1</v>
      </c>
    </row>
    <row r="26" spans="1:44" x14ac:dyDescent="0.25">
      <c r="A26" s="356">
        <v>5425</v>
      </c>
      <c r="B26" s="348" t="s">
        <v>82</v>
      </c>
      <c r="C26" s="348">
        <v>2102078.29</v>
      </c>
      <c r="D26" s="348">
        <v>243700.09</v>
      </c>
      <c r="E26" s="348"/>
      <c r="F26" s="348"/>
      <c r="G26" s="348">
        <v>139129.25</v>
      </c>
      <c r="H26" s="348">
        <v>868.6</v>
      </c>
      <c r="I26" s="348"/>
      <c r="J26" s="348">
        <v>143065.01999999999</v>
      </c>
      <c r="K26" s="348">
        <v>16082.9</v>
      </c>
      <c r="L26" s="348">
        <v>114347.15</v>
      </c>
      <c r="M26" s="349">
        <f t="shared" si="0"/>
        <v>2759271.3</v>
      </c>
      <c r="N26" s="368">
        <v>57880.65</v>
      </c>
      <c r="O26" s="368">
        <v>45543.5</v>
      </c>
      <c r="P26" s="368">
        <v>65086.1</v>
      </c>
      <c r="Q26" s="368">
        <v>16103.51</v>
      </c>
      <c r="R26" s="368">
        <v>42665.15</v>
      </c>
      <c r="S26" s="368">
        <v>450</v>
      </c>
      <c r="T26" s="368">
        <v>1415</v>
      </c>
      <c r="U26" s="368">
        <v>12850</v>
      </c>
      <c r="V26" s="368">
        <v>6556</v>
      </c>
      <c r="W26" s="368"/>
      <c r="X26" s="349">
        <f t="shared" si="1"/>
        <v>3007821.2099999995</v>
      </c>
      <c r="Y26" s="34">
        <v>46097</v>
      </c>
      <c r="Z26" s="353"/>
      <c r="AA26" s="34">
        <v>180718.65</v>
      </c>
      <c r="AB26" s="353"/>
      <c r="AC26" s="34">
        <v>150275.74</v>
      </c>
      <c r="AD26" s="353">
        <v>24710</v>
      </c>
      <c r="AE26" s="34"/>
      <c r="AF26" s="353"/>
      <c r="AG26" s="34"/>
      <c r="AH26" s="353">
        <v>54619.9</v>
      </c>
      <c r="AI26" s="34"/>
      <c r="AJ26" s="353"/>
      <c r="AK26" s="34"/>
      <c r="AL26" s="364">
        <f t="shared" si="2"/>
        <v>456421.29000000004</v>
      </c>
      <c r="AM26" s="17">
        <f>VLOOKUP(B26,'[1]2018'!$A$7:$F$349,6,FALSE)</f>
        <v>70</v>
      </c>
      <c r="AN26" s="32">
        <f>VLOOKUP(A26,'[2]2018 (2)'!$B$1:$D$318,3,FALSE)</f>
        <v>1595</v>
      </c>
      <c r="AO26" s="15">
        <v>-98388.38</v>
      </c>
      <c r="AP26" s="34"/>
      <c r="AQ26" s="34">
        <v>-2.61</v>
      </c>
      <c r="AR26" s="455">
        <v>0.57999999999999996</v>
      </c>
    </row>
    <row r="27" spans="1:44" x14ac:dyDescent="0.25">
      <c r="A27" s="356">
        <v>5426</v>
      </c>
      <c r="B27" s="348" t="s">
        <v>76</v>
      </c>
      <c r="C27" s="348">
        <v>1573511.9</v>
      </c>
      <c r="D27" s="348">
        <v>852528.68</v>
      </c>
      <c r="E27" s="348"/>
      <c r="F27" s="348"/>
      <c r="G27" s="348">
        <v>19023.400000000001</v>
      </c>
      <c r="H27" s="348">
        <v>1711.3</v>
      </c>
      <c r="I27" s="348">
        <v>645105.65</v>
      </c>
      <c r="J27" s="348">
        <v>22792.9</v>
      </c>
      <c r="K27" s="348">
        <v>6577.3</v>
      </c>
      <c r="L27" s="348">
        <v>291952.55</v>
      </c>
      <c r="M27" s="349">
        <f t="shared" si="0"/>
        <v>3413203.6799999992</v>
      </c>
      <c r="N27" s="368">
        <v>16551.05</v>
      </c>
      <c r="O27" s="368">
        <v>2170859.9</v>
      </c>
      <c r="P27" s="368">
        <v>103518.8</v>
      </c>
      <c r="Q27" s="368">
        <v>-6543.37</v>
      </c>
      <c r="R27" s="368">
        <v>2479.15</v>
      </c>
      <c r="S27" s="368"/>
      <c r="T27" s="368">
        <v>700</v>
      </c>
      <c r="U27" s="368">
        <v>4800</v>
      </c>
      <c r="V27" s="368">
        <v>40570.35</v>
      </c>
      <c r="W27" s="368"/>
      <c r="X27" s="349">
        <f t="shared" si="1"/>
        <v>5746139.5599999987</v>
      </c>
      <c r="Y27" s="34">
        <v>22039.599999999999</v>
      </c>
      <c r="Z27" s="353"/>
      <c r="AA27" s="34">
        <v>266617.5</v>
      </c>
      <c r="AB27" s="353"/>
      <c r="AC27" s="34">
        <v>44825</v>
      </c>
      <c r="AD27" s="353"/>
      <c r="AE27" s="34"/>
      <c r="AF27" s="353"/>
      <c r="AG27" s="34"/>
      <c r="AH27" s="353"/>
      <c r="AI27" s="34"/>
      <c r="AJ27" s="353"/>
      <c r="AK27" s="34"/>
      <c r="AL27" s="364">
        <f t="shared" si="2"/>
        <v>333482.09999999998</v>
      </c>
      <c r="AM27" s="17">
        <f>VLOOKUP(B27,'[1]2018'!$A$7:$F$349,6,FALSE)</f>
        <v>66</v>
      </c>
      <c r="AN27" s="32">
        <f>VLOOKUP(A27,'[2]2018 (2)'!$B$1:$D$318,3,FALSE)</f>
        <v>490</v>
      </c>
      <c r="AO27" s="15">
        <v>-5555.45</v>
      </c>
      <c r="AP27" s="34"/>
      <c r="AQ27" s="34">
        <v>-1636.76</v>
      </c>
      <c r="AR27" s="455">
        <v>1.2</v>
      </c>
    </row>
    <row r="28" spans="1:44" x14ac:dyDescent="0.25">
      <c r="A28" s="356">
        <v>5427</v>
      </c>
      <c r="B28" s="348" t="s">
        <v>348</v>
      </c>
      <c r="C28" s="348">
        <v>2990325.98</v>
      </c>
      <c r="D28" s="348">
        <v>938313.55</v>
      </c>
      <c r="E28" s="348"/>
      <c r="F28" s="348"/>
      <c r="G28" s="348">
        <v>32684.799999999999</v>
      </c>
      <c r="H28" s="348">
        <v>13.35</v>
      </c>
      <c r="I28" s="348">
        <v>395011.25</v>
      </c>
      <c r="J28" s="348">
        <v>49438.61</v>
      </c>
      <c r="K28" s="348">
        <v>4090.2</v>
      </c>
      <c r="L28" s="348">
        <v>447774.05</v>
      </c>
      <c r="M28" s="349">
        <f t="shared" si="0"/>
        <v>4857651.79</v>
      </c>
      <c r="N28" s="368">
        <v>11374.1</v>
      </c>
      <c r="O28" s="368">
        <v>37690.199999999997</v>
      </c>
      <c r="P28" s="368">
        <v>252488.85</v>
      </c>
      <c r="Q28" s="368"/>
      <c r="R28" s="368">
        <v>134378.15</v>
      </c>
      <c r="S28" s="368"/>
      <c r="T28" s="368">
        <v>474</v>
      </c>
      <c r="U28" s="368">
        <v>4500</v>
      </c>
      <c r="V28" s="368" t="s">
        <v>649</v>
      </c>
      <c r="W28" s="368" t="s">
        <v>649</v>
      </c>
      <c r="X28" s="349">
        <f t="shared" si="1"/>
        <v>5298557.09</v>
      </c>
      <c r="Y28" s="34">
        <v>2273.75</v>
      </c>
      <c r="Z28" s="353"/>
      <c r="AA28" s="34">
        <v>248671.2</v>
      </c>
      <c r="AB28" s="353"/>
      <c r="AC28" s="34">
        <v>100376.2</v>
      </c>
      <c r="AD28" s="353"/>
      <c r="AE28" s="34"/>
      <c r="AF28" s="353"/>
      <c r="AG28" s="34"/>
      <c r="AH28" s="353"/>
      <c r="AI28" s="34"/>
      <c r="AJ28" s="353"/>
      <c r="AK28" s="34"/>
      <c r="AL28" s="364">
        <f t="shared" si="2"/>
        <v>351321.15</v>
      </c>
      <c r="AM28" s="17">
        <f>VLOOKUP(B28,'[1]2018'!$A$7:$F$349,6,FALSE)</f>
        <v>64</v>
      </c>
      <c r="AN28" s="32">
        <f>VLOOKUP(A28,'[2]2018 (2)'!$B$1:$D$318,3,FALSE)</f>
        <v>860</v>
      </c>
      <c r="AO28" s="15">
        <v>-80706.03</v>
      </c>
      <c r="AP28" s="34"/>
      <c r="AQ28" s="34">
        <v>0</v>
      </c>
      <c r="AR28" s="455">
        <v>1.3</v>
      </c>
    </row>
    <row r="29" spans="1:44" x14ac:dyDescent="0.25">
      <c r="A29" s="356">
        <v>5428</v>
      </c>
      <c r="B29" s="348" t="s">
        <v>349</v>
      </c>
      <c r="C29" s="348">
        <v>3232223.54</v>
      </c>
      <c r="D29" s="348">
        <v>389732.7</v>
      </c>
      <c r="E29" s="348"/>
      <c r="F29" s="348"/>
      <c r="G29" s="348">
        <v>161800.04999999999</v>
      </c>
      <c r="H29" s="348">
        <v>8191.45</v>
      </c>
      <c r="I29" s="348">
        <v>42710.15</v>
      </c>
      <c r="J29" s="348">
        <v>162212.21</v>
      </c>
      <c r="K29" s="348">
        <v>15766.45</v>
      </c>
      <c r="L29" s="348">
        <v>397909.5</v>
      </c>
      <c r="M29" s="349">
        <f t="shared" si="0"/>
        <v>4410546.0500000007</v>
      </c>
      <c r="N29" s="368">
        <v>228410.25</v>
      </c>
      <c r="O29" s="368">
        <v>124279.5</v>
      </c>
      <c r="P29" s="368">
        <v>386124.45</v>
      </c>
      <c r="Q29" s="368">
        <v>8198.9500000000007</v>
      </c>
      <c r="R29" s="368">
        <v>194064.55</v>
      </c>
      <c r="S29" s="368">
        <v>525</v>
      </c>
      <c r="T29" s="368">
        <v>4252.55</v>
      </c>
      <c r="U29" s="368">
        <v>10800</v>
      </c>
      <c r="V29" s="368"/>
      <c r="W29" s="368"/>
      <c r="X29" s="349">
        <f t="shared" si="1"/>
        <v>5367201.3000000007</v>
      </c>
      <c r="Y29" s="34">
        <v>28312.05</v>
      </c>
      <c r="Z29" s="353">
        <v>1316.85</v>
      </c>
      <c r="AA29" s="34">
        <v>277868.11</v>
      </c>
      <c r="AB29" s="353"/>
      <c r="AC29" s="34">
        <v>212087.16</v>
      </c>
      <c r="AD29" s="353">
        <v>28312</v>
      </c>
      <c r="AE29" s="34">
        <v>1631.5</v>
      </c>
      <c r="AF29" s="353"/>
      <c r="AG29" s="34"/>
      <c r="AH29" s="353">
        <v>46683</v>
      </c>
      <c r="AI29" s="34"/>
      <c r="AJ29" s="353"/>
      <c r="AK29" s="34"/>
      <c r="AL29" s="364">
        <f t="shared" si="2"/>
        <v>596210.67000000004</v>
      </c>
      <c r="AM29" s="17">
        <f>VLOOKUP(B29,'[1]2018'!$A$7:$F$349,6,FALSE)</f>
        <v>71.5</v>
      </c>
      <c r="AN29" s="32">
        <f>VLOOKUP(A29,'[2]2018 (2)'!$B$1:$D$318,3,FALSE)</f>
        <v>2186</v>
      </c>
      <c r="AO29" s="15">
        <v>-75426.34</v>
      </c>
      <c r="AP29" s="34"/>
      <c r="AQ29" s="34">
        <v>-59.63</v>
      </c>
      <c r="AR29" s="455">
        <v>1.2</v>
      </c>
    </row>
    <row r="30" spans="1:44" x14ac:dyDescent="0.25">
      <c r="A30" s="356">
        <v>5429</v>
      </c>
      <c r="B30" s="348" t="s">
        <v>368</v>
      </c>
      <c r="C30" s="348">
        <v>864096.02</v>
      </c>
      <c r="D30" s="348">
        <v>131721.31</v>
      </c>
      <c r="E30" s="348"/>
      <c r="F30" s="348"/>
      <c r="G30" s="348">
        <v>5025.2</v>
      </c>
      <c r="H30" s="348">
        <v>144</v>
      </c>
      <c r="I30" s="348"/>
      <c r="J30" s="348">
        <v>24882.77</v>
      </c>
      <c r="K30" s="348">
        <v>1589.4</v>
      </c>
      <c r="L30" s="348">
        <v>95963.8</v>
      </c>
      <c r="M30" s="349">
        <f t="shared" si="0"/>
        <v>1123422.5</v>
      </c>
      <c r="N30" s="368"/>
      <c r="O30" s="368"/>
      <c r="P30" s="368">
        <v>44047.7</v>
      </c>
      <c r="Q30" s="368">
        <v>1131.28</v>
      </c>
      <c r="R30" s="368">
        <v>28737.7</v>
      </c>
      <c r="S30" s="368"/>
      <c r="T30" s="368"/>
      <c r="U30" s="368">
        <v>5085</v>
      </c>
      <c r="V30" s="368"/>
      <c r="W30" s="368"/>
      <c r="X30" s="349">
        <f t="shared" si="1"/>
        <v>1202424.18</v>
      </c>
      <c r="Y30" s="34">
        <v>4775</v>
      </c>
      <c r="Z30" s="353"/>
      <c r="AA30" s="34">
        <v>38993.599999999999</v>
      </c>
      <c r="AB30" s="353">
        <v>63399.35</v>
      </c>
      <c r="AC30" s="34"/>
      <c r="AD30" s="353"/>
      <c r="AE30" s="34"/>
      <c r="AF30" s="353"/>
      <c r="AG30" s="34">
        <v>2651</v>
      </c>
      <c r="AH30" s="353"/>
      <c r="AI30" s="34"/>
      <c r="AJ30" s="353"/>
      <c r="AK30" s="34"/>
      <c r="AL30" s="364">
        <f t="shared" si="2"/>
        <v>109818.95</v>
      </c>
      <c r="AM30" s="17">
        <f>VLOOKUP(B30,'[1]2018'!$A$7:$F$349,6,FALSE)</f>
        <v>81</v>
      </c>
      <c r="AN30" s="32">
        <f>VLOOKUP(A30,'[2]2018 (2)'!$B$1:$D$318,3,FALSE)</f>
        <v>478</v>
      </c>
      <c r="AO30" s="15">
        <v>-7247.67</v>
      </c>
      <c r="AP30" s="34"/>
      <c r="AQ30" s="34">
        <v>-42.22</v>
      </c>
      <c r="AR30" s="455">
        <v>1</v>
      </c>
    </row>
    <row r="31" spans="1:44" x14ac:dyDescent="0.25">
      <c r="A31" s="356">
        <v>5430</v>
      </c>
      <c r="B31" s="348" t="s">
        <v>369</v>
      </c>
      <c r="C31" s="348">
        <v>836623.88</v>
      </c>
      <c r="D31" s="348">
        <v>103511.62</v>
      </c>
      <c r="E31" s="348"/>
      <c r="F31" s="348"/>
      <c r="G31" s="348">
        <v>39638.400000000001</v>
      </c>
      <c r="H31" s="348">
        <v>512.54999999999995</v>
      </c>
      <c r="I31" s="348"/>
      <c r="J31" s="348">
        <v>12134.07</v>
      </c>
      <c r="K31" s="348">
        <v>433.1</v>
      </c>
      <c r="L31" s="348">
        <v>85449.7</v>
      </c>
      <c r="M31" s="349">
        <f t="shared" si="0"/>
        <v>1078303.32</v>
      </c>
      <c r="N31" s="368">
        <v>6788.55</v>
      </c>
      <c r="O31" s="368">
        <v>8961.7999999999993</v>
      </c>
      <c r="P31" s="368">
        <v>48220.15</v>
      </c>
      <c r="Q31" s="368">
        <v>10756.33</v>
      </c>
      <c r="R31" s="368">
        <v>12398.85</v>
      </c>
      <c r="S31" s="368"/>
      <c r="T31" s="368"/>
      <c r="U31" s="368">
        <v>3880</v>
      </c>
      <c r="V31" s="368"/>
      <c r="W31" s="368"/>
      <c r="X31" s="349">
        <f t="shared" si="1"/>
        <v>1169309.0000000002</v>
      </c>
      <c r="Y31" s="34"/>
      <c r="Z31" s="353"/>
      <c r="AA31" s="34">
        <v>51679.3</v>
      </c>
      <c r="AB31" s="353"/>
      <c r="AC31" s="34">
        <v>40767.15</v>
      </c>
      <c r="AD31" s="353"/>
      <c r="AE31" s="34"/>
      <c r="AF31" s="353"/>
      <c r="AG31" s="34"/>
      <c r="AH31" s="353"/>
      <c r="AI31" s="34"/>
      <c r="AJ31" s="353"/>
      <c r="AK31" s="34"/>
      <c r="AL31" s="364">
        <f t="shared" si="2"/>
        <v>92446.450000000012</v>
      </c>
      <c r="AM31" s="17">
        <f>VLOOKUP(B31,'[1]2018'!$A$7:$F$349,6,FALSE)</f>
        <v>79</v>
      </c>
      <c r="AN31" s="32">
        <f>VLOOKUP(A31,'[2]2018 (2)'!$B$1:$D$318,3,FALSE)</f>
        <v>463</v>
      </c>
      <c r="AO31" s="15">
        <v>-13287.86</v>
      </c>
      <c r="AP31" s="34"/>
      <c r="AQ31" s="34">
        <v>-72.08</v>
      </c>
      <c r="AR31" s="455">
        <v>1</v>
      </c>
    </row>
    <row r="32" spans="1:44" x14ac:dyDescent="0.25">
      <c r="A32" s="356">
        <v>5431</v>
      </c>
      <c r="B32" s="348" t="s">
        <v>370</v>
      </c>
      <c r="C32" s="348">
        <v>514597.83</v>
      </c>
      <c r="D32" s="348">
        <v>68282.990000000005</v>
      </c>
      <c r="E32" s="348"/>
      <c r="F32" s="348"/>
      <c r="G32" s="348">
        <v>-166.75</v>
      </c>
      <c r="H32" s="348">
        <v>82.3</v>
      </c>
      <c r="I32" s="348"/>
      <c r="J32" s="348">
        <v>7809.53</v>
      </c>
      <c r="K32" s="348">
        <v>300.85000000000002</v>
      </c>
      <c r="L32" s="348">
        <v>48212.800000000003</v>
      </c>
      <c r="M32" s="349">
        <f t="shared" si="0"/>
        <v>639119.55000000016</v>
      </c>
      <c r="N32" s="368">
        <v>275.7</v>
      </c>
      <c r="O32" s="368">
        <v>51520</v>
      </c>
      <c r="P32" s="368">
        <v>42447.1</v>
      </c>
      <c r="Q32" s="368">
        <v>277.45</v>
      </c>
      <c r="R32" s="368">
        <v>1102.5</v>
      </c>
      <c r="S32" s="368"/>
      <c r="T32" s="368"/>
      <c r="U32" s="368">
        <v>2100</v>
      </c>
      <c r="V32" s="368"/>
      <c r="W32" s="368"/>
      <c r="X32" s="349">
        <f t="shared" si="1"/>
        <v>736842.3</v>
      </c>
      <c r="Y32" s="34">
        <v>5250</v>
      </c>
      <c r="Z32" s="353"/>
      <c r="AA32" s="34">
        <v>90600</v>
      </c>
      <c r="AB32" s="353"/>
      <c r="AC32" s="34">
        <v>13520.8</v>
      </c>
      <c r="AD32" s="353">
        <v>15280</v>
      </c>
      <c r="AE32" s="34"/>
      <c r="AF32" s="353"/>
      <c r="AG32" s="34"/>
      <c r="AH32" s="353"/>
      <c r="AI32" s="34"/>
      <c r="AJ32" s="353"/>
      <c r="AK32" s="34"/>
      <c r="AL32" s="364">
        <f t="shared" si="2"/>
        <v>124650.8</v>
      </c>
      <c r="AM32" s="17">
        <f>VLOOKUP(B32,'[1]2018'!$A$7:$F$349,6,FALSE)</f>
        <v>74</v>
      </c>
      <c r="AN32" s="32">
        <f>VLOOKUP(A32,'[2]2018 (2)'!$B$1:$D$318,3,FALSE)</f>
        <v>283</v>
      </c>
      <c r="AO32" s="15">
        <v>-357.13</v>
      </c>
      <c r="AP32" s="34"/>
      <c r="AQ32" s="34">
        <v>-531.15</v>
      </c>
      <c r="AR32" s="455">
        <v>1</v>
      </c>
    </row>
    <row r="33" spans="1:44" x14ac:dyDescent="0.25">
      <c r="A33" s="356">
        <v>5432</v>
      </c>
      <c r="B33" s="348" t="s">
        <v>371</v>
      </c>
      <c r="C33" s="348">
        <v>1156707.3400000001</v>
      </c>
      <c r="D33" s="348">
        <v>106300.44</v>
      </c>
      <c r="E33" s="348"/>
      <c r="F33" s="348"/>
      <c r="G33" s="348">
        <v>27127</v>
      </c>
      <c r="H33" s="348">
        <v>1145.05</v>
      </c>
      <c r="I33" s="348"/>
      <c r="J33" s="348">
        <v>49648.160000000003</v>
      </c>
      <c r="K33" s="348">
        <v>5014.3</v>
      </c>
      <c r="L33" s="348">
        <v>94546.1</v>
      </c>
      <c r="M33" s="349">
        <f t="shared" si="0"/>
        <v>1440488.3900000001</v>
      </c>
      <c r="N33" s="368">
        <v>16499.2</v>
      </c>
      <c r="O33" s="368"/>
      <c r="P33" s="368">
        <v>24744.5</v>
      </c>
      <c r="Q33" s="368">
        <v>8483.11</v>
      </c>
      <c r="R33" s="368">
        <v>20579.05</v>
      </c>
      <c r="S33" s="368"/>
      <c r="T33" s="368">
        <v>490</v>
      </c>
      <c r="U33" s="368">
        <v>4060</v>
      </c>
      <c r="V33" s="368"/>
      <c r="W33" s="368"/>
      <c r="X33" s="349">
        <f t="shared" si="1"/>
        <v>1515344.2500000002</v>
      </c>
      <c r="Y33" s="34">
        <v>35392.5</v>
      </c>
      <c r="Z33" s="34" t="s">
        <v>649</v>
      </c>
      <c r="AA33" s="34">
        <v>38383.15</v>
      </c>
      <c r="AB33" s="34" t="s">
        <v>649</v>
      </c>
      <c r="AC33" s="34">
        <v>47835</v>
      </c>
      <c r="AD33" s="34">
        <v>15360</v>
      </c>
      <c r="AE33" s="34" t="s">
        <v>649</v>
      </c>
      <c r="AF33" s="34" t="s">
        <v>649</v>
      </c>
      <c r="AG33" s="34" t="s">
        <v>649</v>
      </c>
      <c r="AH33" s="34">
        <v>10903.1</v>
      </c>
      <c r="AI33" s="34"/>
      <c r="AJ33" s="34"/>
      <c r="AK33" s="34"/>
      <c r="AL33" s="364">
        <f t="shared" si="2"/>
        <v>147873.75</v>
      </c>
      <c r="AM33" s="17">
        <f>VLOOKUP(B33,'[1]2018'!$A$7:$F$349,6,FALSE)</f>
        <v>78</v>
      </c>
      <c r="AN33" s="32">
        <f>VLOOKUP(A33,'[2]2018 (2)'!$B$1:$D$318,3,FALSE)</f>
        <v>536</v>
      </c>
      <c r="AO33" s="15">
        <v>-12190.48</v>
      </c>
      <c r="AP33" s="34">
        <v>-12258.4</v>
      </c>
      <c r="AQ33" s="34">
        <v>-26.32</v>
      </c>
      <c r="AR33" s="455">
        <v>1</v>
      </c>
    </row>
    <row r="34" spans="1:44" x14ac:dyDescent="0.25">
      <c r="A34" s="356">
        <v>5434</v>
      </c>
      <c r="B34" s="348" t="s">
        <v>372</v>
      </c>
      <c r="C34" s="348">
        <v>2348283.33</v>
      </c>
      <c r="D34" s="348"/>
      <c r="E34" s="348"/>
      <c r="F34" s="348"/>
      <c r="G34" s="348">
        <v>19798.95</v>
      </c>
      <c r="H34" s="348">
        <v>926.3</v>
      </c>
      <c r="I34" s="348"/>
      <c r="J34" s="348">
        <v>31754.76</v>
      </c>
      <c r="K34" s="348">
        <v>3299.7</v>
      </c>
      <c r="L34" s="348">
        <v>222583.8</v>
      </c>
      <c r="M34" s="349">
        <f t="shared" si="0"/>
        <v>2626646.84</v>
      </c>
      <c r="N34" s="368">
        <v>35998.949999999997</v>
      </c>
      <c r="O34" s="368">
        <v>49856.9</v>
      </c>
      <c r="P34" s="368">
        <v>190495.25</v>
      </c>
      <c r="Q34" s="368">
        <v>940.55</v>
      </c>
      <c r="R34" s="368">
        <v>85786.5</v>
      </c>
      <c r="S34" s="368"/>
      <c r="T34" s="368"/>
      <c r="U34" s="368">
        <v>9360</v>
      </c>
      <c r="V34" s="368" t="s">
        <v>649</v>
      </c>
      <c r="W34" s="368" t="s">
        <v>649</v>
      </c>
      <c r="X34" s="349">
        <f t="shared" si="1"/>
        <v>2999084.9899999998</v>
      </c>
      <c r="Y34" s="34"/>
      <c r="Z34" s="353"/>
      <c r="AA34" s="34">
        <v>109033.4</v>
      </c>
      <c r="AB34" s="353"/>
      <c r="AC34" s="34">
        <v>88046.7</v>
      </c>
      <c r="AD34" s="353"/>
      <c r="AE34" s="34"/>
      <c r="AF34" s="353"/>
      <c r="AG34" s="34">
        <v>11864.55</v>
      </c>
      <c r="AH34" s="353"/>
      <c r="AI34" s="34"/>
      <c r="AJ34" s="353"/>
      <c r="AK34" s="34"/>
      <c r="AL34" s="364">
        <f t="shared" si="2"/>
        <v>208944.64999999997</v>
      </c>
      <c r="AM34" s="17">
        <f>VLOOKUP(B34,'[1]2018'!$A$7:$F$349,6,FALSE)</f>
        <v>71</v>
      </c>
      <c r="AN34" s="32">
        <f>VLOOKUP(A34,'[2]2018 (2)'!$B$1:$D$318,3,FALSE)</f>
        <v>1031</v>
      </c>
      <c r="AO34" s="15">
        <v>-15696.46</v>
      </c>
      <c r="AP34" s="34"/>
      <c r="AQ34" s="34">
        <v>0</v>
      </c>
      <c r="AR34" s="455">
        <v>1</v>
      </c>
    </row>
    <row r="35" spans="1:44" x14ac:dyDescent="0.25">
      <c r="A35" s="356">
        <v>5435</v>
      </c>
      <c r="B35" s="348" t="s">
        <v>350</v>
      </c>
      <c r="C35" s="348">
        <v>1453756.71</v>
      </c>
      <c r="D35" s="348">
        <v>177545.11</v>
      </c>
      <c r="E35" s="348"/>
      <c r="F35" s="348"/>
      <c r="G35" s="348">
        <v>1906.85</v>
      </c>
      <c r="H35" s="348">
        <v>103.9</v>
      </c>
      <c r="I35" s="348"/>
      <c r="J35" s="348">
        <v>-64499.29</v>
      </c>
      <c r="K35" s="348"/>
      <c r="L35" s="348">
        <v>122559</v>
      </c>
      <c r="M35" s="349">
        <f t="shared" si="0"/>
        <v>1691372.2799999998</v>
      </c>
      <c r="N35" s="368">
        <v>1718.3</v>
      </c>
      <c r="O35" s="368"/>
      <c r="P35" s="368">
        <v>45574.15</v>
      </c>
      <c r="Q35" s="368">
        <v>2844.54</v>
      </c>
      <c r="R35" s="368">
        <v>42020.45</v>
      </c>
      <c r="S35" s="368"/>
      <c r="T35" s="368">
        <v>390</v>
      </c>
      <c r="U35" s="368">
        <v>5760</v>
      </c>
      <c r="V35" s="368"/>
      <c r="W35" s="368"/>
      <c r="X35" s="349">
        <f t="shared" si="1"/>
        <v>1789679.7199999997</v>
      </c>
      <c r="Y35" s="34"/>
      <c r="Z35" s="353"/>
      <c r="AA35" s="34">
        <v>86150.9</v>
      </c>
      <c r="AB35" s="353"/>
      <c r="AC35" s="34">
        <v>56500</v>
      </c>
      <c r="AD35" s="353"/>
      <c r="AE35" s="34"/>
      <c r="AF35" s="353"/>
      <c r="AG35" s="34"/>
      <c r="AH35" s="353">
        <v>11266.75</v>
      </c>
      <c r="AI35" s="34"/>
      <c r="AJ35" s="353"/>
      <c r="AK35" s="34"/>
      <c r="AL35" s="364">
        <f t="shared" si="2"/>
        <v>153917.65</v>
      </c>
      <c r="AM35" s="17">
        <f>VLOOKUP(B35,'[1]2018'!$A$7:$F$349,6,FALSE)</f>
        <v>69</v>
      </c>
      <c r="AN35" s="32">
        <f>VLOOKUP(A35,'[2]2018 (2)'!$B$1:$D$318,3,FALSE)</f>
        <v>690</v>
      </c>
      <c r="AO35" s="15">
        <v>-28183.34</v>
      </c>
      <c r="AP35" s="34"/>
      <c r="AQ35" s="34">
        <v>-9.75</v>
      </c>
      <c r="AR35" s="455">
        <v>1</v>
      </c>
    </row>
    <row r="36" spans="1:44" x14ac:dyDescent="0.25">
      <c r="A36" s="356">
        <v>5436</v>
      </c>
      <c r="B36" s="348" t="s">
        <v>351</v>
      </c>
      <c r="C36" s="348">
        <v>1118145.95</v>
      </c>
      <c r="D36" s="348">
        <v>70300.06</v>
      </c>
      <c r="E36" s="348"/>
      <c r="F36" s="348"/>
      <c r="G36" s="348">
        <v>1035.8499999999999</v>
      </c>
      <c r="H36" s="348">
        <v>603.20000000000005</v>
      </c>
      <c r="I36" s="348"/>
      <c r="J36" s="348">
        <v>3099.33</v>
      </c>
      <c r="K36" s="348"/>
      <c r="L36" s="348">
        <v>54391.05</v>
      </c>
      <c r="M36" s="349">
        <f t="shared" si="0"/>
        <v>1247575.4400000002</v>
      </c>
      <c r="N36" s="368"/>
      <c r="O36" s="368"/>
      <c r="P36" s="368">
        <v>77523.7</v>
      </c>
      <c r="Q36" s="368"/>
      <c r="R36" s="368">
        <v>36951.15</v>
      </c>
      <c r="S36" s="368"/>
      <c r="T36" s="368"/>
      <c r="U36" s="368">
        <v>3600</v>
      </c>
      <c r="V36" s="368"/>
      <c r="W36" s="368"/>
      <c r="X36" s="349">
        <f t="shared" si="1"/>
        <v>1365650.29</v>
      </c>
      <c r="Y36" s="34">
        <v>14068.45</v>
      </c>
      <c r="Z36" s="34" t="s">
        <v>649</v>
      </c>
      <c r="AA36" s="34">
        <v>63427.1</v>
      </c>
      <c r="AB36" s="34" t="s">
        <v>649</v>
      </c>
      <c r="AC36" s="34">
        <v>34156.050000000003</v>
      </c>
      <c r="AD36" s="34">
        <v>14068.45</v>
      </c>
      <c r="AE36" s="34" t="s">
        <v>649</v>
      </c>
      <c r="AF36" s="34" t="s">
        <v>649</v>
      </c>
      <c r="AG36" s="34" t="s">
        <v>649</v>
      </c>
      <c r="AH36" s="34"/>
      <c r="AI36" s="34"/>
      <c r="AJ36" s="34"/>
      <c r="AK36" s="34"/>
      <c r="AL36" s="364">
        <f t="shared" si="2"/>
        <v>125720.05</v>
      </c>
      <c r="AM36" s="17">
        <f>VLOOKUP(B36,'[1]2018'!$A$7:$F$349,6,FALSE)</f>
        <v>81</v>
      </c>
      <c r="AN36" s="32">
        <f>VLOOKUP(A36,'[2]2018 (2)'!$B$1:$D$318,3,FALSE)</f>
        <v>448</v>
      </c>
      <c r="AO36" s="15">
        <v>-39468.68</v>
      </c>
      <c r="AP36" s="34"/>
      <c r="AQ36" s="34">
        <v>-441.14</v>
      </c>
      <c r="AR36" s="455">
        <v>0.8</v>
      </c>
    </row>
    <row r="37" spans="1:44" x14ac:dyDescent="0.25">
      <c r="A37" s="356">
        <v>5437</v>
      </c>
      <c r="B37" s="348" t="s">
        <v>352</v>
      </c>
      <c r="C37" s="348">
        <v>720054.3</v>
      </c>
      <c r="D37" s="348">
        <v>63539.37</v>
      </c>
      <c r="E37" s="348"/>
      <c r="F37" s="348"/>
      <c r="G37" s="348">
        <v>9714.9</v>
      </c>
      <c r="H37" s="348">
        <v>121.7</v>
      </c>
      <c r="I37" s="348"/>
      <c r="J37" s="348">
        <v>51048.36</v>
      </c>
      <c r="K37" s="348">
        <v>746.35</v>
      </c>
      <c r="L37" s="348">
        <v>64529.25</v>
      </c>
      <c r="M37" s="349">
        <f t="shared" si="0"/>
        <v>909754.23</v>
      </c>
      <c r="N37" s="368"/>
      <c r="O37" s="368">
        <v>34735.599999999999</v>
      </c>
      <c r="P37" s="368">
        <v>29260</v>
      </c>
      <c r="Q37" s="368">
        <v>12233.07</v>
      </c>
      <c r="R37" s="368">
        <v>17928.349999999999</v>
      </c>
      <c r="S37" s="368"/>
      <c r="T37" s="368"/>
      <c r="U37" s="368">
        <v>2250</v>
      </c>
      <c r="V37" s="368"/>
      <c r="W37" s="368"/>
      <c r="X37" s="349">
        <f t="shared" si="1"/>
        <v>1006161.2499999999</v>
      </c>
      <c r="Y37" s="34"/>
      <c r="Z37" s="353"/>
      <c r="AA37" s="34">
        <v>37185.800000000003</v>
      </c>
      <c r="AB37" s="353"/>
      <c r="AC37" s="34">
        <v>37620</v>
      </c>
      <c r="AD37" s="353"/>
      <c r="AE37" s="34"/>
      <c r="AF37" s="353"/>
      <c r="AG37" s="34"/>
      <c r="AH37" s="353"/>
      <c r="AI37" s="34"/>
      <c r="AJ37" s="353"/>
      <c r="AK37" s="34"/>
      <c r="AL37" s="364">
        <f t="shared" si="2"/>
        <v>74805.8</v>
      </c>
      <c r="AM37" s="17">
        <f>VLOOKUP(B37,'[1]2018'!$A$7:$F$349,6,FALSE)</f>
        <v>80</v>
      </c>
      <c r="AN37" s="32">
        <f>VLOOKUP(A37,'[2]2018 (2)'!$B$1:$D$318,3,FALSE)</f>
        <v>418</v>
      </c>
      <c r="AO37" s="15">
        <v>-8158.17</v>
      </c>
      <c r="AP37" s="34"/>
      <c r="AQ37" s="34">
        <v>-49.96</v>
      </c>
      <c r="AR37" s="455">
        <v>1</v>
      </c>
    </row>
    <row r="38" spans="1:44" x14ac:dyDescent="0.25">
      <c r="A38" s="356">
        <v>5451</v>
      </c>
      <c r="B38" s="348" t="s">
        <v>353</v>
      </c>
      <c r="C38" s="348">
        <v>5341058.51</v>
      </c>
      <c r="D38" s="348">
        <v>548898.56999999995</v>
      </c>
      <c r="E38" s="348"/>
      <c r="F38" s="348"/>
      <c r="G38" s="348">
        <v>3197415.35</v>
      </c>
      <c r="H38" s="348">
        <v>39831.050000000003</v>
      </c>
      <c r="I38" s="348"/>
      <c r="J38" s="348">
        <v>336376.17</v>
      </c>
      <c r="K38" s="348">
        <v>132495.65</v>
      </c>
      <c r="L38" s="348">
        <v>1345236.4</v>
      </c>
      <c r="M38" s="349">
        <f t="shared" si="0"/>
        <v>10941311.700000001</v>
      </c>
      <c r="N38" s="368">
        <v>582876.80000000005</v>
      </c>
      <c r="O38" s="368">
        <v>87250.7</v>
      </c>
      <c r="P38" s="368">
        <v>604917.30000000005</v>
      </c>
      <c r="Q38" s="368">
        <v>60112.98</v>
      </c>
      <c r="R38" s="368">
        <v>342241.9</v>
      </c>
      <c r="S38" s="368"/>
      <c r="T38" s="368">
        <v>37023.800000000003</v>
      </c>
      <c r="U38" s="368">
        <v>22950</v>
      </c>
      <c r="V38" s="368" t="s">
        <v>649</v>
      </c>
      <c r="W38" s="368" t="s">
        <v>649</v>
      </c>
      <c r="X38" s="349">
        <f t="shared" si="1"/>
        <v>12678685.180000003</v>
      </c>
      <c r="Y38" s="34">
        <v>18079.5</v>
      </c>
      <c r="Z38" s="34">
        <v>7656.85</v>
      </c>
      <c r="AA38" s="34">
        <v>944516.45</v>
      </c>
      <c r="AB38" s="34">
        <v>0</v>
      </c>
      <c r="AC38" s="34">
        <v>443088.26</v>
      </c>
      <c r="AD38" s="34">
        <v>12711.1</v>
      </c>
      <c r="AE38" s="34">
        <v>-130.44999999999999</v>
      </c>
      <c r="AF38" s="34">
        <v>0</v>
      </c>
      <c r="AG38" s="34">
        <v>316402</v>
      </c>
      <c r="AH38" s="34"/>
      <c r="AI38" s="34"/>
      <c r="AJ38" s="34"/>
      <c r="AK38" s="34"/>
      <c r="AL38" s="364">
        <f t="shared" si="2"/>
        <v>1742323.7100000002</v>
      </c>
      <c r="AM38" s="17">
        <f>VLOOKUP(B38,'[1]2018'!$A$7:$F$349,6,FALSE)</f>
        <v>68</v>
      </c>
      <c r="AN38" s="32">
        <f>VLOOKUP(A38,'[2]2018 (2)'!$B$1:$D$318,3,FALSE)</f>
        <v>4282</v>
      </c>
      <c r="AO38" s="15">
        <v>-301396.52</v>
      </c>
      <c r="AP38" s="34"/>
      <c r="AQ38" s="34">
        <v>-90.14</v>
      </c>
      <c r="AR38" s="455">
        <v>1.5</v>
      </c>
    </row>
    <row r="39" spans="1:44" x14ac:dyDescent="0.25">
      <c r="A39" s="356">
        <v>5456</v>
      </c>
      <c r="B39" s="348" t="s">
        <v>354</v>
      </c>
      <c r="C39" s="348">
        <v>2703953.18</v>
      </c>
      <c r="D39" s="348">
        <v>284217.96000000002</v>
      </c>
      <c r="E39" s="348"/>
      <c r="F39" s="348"/>
      <c r="G39" s="348">
        <v>205362.9</v>
      </c>
      <c r="H39" s="348">
        <v>1669.6</v>
      </c>
      <c r="I39" s="348"/>
      <c r="J39" s="348">
        <v>36756.33</v>
      </c>
      <c r="K39" s="348">
        <v>9478.5499999999993</v>
      </c>
      <c r="L39" s="348">
        <v>463541.25</v>
      </c>
      <c r="M39" s="349">
        <f t="shared" si="0"/>
        <v>3704979.77</v>
      </c>
      <c r="N39" s="368">
        <v>10293.4</v>
      </c>
      <c r="O39" s="368">
        <v>29432.400000000001</v>
      </c>
      <c r="P39" s="368">
        <v>319251.34999999998</v>
      </c>
      <c r="Q39" s="368">
        <v>6794.66</v>
      </c>
      <c r="R39" s="368">
        <v>160243.54999999999</v>
      </c>
      <c r="S39" s="368"/>
      <c r="T39" s="368"/>
      <c r="U39" s="368">
        <v>6500</v>
      </c>
      <c r="V39" s="368"/>
      <c r="W39" s="368"/>
      <c r="X39" s="349">
        <f t="shared" si="1"/>
        <v>4237495.13</v>
      </c>
      <c r="Y39" s="34">
        <v>200000</v>
      </c>
      <c r="Z39" s="353"/>
      <c r="AA39" s="34">
        <v>146057.65</v>
      </c>
      <c r="AB39" s="353"/>
      <c r="AC39" s="34">
        <v>225770.38</v>
      </c>
      <c r="AD39" s="353">
        <v>73755.350000000006</v>
      </c>
      <c r="AE39" s="34"/>
      <c r="AF39" s="353"/>
      <c r="AG39" s="34">
        <v>126205</v>
      </c>
      <c r="AH39" s="353"/>
      <c r="AI39" s="34"/>
      <c r="AJ39" s="353"/>
      <c r="AK39" s="34"/>
      <c r="AL39" s="364">
        <f t="shared" si="2"/>
        <v>771788.38</v>
      </c>
      <c r="AM39" s="17">
        <f>VLOOKUP(B39,'[1]2018'!$A$7:$F$349,6,FALSE)</f>
        <v>59</v>
      </c>
      <c r="AN39" s="32">
        <f>VLOOKUP(A39,'[2]2018 (2)'!$B$1:$D$318,3,FALSE)</f>
        <v>1633</v>
      </c>
      <c r="AO39" s="15">
        <v>-54012.65</v>
      </c>
      <c r="AP39" s="34"/>
      <c r="AQ39" s="34">
        <v>-7.67</v>
      </c>
      <c r="AR39" s="455">
        <v>1.5</v>
      </c>
    </row>
    <row r="40" spans="1:44" x14ac:dyDescent="0.25">
      <c r="A40" s="356">
        <v>5458</v>
      </c>
      <c r="B40" s="348" t="s">
        <v>355</v>
      </c>
      <c r="C40" s="348">
        <v>1463088.16</v>
      </c>
      <c r="D40" s="348">
        <v>237972.58</v>
      </c>
      <c r="E40" s="348"/>
      <c r="F40" s="348"/>
      <c r="G40" s="348">
        <v>69490.55</v>
      </c>
      <c r="H40" s="348">
        <v>372.45</v>
      </c>
      <c r="I40" s="348"/>
      <c r="J40" s="348">
        <v>51963.93</v>
      </c>
      <c r="K40" s="348">
        <v>9656.9500000000007</v>
      </c>
      <c r="L40" s="348">
        <v>170789.35</v>
      </c>
      <c r="M40" s="349">
        <f t="shared" si="0"/>
        <v>2003333.97</v>
      </c>
      <c r="N40" s="368"/>
      <c r="O40" s="368">
        <v>2516.8000000000002</v>
      </c>
      <c r="P40" s="368">
        <v>125399.1</v>
      </c>
      <c r="Q40" s="368">
        <v>14468.67</v>
      </c>
      <c r="R40" s="368">
        <v>122359.35</v>
      </c>
      <c r="S40" s="368"/>
      <c r="T40" s="368"/>
      <c r="U40" s="368">
        <v>10050</v>
      </c>
      <c r="V40" s="368"/>
      <c r="W40" s="368"/>
      <c r="X40" s="349">
        <f t="shared" si="1"/>
        <v>2278127.89</v>
      </c>
      <c r="Y40" s="34">
        <v>32839.1</v>
      </c>
      <c r="Z40" s="353">
        <v>6004.1</v>
      </c>
      <c r="AA40" s="34">
        <v>167176.20000000001</v>
      </c>
      <c r="AB40" s="353"/>
      <c r="AC40" s="34">
        <v>84267.45</v>
      </c>
      <c r="AD40" s="353">
        <v>30039.1</v>
      </c>
      <c r="AE40" s="34">
        <v>6004.1</v>
      </c>
      <c r="AF40" s="353"/>
      <c r="AG40" s="34">
        <v>30861.95</v>
      </c>
      <c r="AH40" s="353">
        <v>27527.5</v>
      </c>
      <c r="AI40" s="34"/>
      <c r="AJ40" s="353"/>
      <c r="AK40" s="34"/>
      <c r="AL40" s="364">
        <f t="shared" si="2"/>
        <v>384719.5</v>
      </c>
      <c r="AM40" s="17">
        <f>VLOOKUP(B40,'[1]2018'!$A$7:$F$349,6,FALSE)</f>
        <v>64</v>
      </c>
      <c r="AN40" s="32">
        <f>VLOOKUP(A40,'[2]2018 (2)'!$B$1:$D$318,3,FALSE)</f>
        <v>904</v>
      </c>
      <c r="AO40" s="15">
        <v>-63758.67</v>
      </c>
      <c r="AP40" s="34"/>
      <c r="AQ40" s="34">
        <v>-141.69999999999999</v>
      </c>
      <c r="AR40" s="455">
        <v>1</v>
      </c>
    </row>
    <row r="41" spans="1:44" x14ac:dyDescent="0.25">
      <c r="A41" s="356">
        <v>5464</v>
      </c>
      <c r="B41" s="348" t="s">
        <v>439</v>
      </c>
      <c r="C41" s="348">
        <v>5310604.6100000003</v>
      </c>
      <c r="D41" s="348">
        <v>935785.63</v>
      </c>
      <c r="E41" s="348"/>
      <c r="F41" s="348"/>
      <c r="G41" s="348">
        <v>47972</v>
      </c>
      <c r="H41" s="348">
        <v>3532.7</v>
      </c>
      <c r="I41" s="348"/>
      <c r="J41" s="348">
        <v>115915.85</v>
      </c>
      <c r="K41" s="348">
        <v>26287.95</v>
      </c>
      <c r="L41" s="348">
        <v>934606.05</v>
      </c>
      <c r="M41" s="349">
        <f t="shared" si="0"/>
        <v>7374704.79</v>
      </c>
      <c r="N41" s="368"/>
      <c r="O41" s="368">
        <v>289968.3</v>
      </c>
      <c r="P41" s="368">
        <v>320190.15000000002</v>
      </c>
      <c r="Q41" s="368">
        <v>24475.95</v>
      </c>
      <c r="R41" s="368">
        <v>169581.8</v>
      </c>
      <c r="S41" s="368"/>
      <c r="T41" s="368"/>
      <c r="U41" s="368">
        <v>23450</v>
      </c>
      <c r="V41" s="368"/>
      <c r="W41" s="368"/>
      <c r="X41" s="349">
        <f t="shared" si="1"/>
        <v>8202370.9900000002</v>
      </c>
      <c r="Y41" s="34">
        <v>385240.1</v>
      </c>
      <c r="Z41" s="34">
        <v>190526</v>
      </c>
      <c r="AA41" s="34">
        <v>484771.9</v>
      </c>
      <c r="AB41" s="34" t="s">
        <v>649</v>
      </c>
      <c r="AC41" s="34">
        <v>322365.96000000002</v>
      </c>
      <c r="AD41" s="34">
        <v>440729.8</v>
      </c>
      <c r="AE41" s="34" t="s">
        <v>649</v>
      </c>
      <c r="AF41" s="34" t="s">
        <v>649</v>
      </c>
      <c r="AG41" s="34">
        <v>220364.85</v>
      </c>
      <c r="AH41" s="34"/>
      <c r="AI41" s="34">
        <v>94781.41</v>
      </c>
      <c r="AJ41" s="34"/>
      <c r="AK41" s="34"/>
      <c r="AL41" s="364">
        <f t="shared" si="2"/>
        <v>2138780.02</v>
      </c>
      <c r="AM41" s="17">
        <f>VLOOKUP(B41,'[1]2018'!$A$7:$F$349,6,FALSE)</f>
        <v>67</v>
      </c>
      <c r="AN41" s="32">
        <f>VLOOKUP(A41,'[2]2018 (2)'!$B$1:$D$318,3,FALSE)</f>
        <v>3163</v>
      </c>
      <c r="AO41" s="15">
        <v>-121626.08</v>
      </c>
      <c r="AP41" s="34"/>
      <c r="AQ41" s="34">
        <v>-499.04</v>
      </c>
      <c r="AR41" s="455">
        <v>1.5</v>
      </c>
    </row>
    <row r="42" spans="1:44" x14ac:dyDescent="0.25">
      <c r="A42" s="356">
        <v>5471</v>
      </c>
      <c r="B42" s="348" t="s">
        <v>356</v>
      </c>
      <c r="C42" s="348">
        <v>1025129.68</v>
      </c>
      <c r="D42" s="348">
        <v>88482.96</v>
      </c>
      <c r="E42" s="348"/>
      <c r="F42" s="348"/>
      <c r="G42" s="348">
        <v>53736.9</v>
      </c>
      <c r="H42" s="348">
        <v>1653.2</v>
      </c>
      <c r="I42" s="348"/>
      <c r="J42" s="348">
        <v>16630.55</v>
      </c>
      <c r="K42" s="348">
        <v>6092</v>
      </c>
      <c r="L42" s="348">
        <v>103319.35</v>
      </c>
      <c r="M42" s="349">
        <f t="shared" si="0"/>
        <v>1295044.6400000001</v>
      </c>
      <c r="N42" s="368">
        <v>17517.349999999999</v>
      </c>
      <c r="O42" s="368"/>
      <c r="P42" s="368">
        <v>61981.05</v>
      </c>
      <c r="Q42" s="368">
        <v>2829.85</v>
      </c>
      <c r="R42" s="368">
        <v>429.85</v>
      </c>
      <c r="S42" s="368"/>
      <c r="T42" s="368"/>
      <c r="U42" s="368">
        <v>4750</v>
      </c>
      <c r="V42" s="368"/>
      <c r="W42" s="368"/>
      <c r="X42" s="349">
        <f t="shared" si="1"/>
        <v>1382552.7400000005</v>
      </c>
      <c r="Y42" s="34">
        <v>25295</v>
      </c>
      <c r="Z42" s="353"/>
      <c r="AA42" s="34">
        <v>70202</v>
      </c>
      <c r="AB42" s="353"/>
      <c r="AC42" s="34">
        <v>20430.3</v>
      </c>
      <c r="AD42" s="353">
        <v>10656.5</v>
      </c>
      <c r="AE42" s="34"/>
      <c r="AF42" s="353"/>
      <c r="AG42" s="34"/>
      <c r="AH42" s="353"/>
      <c r="AI42" s="34"/>
      <c r="AJ42" s="353"/>
      <c r="AK42" s="34"/>
      <c r="AL42" s="364">
        <f t="shared" si="2"/>
        <v>126583.8</v>
      </c>
      <c r="AM42" s="17">
        <f>VLOOKUP(B42,'[1]2018'!$A$7:$F$349,6,FALSE)</f>
        <v>70</v>
      </c>
      <c r="AN42" s="32">
        <f>VLOOKUP(A42,'[2]2018 (2)'!$B$1:$D$318,3,FALSE)</f>
        <v>592</v>
      </c>
      <c r="AO42" s="15">
        <v>-7715.8</v>
      </c>
      <c r="AP42" s="34"/>
      <c r="AQ42" s="34">
        <v>-682.53</v>
      </c>
      <c r="AR42" s="455">
        <v>0.9</v>
      </c>
    </row>
    <row r="43" spans="1:44" x14ac:dyDescent="0.25">
      <c r="A43" s="356">
        <v>5472</v>
      </c>
      <c r="B43" s="348" t="s">
        <v>357</v>
      </c>
      <c r="C43" s="348">
        <v>991613.25</v>
      </c>
      <c r="D43" s="348">
        <v>142227.71</v>
      </c>
      <c r="E43" s="348"/>
      <c r="F43" s="348"/>
      <c r="G43" s="348">
        <v>15612.8</v>
      </c>
      <c r="H43" s="348">
        <v>-26.6</v>
      </c>
      <c r="I43" s="348"/>
      <c r="J43" s="348">
        <v>25919.01</v>
      </c>
      <c r="K43" s="348">
        <v>1389</v>
      </c>
      <c r="L43" s="348">
        <v>88402.15</v>
      </c>
      <c r="M43" s="349">
        <f t="shared" si="0"/>
        <v>1265137.3199999998</v>
      </c>
      <c r="N43" s="368"/>
      <c r="O43" s="368"/>
      <c r="P43" s="368">
        <v>32083.85</v>
      </c>
      <c r="Q43" s="368"/>
      <c r="R43" s="368">
        <v>9733.2999999999993</v>
      </c>
      <c r="S43" s="368"/>
      <c r="T43" s="368">
        <v>222.25</v>
      </c>
      <c r="U43" s="368">
        <v>1830</v>
      </c>
      <c r="V43" s="368"/>
      <c r="W43" s="368"/>
      <c r="X43" s="349">
        <f t="shared" si="1"/>
        <v>1309006.72</v>
      </c>
      <c r="Y43" s="34">
        <v>346864</v>
      </c>
      <c r="Z43" s="34" t="s">
        <v>649</v>
      </c>
      <c r="AA43" s="34">
        <v>81826.8</v>
      </c>
      <c r="AB43" s="34" t="s">
        <v>649</v>
      </c>
      <c r="AC43" s="34">
        <v>42315</v>
      </c>
      <c r="AD43" s="34">
        <v>251709.7</v>
      </c>
      <c r="AE43" s="34" t="s">
        <v>649</v>
      </c>
      <c r="AF43" s="34" t="s">
        <v>649</v>
      </c>
      <c r="AG43" s="34" t="s">
        <v>649</v>
      </c>
      <c r="AH43" s="34"/>
      <c r="AI43" s="34"/>
      <c r="AJ43" s="34"/>
      <c r="AK43" s="34"/>
      <c r="AL43" s="364">
        <f t="shared" si="2"/>
        <v>722715.5</v>
      </c>
      <c r="AM43" s="17">
        <f>VLOOKUP(B43,'[1]2018'!$A$7:$F$349,6,FALSE)</f>
        <v>76</v>
      </c>
      <c r="AN43" s="32">
        <f>VLOOKUP(A43,'[2]2018 (2)'!$B$1:$D$318,3,FALSE)</f>
        <v>404</v>
      </c>
      <c r="AO43" s="15">
        <v>-7805.18</v>
      </c>
      <c r="AP43" s="34"/>
      <c r="AQ43" s="34">
        <v>-90.07</v>
      </c>
      <c r="AR43" s="455">
        <v>1</v>
      </c>
    </row>
    <row r="44" spans="1:44" x14ac:dyDescent="0.25">
      <c r="A44" s="356">
        <v>5473</v>
      </c>
      <c r="B44" s="348" t="s">
        <v>214</v>
      </c>
      <c r="C44" s="348">
        <v>2062736.46</v>
      </c>
      <c r="D44" s="348">
        <v>167621.69</v>
      </c>
      <c r="E44" s="348"/>
      <c r="F44" s="348"/>
      <c r="G44" s="348">
        <v>135295.85</v>
      </c>
      <c r="H44" s="348">
        <v>170.6</v>
      </c>
      <c r="I44" s="348"/>
      <c r="J44" s="348">
        <v>14930.43</v>
      </c>
      <c r="K44" s="348">
        <v>4488.2</v>
      </c>
      <c r="L44" s="348">
        <v>175827.1</v>
      </c>
      <c r="M44" s="349">
        <f t="shared" si="0"/>
        <v>2561070.3300000005</v>
      </c>
      <c r="N44" s="368"/>
      <c r="O44" s="368"/>
      <c r="P44" s="368">
        <v>59371.35</v>
      </c>
      <c r="Q44" s="368">
        <v>7069.78</v>
      </c>
      <c r="R44" s="368">
        <v>21331.5</v>
      </c>
      <c r="S44" s="368"/>
      <c r="T44" s="368"/>
      <c r="U44" s="368">
        <v>4920</v>
      </c>
      <c r="V44" s="368"/>
      <c r="W44" s="368"/>
      <c r="X44" s="349">
        <f t="shared" si="1"/>
        <v>2653762.9600000004</v>
      </c>
      <c r="Y44" s="34">
        <v>23000</v>
      </c>
      <c r="Z44" s="34" t="s">
        <v>649</v>
      </c>
      <c r="AA44" s="34">
        <v>155833.35</v>
      </c>
      <c r="AB44" s="34" t="s">
        <v>649</v>
      </c>
      <c r="AC44" s="34">
        <v>104131.27</v>
      </c>
      <c r="AD44" s="34" t="s">
        <v>649</v>
      </c>
      <c r="AE44" s="34" t="s">
        <v>649</v>
      </c>
      <c r="AF44" s="34" t="s">
        <v>649</v>
      </c>
      <c r="AG44" s="34" t="s">
        <v>649</v>
      </c>
      <c r="AH44" s="34"/>
      <c r="AI44" s="34"/>
      <c r="AJ44" s="34"/>
      <c r="AK44" s="34"/>
      <c r="AL44" s="364">
        <f t="shared" si="2"/>
        <v>282964.62</v>
      </c>
      <c r="AM44" s="17">
        <f>VLOOKUP(B44,'[1]2018'!$A$7:$F$349,6,FALSE)</f>
        <v>69</v>
      </c>
      <c r="AN44" s="32">
        <f>VLOOKUP(A44,'[2]2018 (2)'!$B$1:$D$318,3,FALSE)</f>
        <v>968</v>
      </c>
      <c r="AO44" s="15">
        <v>-34359.550000000003</v>
      </c>
      <c r="AP44" s="34"/>
      <c r="AQ44" s="34">
        <v>-42.26</v>
      </c>
      <c r="AR44" s="455">
        <v>1</v>
      </c>
    </row>
    <row r="45" spans="1:44" x14ac:dyDescent="0.25">
      <c r="A45" s="356">
        <v>5474</v>
      </c>
      <c r="B45" s="348" t="s">
        <v>215</v>
      </c>
      <c r="C45" s="348">
        <v>786794.46</v>
      </c>
      <c r="D45" s="348">
        <v>97568.639999999999</v>
      </c>
      <c r="E45" s="348"/>
      <c r="F45" s="348"/>
      <c r="G45" s="348">
        <v>2417.5</v>
      </c>
      <c r="H45" s="348">
        <v>90.8</v>
      </c>
      <c r="I45" s="348">
        <v>37946</v>
      </c>
      <c r="J45" s="348">
        <v>4262.05</v>
      </c>
      <c r="K45" s="348">
        <v>845</v>
      </c>
      <c r="L45" s="348">
        <v>84888.1</v>
      </c>
      <c r="M45" s="349">
        <f t="shared" si="0"/>
        <v>1014812.55</v>
      </c>
      <c r="N45" s="368">
        <v>2867.05</v>
      </c>
      <c r="O45" s="368">
        <v>676.4</v>
      </c>
      <c r="P45" s="368">
        <v>9627.6</v>
      </c>
      <c r="Q45" s="368"/>
      <c r="R45" s="368">
        <v>-15881.8</v>
      </c>
      <c r="S45" s="368"/>
      <c r="T45" s="368"/>
      <c r="U45" s="368">
        <v>1675</v>
      </c>
      <c r="V45" s="368"/>
      <c r="W45" s="368"/>
      <c r="X45" s="349">
        <f t="shared" si="1"/>
        <v>1013776.8</v>
      </c>
      <c r="Y45" s="34">
        <v>13880</v>
      </c>
      <c r="Z45" s="353"/>
      <c r="AA45" s="34">
        <v>71239.55</v>
      </c>
      <c r="AB45" s="353"/>
      <c r="AC45" s="34">
        <v>27755</v>
      </c>
      <c r="AD45" s="353">
        <v>8541</v>
      </c>
      <c r="AE45" s="34"/>
      <c r="AF45" s="353"/>
      <c r="AG45" s="34"/>
      <c r="AH45" s="353"/>
      <c r="AI45" s="34"/>
      <c r="AJ45" s="353"/>
      <c r="AK45" s="34"/>
      <c r="AL45" s="364">
        <f t="shared" si="2"/>
        <v>121415.55</v>
      </c>
      <c r="AM45" s="17">
        <f>VLOOKUP(B45,'[1]2018'!$A$7:$F$349,6,FALSE)</f>
        <v>77</v>
      </c>
      <c r="AN45" s="32">
        <f>VLOOKUP(A45,'[2]2018 (2)'!$B$1:$D$318,3,FALSE)</f>
        <v>410</v>
      </c>
      <c r="AO45" s="15">
        <v>-774.91</v>
      </c>
      <c r="AP45" s="34"/>
      <c r="AQ45" s="34">
        <v>-14.32</v>
      </c>
      <c r="AR45" s="455">
        <v>1.2</v>
      </c>
    </row>
    <row r="46" spans="1:44" x14ac:dyDescent="0.25">
      <c r="A46" s="356">
        <v>5475</v>
      </c>
      <c r="B46" s="348" t="s">
        <v>378</v>
      </c>
      <c r="C46" s="348">
        <v>314272.68</v>
      </c>
      <c r="D46" s="348">
        <v>32342.07</v>
      </c>
      <c r="E46" s="348"/>
      <c r="F46" s="348"/>
      <c r="G46" s="348">
        <v>9409.7000000000007</v>
      </c>
      <c r="H46" s="348">
        <v>168.05</v>
      </c>
      <c r="I46" s="348"/>
      <c r="J46" s="348">
        <v>7198.35</v>
      </c>
      <c r="K46" s="348"/>
      <c r="L46" s="348">
        <v>22237.3</v>
      </c>
      <c r="M46" s="349">
        <f t="shared" si="0"/>
        <v>385628.14999999997</v>
      </c>
      <c r="N46" s="368"/>
      <c r="O46" s="368"/>
      <c r="P46" s="368">
        <v>12280.9</v>
      </c>
      <c r="Q46" s="368"/>
      <c r="R46" s="368">
        <v>52362.2</v>
      </c>
      <c r="S46" s="368"/>
      <c r="T46" s="368"/>
      <c r="U46" s="368">
        <v>375</v>
      </c>
      <c r="V46" s="368"/>
      <c r="W46" s="368"/>
      <c r="X46" s="349">
        <f t="shared" si="1"/>
        <v>450646.25</v>
      </c>
      <c r="Y46" s="34"/>
      <c r="Z46" s="353"/>
      <c r="AA46" s="34">
        <v>12350.1</v>
      </c>
      <c r="AB46" s="353"/>
      <c r="AC46" s="34">
        <v>15626.75</v>
      </c>
      <c r="AD46" s="353"/>
      <c r="AE46" s="34"/>
      <c r="AF46" s="353"/>
      <c r="AG46" s="34"/>
      <c r="AH46" s="353"/>
      <c r="AI46" s="34"/>
      <c r="AJ46" s="353"/>
      <c r="AK46" s="34"/>
      <c r="AL46" s="364">
        <f t="shared" si="2"/>
        <v>27976.85</v>
      </c>
      <c r="AM46" s="17">
        <f>VLOOKUP(B46,'[1]2018'!$A$7:$F$349,6,FALSE)</f>
        <v>77</v>
      </c>
      <c r="AN46" s="32">
        <f>VLOOKUP(A46,'[2]2018 (2)'!$B$1:$D$318,3,FALSE)</f>
        <v>142</v>
      </c>
      <c r="AO46" s="15">
        <v>-3985.25</v>
      </c>
      <c r="AP46" s="34"/>
      <c r="AQ46" s="34">
        <v>0</v>
      </c>
      <c r="AR46" s="455">
        <v>1</v>
      </c>
    </row>
    <row r="47" spans="1:44" x14ac:dyDescent="0.25">
      <c r="A47" s="356">
        <v>5476</v>
      </c>
      <c r="B47" s="348" t="s">
        <v>379</v>
      </c>
      <c r="C47" s="348">
        <v>585613.56999999995</v>
      </c>
      <c r="D47" s="348">
        <v>146936.43</v>
      </c>
      <c r="E47" s="348"/>
      <c r="F47" s="348"/>
      <c r="G47" s="348">
        <v>4582.55</v>
      </c>
      <c r="H47" s="348">
        <v>4722</v>
      </c>
      <c r="I47" s="348"/>
      <c r="J47" s="348">
        <v>1323.02</v>
      </c>
      <c r="K47" s="348"/>
      <c r="L47" s="348">
        <v>56402.85</v>
      </c>
      <c r="M47" s="349">
        <f t="shared" si="0"/>
        <v>799580.42</v>
      </c>
      <c r="N47" s="368"/>
      <c r="O47" s="368">
        <v>-4347.2</v>
      </c>
      <c r="P47" s="368">
        <v>4015</v>
      </c>
      <c r="Q47" s="368"/>
      <c r="R47" s="368"/>
      <c r="S47" s="368"/>
      <c r="T47" s="368"/>
      <c r="U47" s="368">
        <v>2800</v>
      </c>
      <c r="V47" s="368"/>
      <c r="W47" s="368"/>
      <c r="X47" s="349">
        <f t="shared" si="1"/>
        <v>802048.22000000009</v>
      </c>
      <c r="Y47" s="34">
        <v>8345.5499999999993</v>
      </c>
      <c r="Z47" s="353"/>
      <c r="AA47" s="34">
        <v>15792.5</v>
      </c>
      <c r="AB47" s="353"/>
      <c r="AC47" s="34">
        <v>16124.9</v>
      </c>
      <c r="AD47" s="353">
        <v>13909.3</v>
      </c>
      <c r="AE47" s="34"/>
      <c r="AF47" s="353"/>
      <c r="AG47" s="34"/>
      <c r="AH47" s="353"/>
      <c r="AI47" s="34"/>
      <c r="AJ47" s="353"/>
      <c r="AK47" s="34"/>
      <c r="AL47" s="364">
        <f t="shared" si="2"/>
        <v>54172.25</v>
      </c>
      <c r="AM47" s="17">
        <f>VLOOKUP(B47,'[1]2018'!$A$7:$F$349,6,FALSE)</f>
        <v>74</v>
      </c>
      <c r="AN47" s="32">
        <f>VLOOKUP(A47,'[2]2018 (2)'!$B$1:$D$318,3,FALSE)</f>
        <v>314</v>
      </c>
      <c r="AO47" s="15">
        <v>-12733.74</v>
      </c>
      <c r="AP47" s="34"/>
      <c r="AQ47" s="34">
        <v>-178.72</v>
      </c>
      <c r="AR47" s="455">
        <v>1</v>
      </c>
    </row>
    <row r="48" spans="1:44" x14ac:dyDescent="0.25">
      <c r="A48" s="356">
        <v>5477</v>
      </c>
      <c r="B48" s="348" t="s">
        <v>380</v>
      </c>
      <c r="C48" s="348">
        <v>6519496.2400000002</v>
      </c>
      <c r="D48" s="348">
        <v>1471235.22</v>
      </c>
      <c r="E48" s="348"/>
      <c r="F48" s="348"/>
      <c r="G48" s="348">
        <v>711492.25</v>
      </c>
      <c r="H48" s="348">
        <v>-5238.55</v>
      </c>
      <c r="I48" s="348"/>
      <c r="J48" s="348">
        <v>198477.57</v>
      </c>
      <c r="K48" s="348">
        <v>13406.45</v>
      </c>
      <c r="L48" s="348">
        <v>624557.55000000005</v>
      </c>
      <c r="M48" s="349">
        <f t="shared" si="0"/>
        <v>9533426.7300000004</v>
      </c>
      <c r="N48" s="368">
        <v>65546.75</v>
      </c>
      <c r="O48" s="368">
        <v>70488.800000000003</v>
      </c>
      <c r="P48" s="368">
        <v>354112.25</v>
      </c>
      <c r="Q48" s="368">
        <v>10978.08</v>
      </c>
      <c r="R48" s="368">
        <v>355594.6</v>
      </c>
      <c r="S48" s="368"/>
      <c r="T48" s="368"/>
      <c r="U48" s="368">
        <v>18750</v>
      </c>
      <c r="V48" s="368"/>
      <c r="W48" s="368"/>
      <c r="X48" s="349">
        <f t="shared" si="1"/>
        <v>10408897.210000001</v>
      </c>
      <c r="Y48" s="34">
        <v>565567.5</v>
      </c>
      <c r="Z48" s="34">
        <v>483543</v>
      </c>
      <c r="AA48" s="34">
        <v>369017.05</v>
      </c>
      <c r="AB48" s="34">
        <v>523494.9</v>
      </c>
      <c r="AC48" s="34">
        <v>365483.8</v>
      </c>
      <c r="AD48" s="34">
        <v>395043</v>
      </c>
      <c r="AE48" s="34">
        <v>-130903.4</v>
      </c>
      <c r="AF48" s="34">
        <v>0</v>
      </c>
      <c r="AG48" s="34">
        <v>1139.2</v>
      </c>
      <c r="AH48" s="34">
        <v>85854.05</v>
      </c>
      <c r="AI48" s="34">
        <v>0</v>
      </c>
      <c r="AJ48" s="34">
        <v>0</v>
      </c>
      <c r="AK48" s="34">
        <v>18383</v>
      </c>
      <c r="AL48" s="364">
        <f t="shared" si="2"/>
        <v>2676622.1</v>
      </c>
      <c r="AM48" s="17">
        <f>VLOOKUP(B48,'[1]2018'!$A$7:$F$349,6,FALSE)</f>
        <v>71</v>
      </c>
      <c r="AN48" s="32">
        <f>VLOOKUP(A48,'[2]2018 (2)'!$B$1:$D$318,3,FALSE)</f>
        <v>3871</v>
      </c>
      <c r="AO48" s="15">
        <v>-66864.08</v>
      </c>
      <c r="AP48" s="34"/>
      <c r="AQ48" s="34">
        <v>-666.97</v>
      </c>
      <c r="AR48" s="455">
        <v>1</v>
      </c>
    </row>
    <row r="49" spans="1:44" x14ac:dyDescent="0.25">
      <c r="A49" s="356">
        <v>5478</v>
      </c>
      <c r="B49" s="348" t="s">
        <v>246</v>
      </c>
      <c r="C49" s="348">
        <v>882267.41</v>
      </c>
      <c r="D49" s="348">
        <v>113770.53</v>
      </c>
      <c r="E49" s="348"/>
      <c r="F49" s="348"/>
      <c r="G49" s="348">
        <v>26987.7</v>
      </c>
      <c r="H49" s="348">
        <v>115.1</v>
      </c>
      <c r="I49" s="348"/>
      <c r="J49" s="348">
        <v>10959.46</v>
      </c>
      <c r="K49" s="348">
        <v>250</v>
      </c>
      <c r="L49" s="348">
        <v>79154.25</v>
      </c>
      <c r="M49" s="349">
        <f t="shared" si="0"/>
        <v>1113504.45</v>
      </c>
      <c r="N49" s="368"/>
      <c r="O49" s="368"/>
      <c r="P49" s="368">
        <v>27335</v>
      </c>
      <c r="Q49" s="368"/>
      <c r="R49" s="368">
        <v>19134.400000000001</v>
      </c>
      <c r="S49" s="368"/>
      <c r="T49" s="368"/>
      <c r="U49" s="368">
        <v>1900</v>
      </c>
      <c r="V49" s="368"/>
      <c r="W49" s="368"/>
      <c r="X49" s="349">
        <f t="shared" si="1"/>
        <v>1161873.8499999999</v>
      </c>
      <c r="Y49" s="34">
        <v>2781.6</v>
      </c>
      <c r="Z49" s="353"/>
      <c r="AA49" s="34">
        <v>32224.5</v>
      </c>
      <c r="AB49" s="353"/>
      <c r="AC49" s="34">
        <v>28389.05</v>
      </c>
      <c r="AD49" s="353">
        <v>10821.6</v>
      </c>
      <c r="AE49" s="34"/>
      <c r="AF49" s="353"/>
      <c r="AG49" s="34"/>
      <c r="AH49" s="353"/>
      <c r="AI49" s="34"/>
      <c r="AJ49" s="353"/>
      <c r="AK49" s="34"/>
      <c r="AL49" s="364">
        <f t="shared" si="2"/>
        <v>74216.75</v>
      </c>
      <c r="AM49" s="17">
        <f>VLOOKUP(B49,'[1]2018'!$A$7:$F$349,6,FALSE)</f>
        <v>74</v>
      </c>
      <c r="AN49" s="32">
        <f>VLOOKUP(A49,'[2]2018 (2)'!$B$1:$D$318,3,FALSE)</f>
        <v>486</v>
      </c>
      <c r="AO49" s="15">
        <v>-49575.49</v>
      </c>
      <c r="AP49" s="34"/>
      <c r="AQ49" s="34">
        <v>0</v>
      </c>
      <c r="AR49" s="455">
        <v>1</v>
      </c>
    </row>
    <row r="50" spans="1:44" x14ac:dyDescent="0.25">
      <c r="A50" s="356">
        <v>5479</v>
      </c>
      <c r="B50" s="348" t="s">
        <v>247</v>
      </c>
      <c r="C50" s="348">
        <v>822288.28</v>
      </c>
      <c r="D50" s="348">
        <v>88227.62</v>
      </c>
      <c r="E50" s="348"/>
      <c r="F50" s="348"/>
      <c r="G50" s="348">
        <v>7226.1</v>
      </c>
      <c r="H50" s="348">
        <v>561.45000000000005</v>
      </c>
      <c r="I50" s="348">
        <v>283065</v>
      </c>
      <c r="J50" s="348">
        <v>1102.83</v>
      </c>
      <c r="K50" s="348">
        <v>-2375.5</v>
      </c>
      <c r="L50" s="348">
        <v>81774.25</v>
      </c>
      <c r="M50" s="349">
        <f t="shared" si="0"/>
        <v>1281870.03</v>
      </c>
      <c r="N50" s="368">
        <v>5626.3</v>
      </c>
      <c r="O50" s="368">
        <v>7729.5</v>
      </c>
      <c r="P50" s="368">
        <v>46533.599999999999</v>
      </c>
      <c r="Q50" s="368"/>
      <c r="R50" s="368">
        <v>28585.5</v>
      </c>
      <c r="S50" s="368"/>
      <c r="T50" s="368">
        <v>972.05</v>
      </c>
      <c r="U50" s="368">
        <v>1598</v>
      </c>
      <c r="V50" s="368"/>
      <c r="W50" s="368"/>
      <c r="X50" s="349">
        <f t="shared" si="1"/>
        <v>1372914.9800000002</v>
      </c>
      <c r="Y50" s="34">
        <v>9388.75</v>
      </c>
      <c r="Z50" s="353"/>
      <c r="AA50" s="34">
        <v>53132</v>
      </c>
      <c r="AB50" s="353"/>
      <c r="AC50" s="34">
        <v>68427.199999999997</v>
      </c>
      <c r="AD50" s="353"/>
      <c r="AE50" s="34">
        <v>11650</v>
      </c>
      <c r="AF50" s="353"/>
      <c r="AG50" s="34"/>
      <c r="AH50" s="353">
        <v>13198.7</v>
      </c>
      <c r="AI50" s="34"/>
      <c r="AJ50" s="353"/>
      <c r="AK50" s="34"/>
      <c r="AL50" s="364">
        <f t="shared" si="2"/>
        <v>155796.65000000002</v>
      </c>
      <c r="AM50" s="17">
        <f>VLOOKUP(B50,'[1]2018'!$A$7:$F$349,6,FALSE)</f>
        <v>77</v>
      </c>
      <c r="AN50" s="32">
        <f>VLOOKUP(A50,'[2]2018 (2)'!$B$1:$D$318,3,FALSE)</f>
        <v>479</v>
      </c>
      <c r="AO50" s="15">
        <v>-14806.32</v>
      </c>
      <c r="AP50" s="34"/>
      <c r="AQ50" s="34">
        <v>-0.06</v>
      </c>
      <c r="AR50" s="455">
        <v>1</v>
      </c>
    </row>
    <row r="51" spans="1:44" x14ac:dyDescent="0.25">
      <c r="A51" s="356">
        <v>5480</v>
      </c>
      <c r="B51" s="348" t="s">
        <v>248</v>
      </c>
      <c r="C51" s="348">
        <v>2276909.65</v>
      </c>
      <c r="D51" s="348">
        <v>293113.13</v>
      </c>
      <c r="E51" s="348"/>
      <c r="F51" s="348"/>
      <c r="G51" s="348">
        <v>56482.65</v>
      </c>
      <c r="H51" s="348">
        <v>8792.7000000000007</v>
      </c>
      <c r="I51" s="348"/>
      <c r="J51" s="348">
        <v>29320.560000000001</v>
      </c>
      <c r="K51" s="348">
        <v>13797.65</v>
      </c>
      <c r="L51" s="348">
        <v>298301.3</v>
      </c>
      <c r="M51" s="349">
        <f t="shared" si="0"/>
        <v>2976717.6399999997</v>
      </c>
      <c r="N51" s="368">
        <v>135149.35</v>
      </c>
      <c r="O51" s="368"/>
      <c r="P51" s="368">
        <v>220790.5</v>
      </c>
      <c r="Q51" s="368">
        <v>-1265.32</v>
      </c>
      <c r="R51" s="368">
        <v>52275.25</v>
      </c>
      <c r="S51" s="368"/>
      <c r="T51" s="368"/>
      <c r="U51" s="368">
        <v>9800</v>
      </c>
      <c r="V51" s="368">
        <v>412.5</v>
      </c>
      <c r="W51" s="368">
        <v>1801.25</v>
      </c>
      <c r="X51" s="349">
        <f t="shared" si="1"/>
        <v>3395681.17</v>
      </c>
      <c r="Y51" s="34">
        <v>16526.55</v>
      </c>
      <c r="Z51" s="353"/>
      <c r="AA51" s="34">
        <v>102452</v>
      </c>
      <c r="AB51" s="353">
        <v>140958.15</v>
      </c>
      <c r="AC51" s="34">
        <v>81270.649999999994</v>
      </c>
      <c r="AD51" s="353">
        <v>6115.65</v>
      </c>
      <c r="AE51" s="34"/>
      <c r="AF51" s="353"/>
      <c r="AG51" s="34">
        <v>4407.2</v>
      </c>
      <c r="AH51" s="353">
        <v>69611.7</v>
      </c>
      <c r="AI51" s="34"/>
      <c r="AJ51" s="353"/>
      <c r="AK51" s="34"/>
      <c r="AL51" s="364">
        <f t="shared" si="2"/>
        <v>421341.9</v>
      </c>
      <c r="AM51" s="17">
        <f>VLOOKUP(B51,'[1]2018'!$A$7:$F$349,6,FALSE)</f>
        <v>71</v>
      </c>
      <c r="AN51" s="32">
        <f>VLOOKUP(A51,'[2]2018 (2)'!$B$1:$D$318,3,FALSE)</f>
        <v>1027</v>
      </c>
      <c r="AO51" s="15">
        <v>-30702.32</v>
      </c>
      <c r="AP51" s="34"/>
      <c r="AQ51" s="34">
        <v>-181.59</v>
      </c>
      <c r="AR51" s="455">
        <v>1</v>
      </c>
    </row>
    <row r="52" spans="1:44" x14ac:dyDescent="0.25">
      <c r="A52" s="356">
        <v>5481</v>
      </c>
      <c r="B52" s="348" t="s">
        <v>249</v>
      </c>
      <c r="C52" s="348">
        <v>617595.96</v>
      </c>
      <c r="D52" s="348">
        <v>188615.29</v>
      </c>
      <c r="E52" s="348"/>
      <c r="F52" s="348"/>
      <c r="G52" s="348">
        <v>33085.949999999997</v>
      </c>
      <c r="H52" s="348">
        <v>30.15</v>
      </c>
      <c r="I52" s="348"/>
      <c r="J52" s="348">
        <v>4626.97</v>
      </c>
      <c r="K52" s="348"/>
      <c r="L52" s="348">
        <v>37590.6</v>
      </c>
      <c r="M52" s="349">
        <f t="shared" si="0"/>
        <v>881544.91999999993</v>
      </c>
      <c r="N52" s="368"/>
      <c r="O52" s="368"/>
      <c r="P52" s="368">
        <v>16212.2</v>
      </c>
      <c r="Q52" s="368"/>
      <c r="R52" s="368">
        <v>17433.5</v>
      </c>
      <c r="S52" s="368"/>
      <c r="T52" s="368"/>
      <c r="U52" s="368">
        <v>850</v>
      </c>
      <c r="V52" s="368"/>
      <c r="W52" s="368"/>
      <c r="X52" s="349">
        <f t="shared" si="1"/>
        <v>916040.61999999988</v>
      </c>
      <c r="Y52" s="34">
        <v>24300</v>
      </c>
      <c r="Z52" s="353"/>
      <c r="AA52" s="34">
        <v>59768.5</v>
      </c>
      <c r="AB52" s="353"/>
      <c r="AC52" s="34">
        <v>15928</v>
      </c>
      <c r="AD52" s="353">
        <v>16200</v>
      </c>
      <c r="AE52" s="34"/>
      <c r="AF52" s="353"/>
      <c r="AG52" s="34"/>
      <c r="AH52" s="353"/>
      <c r="AI52" s="34"/>
      <c r="AJ52" s="353"/>
      <c r="AK52" s="34"/>
      <c r="AL52" s="364">
        <f t="shared" si="2"/>
        <v>116196.5</v>
      </c>
      <c r="AM52" s="17">
        <f>VLOOKUP(B52,'[1]2018'!$A$7:$F$349,6,FALSE)</f>
        <v>79</v>
      </c>
      <c r="AN52" s="32">
        <f>VLOOKUP(A52,'[2]2018 (2)'!$B$1:$D$318,3,FALSE)</f>
        <v>223</v>
      </c>
      <c r="AO52" s="15">
        <v>-5632.54</v>
      </c>
      <c r="AP52" s="34"/>
      <c r="AQ52" s="34">
        <v>-17.829999999999998</v>
      </c>
      <c r="AR52" s="455">
        <v>1</v>
      </c>
    </row>
    <row r="53" spans="1:44" x14ac:dyDescent="0.25">
      <c r="A53" s="356">
        <v>5482</v>
      </c>
      <c r="B53" s="348" t="s">
        <v>250</v>
      </c>
      <c r="C53" s="348">
        <v>1363942.42</v>
      </c>
      <c r="D53" s="348">
        <v>170679.89</v>
      </c>
      <c r="E53" s="348"/>
      <c r="F53" s="348"/>
      <c r="G53" s="348">
        <v>234816.1</v>
      </c>
      <c r="H53" s="348">
        <v>11566.75</v>
      </c>
      <c r="I53" s="348"/>
      <c r="J53" s="348">
        <v>68551.86</v>
      </c>
      <c r="K53" s="348">
        <v>39174.5</v>
      </c>
      <c r="L53" s="348">
        <v>391720.3</v>
      </c>
      <c r="M53" s="349">
        <f t="shared" si="0"/>
        <v>2280451.8200000003</v>
      </c>
      <c r="N53" s="368">
        <v>301337.95</v>
      </c>
      <c r="O53" s="368">
        <v>50743.9</v>
      </c>
      <c r="P53" s="368">
        <v>30799.05</v>
      </c>
      <c r="Q53" s="368">
        <v>95.01</v>
      </c>
      <c r="R53" s="368">
        <v>3500</v>
      </c>
      <c r="S53" s="368"/>
      <c r="T53" s="368"/>
      <c r="U53" s="368">
        <v>10425</v>
      </c>
      <c r="V53" s="368"/>
      <c r="W53" s="368"/>
      <c r="X53" s="349">
        <f t="shared" si="1"/>
        <v>2677352.73</v>
      </c>
      <c r="Y53" s="34">
        <v>74289.850000000006</v>
      </c>
      <c r="Z53" s="353"/>
      <c r="AA53" s="34">
        <v>273512.75</v>
      </c>
      <c r="AB53" s="353"/>
      <c r="AC53" s="34">
        <v>115089</v>
      </c>
      <c r="AD53" s="353"/>
      <c r="AE53" s="34"/>
      <c r="AF53" s="353"/>
      <c r="AG53" s="34"/>
      <c r="AH53" s="353"/>
      <c r="AI53" s="34"/>
      <c r="AJ53" s="353"/>
      <c r="AK53" s="34"/>
      <c r="AL53" s="364">
        <f t="shared" si="2"/>
        <v>462891.6</v>
      </c>
      <c r="AM53" s="17">
        <f>VLOOKUP(B53,'[1]2018'!$A$7:$F$349,6,FALSE)</f>
        <v>46</v>
      </c>
      <c r="AN53" s="32">
        <f>VLOOKUP(A53,'[2]2018 (2)'!$B$1:$D$318,3,FALSE)</f>
        <v>1211</v>
      </c>
      <c r="AO53" s="15">
        <v>-25897.72</v>
      </c>
      <c r="AP53" s="34"/>
      <c r="AQ53" s="34">
        <v>-110.81</v>
      </c>
      <c r="AR53" s="455">
        <v>1</v>
      </c>
    </row>
    <row r="54" spans="1:44" x14ac:dyDescent="0.25">
      <c r="A54" s="356">
        <v>5483</v>
      </c>
      <c r="B54" s="348" t="s">
        <v>145</v>
      </c>
      <c r="C54" s="348">
        <v>556062.41</v>
      </c>
      <c r="D54" s="348">
        <v>62195.27</v>
      </c>
      <c r="E54" s="348"/>
      <c r="F54" s="348"/>
      <c r="G54" s="348">
        <v>-2824.65</v>
      </c>
      <c r="H54" s="348">
        <v>112.65</v>
      </c>
      <c r="I54" s="348"/>
      <c r="J54" s="348">
        <v>9050.8700000000008</v>
      </c>
      <c r="K54" s="348"/>
      <c r="L54" s="348">
        <v>52049.65</v>
      </c>
      <c r="M54" s="349">
        <f t="shared" si="0"/>
        <v>676646.20000000007</v>
      </c>
      <c r="N54" s="368"/>
      <c r="O54" s="368"/>
      <c r="P54" s="368">
        <v>39116</v>
      </c>
      <c r="Q54" s="368"/>
      <c r="R54" s="368">
        <v>6115.25</v>
      </c>
      <c r="S54" s="368"/>
      <c r="T54" s="368"/>
      <c r="U54" s="368">
        <v>1560</v>
      </c>
      <c r="V54" s="368"/>
      <c r="W54" s="368"/>
      <c r="X54" s="349">
        <f t="shared" si="1"/>
        <v>723437.45000000007</v>
      </c>
      <c r="Y54" s="34">
        <v>9100</v>
      </c>
      <c r="Z54" s="353"/>
      <c r="AA54" s="34">
        <v>52547.7</v>
      </c>
      <c r="AB54" s="353"/>
      <c r="AC54" s="34">
        <v>28137</v>
      </c>
      <c r="AD54" s="353"/>
      <c r="AE54" s="34"/>
      <c r="AF54" s="353"/>
      <c r="AG54" s="34"/>
      <c r="AH54" s="353"/>
      <c r="AI54" s="34"/>
      <c r="AJ54" s="353"/>
      <c r="AK54" s="34"/>
      <c r="AL54" s="364">
        <f t="shared" si="2"/>
        <v>89784.7</v>
      </c>
      <c r="AM54" s="17">
        <f>VLOOKUP(B54,'[1]2018'!$A$7:$F$349,6,FALSE)</f>
        <v>76</v>
      </c>
      <c r="AN54" s="32">
        <f>VLOOKUP(A54,'[2]2018 (2)'!$B$1:$D$318,3,FALSE)</f>
        <v>310</v>
      </c>
      <c r="AO54" s="15">
        <v>-3208.2</v>
      </c>
      <c r="AP54" s="34"/>
      <c r="AQ54" s="34">
        <v>-214.65</v>
      </c>
      <c r="AR54" s="455">
        <v>1</v>
      </c>
    </row>
    <row r="55" spans="1:44" x14ac:dyDescent="0.25">
      <c r="A55" s="356">
        <v>5484</v>
      </c>
      <c r="B55" s="348" t="s">
        <v>146</v>
      </c>
      <c r="C55" s="348">
        <v>1970696.54</v>
      </c>
      <c r="D55" s="348">
        <v>229988.81</v>
      </c>
      <c r="E55" s="348"/>
      <c r="F55" s="348"/>
      <c r="G55" s="348">
        <v>66074.95</v>
      </c>
      <c r="H55" s="348">
        <v>997.55</v>
      </c>
      <c r="I55" s="348"/>
      <c r="J55" s="348">
        <v>6633.45</v>
      </c>
      <c r="K55" s="348">
        <v>6925.65</v>
      </c>
      <c r="L55" s="348">
        <v>169611</v>
      </c>
      <c r="M55" s="349">
        <f t="shared" si="0"/>
        <v>2450927.9500000002</v>
      </c>
      <c r="N55" s="368">
        <v>24458.2</v>
      </c>
      <c r="O55" s="368">
        <v>11025.8</v>
      </c>
      <c r="P55" s="368">
        <v>200538.45</v>
      </c>
      <c r="Q55" s="368">
        <v>1776.89</v>
      </c>
      <c r="R55" s="368">
        <v>61962.7</v>
      </c>
      <c r="S55" s="368"/>
      <c r="T55" s="368"/>
      <c r="U55" s="368">
        <v>7750</v>
      </c>
      <c r="V55" s="368"/>
      <c r="W55" s="368"/>
      <c r="X55" s="349">
        <f t="shared" si="1"/>
        <v>2758439.9900000007</v>
      </c>
      <c r="Y55" s="34">
        <v>15342.6</v>
      </c>
      <c r="Z55" s="34" t="s">
        <v>649</v>
      </c>
      <c r="AA55" s="34">
        <v>126934.65</v>
      </c>
      <c r="AB55" s="34" t="s">
        <v>649</v>
      </c>
      <c r="AC55" s="34">
        <v>69481.25</v>
      </c>
      <c r="AD55" s="34">
        <v>10710</v>
      </c>
      <c r="AE55" s="34"/>
      <c r="AF55" s="34" t="s">
        <v>649</v>
      </c>
      <c r="AG55" s="34" t="s">
        <v>649</v>
      </c>
      <c r="AH55" s="34"/>
      <c r="AI55" s="34"/>
      <c r="AJ55" s="34"/>
      <c r="AK55" s="34"/>
      <c r="AL55" s="364">
        <f t="shared" si="2"/>
        <v>222468.5</v>
      </c>
      <c r="AM55" s="17">
        <f>VLOOKUP(B55,'[1]2018'!$A$7:$F$349,6,FALSE)</f>
        <v>74</v>
      </c>
      <c r="AN55" s="32">
        <f>VLOOKUP(A55,'[2]2018 (2)'!$B$1:$D$318,3,FALSE)</f>
        <v>939</v>
      </c>
      <c r="AO55" s="15">
        <v>-70320.44</v>
      </c>
      <c r="AP55" s="34"/>
      <c r="AQ55" s="34">
        <v>-0.2</v>
      </c>
      <c r="AR55" s="455">
        <v>1</v>
      </c>
    </row>
    <row r="56" spans="1:44" x14ac:dyDescent="0.25">
      <c r="A56" s="356">
        <v>5485</v>
      </c>
      <c r="B56" s="348" t="s">
        <v>147</v>
      </c>
      <c r="C56" s="348">
        <v>1079460.8899999999</v>
      </c>
      <c r="D56" s="348">
        <v>123470.17</v>
      </c>
      <c r="E56" s="348"/>
      <c r="F56" s="348"/>
      <c r="G56" s="348">
        <v>21779.45</v>
      </c>
      <c r="H56" s="348">
        <v>80.349999999999994</v>
      </c>
      <c r="I56" s="348"/>
      <c r="J56" s="348">
        <v>19619.8</v>
      </c>
      <c r="K56" s="348"/>
      <c r="L56" s="348">
        <v>73812.55</v>
      </c>
      <c r="M56" s="349">
        <f t="shared" si="0"/>
        <v>1318223.21</v>
      </c>
      <c r="N56" s="368">
        <v>10325.549999999999</v>
      </c>
      <c r="O56" s="368"/>
      <c r="P56" s="368">
        <v>19250</v>
      </c>
      <c r="Q56" s="368"/>
      <c r="R56" s="368">
        <v>6984.2</v>
      </c>
      <c r="S56" s="368"/>
      <c r="T56" s="368"/>
      <c r="U56" s="368">
        <v>1320</v>
      </c>
      <c r="V56" s="368"/>
      <c r="W56" s="368"/>
      <c r="X56" s="349">
        <f t="shared" si="1"/>
        <v>1356102.96</v>
      </c>
      <c r="Y56" s="34">
        <v>3350</v>
      </c>
      <c r="Z56" s="34" t="s">
        <v>649</v>
      </c>
      <c r="AA56" s="34">
        <v>78970.7</v>
      </c>
      <c r="AB56" s="34" t="s">
        <v>649</v>
      </c>
      <c r="AC56" s="34">
        <v>27755.9</v>
      </c>
      <c r="AD56" s="34">
        <v>2010</v>
      </c>
      <c r="AE56" s="34"/>
      <c r="AF56" s="34" t="s">
        <v>649</v>
      </c>
      <c r="AG56" s="34" t="s">
        <v>649</v>
      </c>
      <c r="AH56" s="34"/>
      <c r="AI56" s="34"/>
      <c r="AJ56" s="34"/>
      <c r="AK56" s="34"/>
      <c r="AL56" s="364">
        <f t="shared" si="2"/>
        <v>112086.6</v>
      </c>
      <c r="AM56" s="17">
        <f>VLOOKUP(B56,'[1]2018'!$A$7:$F$349,6,FALSE)</f>
        <v>70</v>
      </c>
      <c r="AN56" s="32">
        <f>VLOOKUP(A56,'[2]2018 (2)'!$B$1:$D$318,3,FALSE)</f>
        <v>398</v>
      </c>
      <c r="AO56" s="15">
        <v>-9380.48</v>
      </c>
      <c r="AP56" s="34"/>
      <c r="AQ56" s="34">
        <v>-35.04</v>
      </c>
      <c r="AR56" s="455">
        <v>1</v>
      </c>
    </row>
    <row r="57" spans="1:44" x14ac:dyDescent="0.25">
      <c r="A57" s="356">
        <v>5486</v>
      </c>
      <c r="B57" s="348" t="s">
        <v>5</v>
      </c>
      <c r="C57" s="348">
        <v>1776975.85</v>
      </c>
      <c r="D57" s="348">
        <v>247150.1</v>
      </c>
      <c r="E57" s="348"/>
      <c r="F57" s="348"/>
      <c r="G57" s="348">
        <v>118140.9</v>
      </c>
      <c r="H57" s="348">
        <v>1104.25</v>
      </c>
      <c r="I57" s="348">
        <v>34494.85</v>
      </c>
      <c r="J57" s="348">
        <v>19875</v>
      </c>
      <c r="K57" s="348">
        <v>7200.3</v>
      </c>
      <c r="L57" s="348">
        <v>183957.05</v>
      </c>
      <c r="M57" s="349">
        <f t="shared" si="0"/>
        <v>2388898.2999999998</v>
      </c>
      <c r="N57" s="368">
        <v>81096.3</v>
      </c>
      <c r="O57" s="368">
        <v>9054.4</v>
      </c>
      <c r="P57" s="368">
        <v>83916.5</v>
      </c>
      <c r="Q57" s="368">
        <v>392.51</v>
      </c>
      <c r="R57" s="368">
        <v>41166.800000000003</v>
      </c>
      <c r="S57" s="368"/>
      <c r="T57" s="368"/>
      <c r="U57" s="368">
        <v>10200</v>
      </c>
      <c r="V57" s="368"/>
      <c r="W57" s="368"/>
      <c r="X57" s="349">
        <f t="shared" si="1"/>
        <v>2614724.8099999991</v>
      </c>
      <c r="Y57" s="34">
        <v>60251.4</v>
      </c>
      <c r="Z57" s="34" t="s">
        <v>649</v>
      </c>
      <c r="AA57" s="34">
        <v>242647</v>
      </c>
      <c r="AB57" s="34" t="s">
        <v>649</v>
      </c>
      <c r="AC57" s="34">
        <v>89004.25</v>
      </c>
      <c r="AD57" s="34">
        <v>55661.4</v>
      </c>
      <c r="AE57" s="34" t="s">
        <v>649</v>
      </c>
      <c r="AF57" s="34" t="s">
        <v>649</v>
      </c>
      <c r="AG57" s="34" t="s">
        <v>649</v>
      </c>
      <c r="AH57" s="34">
        <v>37236.199999999997</v>
      </c>
      <c r="AI57" s="34"/>
      <c r="AJ57" s="34"/>
      <c r="AK57" s="34"/>
      <c r="AL57" s="364">
        <f t="shared" si="2"/>
        <v>484800.25000000006</v>
      </c>
      <c r="AM57" s="17">
        <f>VLOOKUP(B57,'[1]2018'!$A$7:$F$349,6,FALSE)</f>
        <v>76</v>
      </c>
      <c r="AN57" s="32">
        <f>VLOOKUP(A57,'[2]2018 (2)'!$B$1:$D$318,3,FALSE)</f>
        <v>1005</v>
      </c>
      <c r="AO57" s="15">
        <v>-13954.85</v>
      </c>
      <c r="AP57" s="34"/>
      <c r="AQ57" s="34">
        <v>0</v>
      </c>
      <c r="AR57" s="455">
        <v>1</v>
      </c>
    </row>
    <row r="58" spans="1:44" x14ac:dyDescent="0.25">
      <c r="A58" s="356">
        <v>5487</v>
      </c>
      <c r="B58" s="348" t="s">
        <v>6</v>
      </c>
      <c r="C58" s="348">
        <v>939694.8</v>
      </c>
      <c r="D58" s="348">
        <v>106464.48</v>
      </c>
      <c r="E58" s="348"/>
      <c r="F58" s="348"/>
      <c r="G58" s="348">
        <v>28357.65</v>
      </c>
      <c r="H58" s="348">
        <v>54</v>
      </c>
      <c r="I58" s="348"/>
      <c r="J58" s="348">
        <v>-2561.21</v>
      </c>
      <c r="K58" s="348">
        <v>-677.75</v>
      </c>
      <c r="L58" s="348">
        <v>72940.3</v>
      </c>
      <c r="M58" s="349">
        <f t="shared" si="0"/>
        <v>1144272.27</v>
      </c>
      <c r="N58" s="368"/>
      <c r="O58" s="368"/>
      <c r="P58" s="368">
        <v>19862.400000000001</v>
      </c>
      <c r="Q58" s="368"/>
      <c r="R58" s="368"/>
      <c r="S58" s="368"/>
      <c r="T58" s="368"/>
      <c r="U58" s="368">
        <v>3180</v>
      </c>
      <c r="V58" s="368"/>
      <c r="W58" s="368"/>
      <c r="X58" s="349">
        <f t="shared" si="1"/>
        <v>1167314.67</v>
      </c>
      <c r="Y58" s="34">
        <v>9000</v>
      </c>
      <c r="Z58" s="34" t="s">
        <v>649</v>
      </c>
      <c r="AA58" s="34">
        <v>40751.550000000003</v>
      </c>
      <c r="AB58" s="34" t="s">
        <v>649</v>
      </c>
      <c r="AC58" s="34">
        <v>39614.6</v>
      </c>
      <c r="AD58" s="34">
        <v>12618</v>
      </c>
      <c r="AE58" s="34" t="s">
        <v>649</v>
      </c>
      <c r="AF58" s="34" t="s">
        <v>649</v>
      </c>
      <c r="AG58" s="34">
        <v>511</v>
      </c>
      <c r="AH58" s="34">
        <v>8331.9</v>
      </c>
      <c r="AI58" s="34"/>
      <c r="AJ58" s="34"/>
      <c r="AK58" s="34"/>
      <c r="AL58" s="364">
        <f t="shared" si="2"/>
        <v>110827.04999999999</v>
      </c>
      <c r="AM58" s="17">
        <f>VLOOKUP(B58,'[1]2018'!$A$7:$F$349,6,FALSE)</f>
        <v>75</v>
      </c>
      <c r="AN58" s="32">
        <f>VLOOKUP(A58,'[2]2018 (2)'!$B$1:$D$318,3,FALSE)</f>
        <v>462</v>
      </c>
      <c r="AO58" s="15">
        <v>-34918.93</v>
      </c>
      <c r="AP58" s="34"/>
      <c r="AQ58" s="34">
        <v>-8.48</v>
      </c>
      <c r="AR58" s="455">
        <v>1</v>
      </c>
    </row>
    <row r="59" spans="1:44" x14ac:dyDescent="0.25">
      <c r="A59" s="356">
        <v>5488</v>
      </c>
      <c r="B59" s="348" t="s">
        <v>7</v>
      </c>
      <c r="C59" s="348">
        <v>134108.35999999999</v>
      </c>
      <c r="D59" s="348">
        <v>9531.4599999999991</v>
      </c>
      <c r="E59" s="348"/>
      <c r="F59" s="348"/>
      <c r="G59" s="348">
        <v>550.6</v>
      </c>
      <c r="H59" s="348">
        <v>119.95</v>
      </c>
      <c r="I59" s="348"/>
      <c r="J59" s="348"/>
      <c r="K59" s="348"/>
      <c r="L59" s="348">
        <v>8474</v>
      </c>
      <c r="M59" s="349">
        <f t="shared" si="0"/>
        <v>152784.37</v>
      </c>
      <c r="N59" s="368"/>
      <c r="O59" s="368">
        <v>12610.7</v>
      </c>
      <c r="P59" s="368"/>
      <c r="Q59" s="368"/>
      <c r="R59" s="368"/>
      <c r="S59" s="368"/>
      <c r="T59" s="368"/>
      <c r="U59" s="368">
        <v>130</v>
      </c>
      <c r="V59" s="368"/>
      <c r="W59" s="368"/>
      <c r="X59" s="349">
        <f t="shared" si="1"/>
        <v>165525.07</v>
      </c>
      <c r="Y59" s="34"/>
      <c r="Z59" s="353"/>
      <c r="AA59" s="34">
        <v>6591.65</v>
      </c>
      <c r="AB59" s="353"/>
      <c r="AC59" s="34">
        <v>5641.65</v>
      </c>
      <c r="AD59" s="353"/>
      <c r="AE59" s="34"/>
      <c r="AF59" s="353"/>
      <c r="AG59" s="34"/>
      <c r="AH59" s="353">
        <v>1134.8</v>
      </c>
      <c r="AI59" s="34"/>
      <c r="AJ59" s="353"/>
      <c r="AK59" s="34"/>
      <c r="AL59" s="364">
        <f t="shared" si="2"/>
        <v>13368.099999999999</v>
      </c>
      <c r="AM59" s="17">
        <f>VLOOKUP(B59,'[1]2018'!$A$7:$F$349,6,FALSE)</f>
        <v>78</v>
      </c>
      <c r="AN59" s="32">
        <f>VLOOKUP(A59,'[2]2018 (2)'!$B$1:$D$318,3,FALSE)</f>
        <v>59</v>
      </c>
      <c r="AO59" s="15">
        <v>-3887.44</v>
      </c>
      <c r="AP59" s="34"/>
      <c r="AQ59" s="34">
        <v>0</v>
      </c>
      <c r="AR59" s="455">
        <v>1</v>
      </c>
    </row>
    <row r="60" spans="1:44" x14ac:dyDescent="0.25">
      <c r="A60" s="356">
        <v>5489</v>
      </c>
      <c r="B60" s="348" t="s">
        <v>8</v>
      </c>
      <c r="C60" s="348">
        <v>1634842.82</v>
      </c>
      <c r="D60" s="348">
        <v>994535.31</v>
      </c>
      <c r="E60" s="348"/>
      <c r="F60" s="348"/>
      <c r="G60" s="348">
        <v>1500290.25</v>
      </c>
      <c r="H60" s="348">
        <v>-67993.14</v>
      </c>
      <c r="I60" s="348"/>
      <c r="J60" s="348">
        <v>11636.77</v>
      </c>
      <c r="K60" s="348">
        <v>7126.5</v>
      </c>
      <c r="L60" s="348">
        <v>289877.84999999998</v>
      </c>
      <c r="M60" s="349">
        <f t="shared" si="0"/>
        <v>4370316.3599999994</v>
      </c>
      <c r="N60" s="368">
        <v>156536.9</v>
      </c>
      <c r="O60" s="368"/>
      <c r="P60" s="368">
        <v>54458.15</v>
      </c>
      <c r="Q60" s="368"/>
      <c r="R60" s="368">
        <v>30454.1</v>
      </c>
      <c r="S60" s="368"/>
      <c r="T60" s="368"/>
      <c r="U60" s="368">
        <v>3540</v>
      </c>
      <c r="V60" s="368"/>
      <c r="W60" s="368"/>
      <c r="X60" s="349">
        <f t="shared" si="1"/>
        <v>4615305.51</v>
      </c>
      <c r="Y60" s="34">
        <v>68154.75</v>
      </c>
      <c r="Z60" s="353"/>
      <c r="AA60" s="34">
        <v>113932.4</v>
      </c>
      <c r="AB60" s="353"/>
      <c r="AC60" s="34">
        <v>43819.05</v>
      </c>
      <c r="AD60" s="353">
        <v>40728</v>
      </c>
      <c r="AE60" s="34">
        <v>129122.8</v>
      </c>
      <c r="AF60" s="353"/>
      <c r="AG60" s="34"/>
      <c r="AH60" s="353"/>
      <c r="AI60" s="34"/>
      <c r="AJ60" s="353"/>
      <c r="AK60" s="34"/>
      <c r="AL60" s="364">
        <f t="shared" si="2"/>
        <v>395757</v>
      </c>
      <c r="AM60" s="17">
        <f>VLOOKUP(B60,'[1]2018'!$A$7:$F$349,6,FALSE)</f>
        <v>61</v>
      </c>
      <c r="AN60" s="32">
        <f>VLOOKUP(A60,'[2]2018 (2)'!$B$1:$D$318,3,FALSE)</f>
        <v>725</v>
      </c>
      <c r="AO60" s="15">
        <v>-13355.03</v>
      </c>
      <c r="AP60" s="34"/>
      <c r="AQ60" s="34">
        <v>-51898.65</v>
      </c>
      <c r="AR60" s="455">
        <v>1</v>
      </c>
    </row>
    <row r="61" spans="1:44" x14ac:dyDescent="0.25">
      <c r="A61" s="356">
        <v>5490</v>
      </c>
      <c r="B61" s="348" t="s">
        <v>9</v>
      </c>
      <c r="C61" s="348">
        <v>602269.71</v>
      </c>
      <c r="D61" s="348">
        <v>101769.24</v>
      </c>
      <c r="E61" s="348"/>
      <c r="F61" s="348"/>
      <c r="G61" s="348">
        <v>-5743.1</v>
      </c>
      <c r="H61" s="348">
        <v>223.75</v>
      </c>
      <c r="I61" s="348"/>
      <c r="J61" s="348">
        <v>4328.7299999999996</v>
      </c>
      <c r="K61" s="348"/>
      <c r="L61" s="348">
        <v>44867.75</v>
      </c>
      <c r="M61" s="349">
        <f t="shared" si="0"/>
        <v>747716.08</v>
      </c>
      <c r="N61" s="368"/>
      <c r="O61" s="368">
        <v>17805.5</v>
      </c>
      <c r="P61" s="368">
        <v>4202</v>
      </c>
      <c r="Q61" s="368">
        <v>4055.75</v>
      </c>
      <c r="R61" s="368">
        <v>10133</v>
      </c>
      <c r="S61" s="368"/>
      <c r="T61" s="368"/>
      <c r="U61" s="368">
        <v>1280</v>
      </c>
      <c r="V61" s="368"/>
      <c r="W61" s="368"/>
      <c r="X61" s="349">
        <f t="shared" si="1"/>
        <v>785192.33</v>
      </c>
      <c r="Y61" s="34"/>
      <c r="Z61" s="353"/>
      <c r="AA61" s="34">
        <v>11080</v>
      </c>
      <c r="AB61" s="353"/>
      <c r="AC61" s="34">
        <v>29351.7</v>
      </c>
      <c r="AD61" s="353"/>
      <c r="AE61" s="34"/>
      <c r="AF61" s="353"/>
      <c r="AG61" s="34"/>
      <c r="AH61" s="353">
        <v>6968.35</v>
      </c>
      <c r="AI61" s="34"/>
      <c r="AJ61" s="353"/>
      <c r="AK61" s="34"/>
      <c r="AL61" s="364">
        <f t="shared" si="2"/>
        <v>47400.049999999996</v>
      </c>
      <c r="AM61" s="17">
        <f>VLOOKUP(B61,'[1]2018'!$A$7:$F$349,6,FALSE)</f>
        <v>80</v>
      </c>
      <c r="AN61" s="32">
        <f>VLOOKUP(A61,'[2]2018 (2)'!$B$1:$D$318,3,FALSE)</f>
        <v>310</v>
      </c>
      <c r="AO61" s="15">
        <v>-8039.76</v>
      </c>
      <c r="AP61" s="34"/>
      <c r="AQ61" s="34">
        <v>-19.43</v>
      </c>
      <c r="AR61" s="455">
        <v>1</v>
      </c>
    </row>
    <row r="62" spans="1:44" x14ac:dyDescent="0.25">
      <c r="A62" s="356">
        <v>5491</v>
      </c>
      <c r="B62" s="348" t="s">
        <v>169</v>
      </c>
      <c r="C62" s="348">
        <v>736946.4</v>
      </c>
      <c r="D62" s="348">
        <v>103493.59</v>
      </c>
      <c r="E62" s="348"/>
      <c r="F62" s="348"/>
      <c r="G62" s="348">
        <v>690.4</v>
      </c>
      <c r="H62" s="348">
        <v>1241.1500000000001</v>
      </c>
      <c r="I62" s="348"/>
      <c r="J62" s="348">
        <v>14190.31</v>
      </c>
      <c r="K62" s="348">
        <v>477.75</v>
      </c>
      <c r="L62" s="348">
        <v>75218.100000000006</v>
      </c>
      <c r="M62" s="349">
        <f t="shared" si="0"/>
        <v>932257.70000000007</v>
      </c>
      <c r="N62" s="368">
        <v>2093</v>
      </c>
      <c r="O62" s="368"/>
      <c r="P62" s="368">
        <v>70049.5</v>
      </c>
      <c r="Q62" s="368">
        <v>5071.63</v>
      </c>
      <c r="R62" s="368">
        <v>20485.25</v>
      </c>
      <c r="S62" s="368"/>
      <c r="T62" s="368"/>
      <c r="U62" s="368">
        <v>3550</v>
      </c>
      <c r="V62" s="368"/>
      <c r="W62" s="368"/>
      <c r="X62" s="349">
        <f t="shared" si="1"/>
        <v>1033507.0800000001</v>
      </c>
      <c r="Y62" s="34"/>
      <c r="Z62" s="353"/>
      <c r="AA62" s="34">
        <v>72996</v>
      </c>
      <c r="AB62" s="353"/>
      <c r="AC62" s="34">
        <v>36506</v>
      </c>
      <c r="AD62" s="353">
        <v>71635</v>
      </c>
      <c r="AE62" s="34"/>
      <c r="AF62" s="353"/>
      <c r="AG62" s="34"/>
      <c r="AH62" s="353">
        <v>11913.15</v>
      </c>
      <c r="AI62" s="34"/>
      <c r="AJ62" s="353"/>
      <c r="AK62" s="34"/>
      <c r="AL62" s="364">
        <f t="shared" si="2"/>
        <v>193050.15</v>
      </c>
      <c r="AM62" s="17">
        <f>VLOOKUP(B62,'[1]2018'!$A$7:$F$349,6,FALSE)</f>
        <v>76</v>
      </c>
      <c r="AN62" s="32">
        <f>VLOOKUP(A62,'[2]2018 (2)'!$B$1:$D$318,3,FALSE)</f>
        <v>466</v>
      </c>
      <c r="AO62" s="15">
        <v>-663.64</v>
      </c>
      <c r="AP62" s="34"/>
      <c r="AQ62" s="34">
        <v>0</v>
      </c>
      <c r="AR62" s="455">
        <v>1</v>
      </c>
    </row>
    <row r="63" spans="1:44" x14ac:dyDescent="0.25">
      <c r="A63" s="356">
        <v>5492</v>
      </c>
      <c r="B63" s="348" t="s">
        <v>170</v>
      </c>
      <c r="C63" s="348">
        <v>7280281.4699999997</v>
      </c>
      <c r="D63" s="348">
        <v>7445503.2999999998</v>
      </c>
      <c r="E63" s="348"/>
      <c r="F63" s="348"/>
      <c r="G63" s="348">
        <v>146268.25</v>
      </c>
      <c r="H63" s="348">
        <v>2043.7</v>
      </c>
      <c r="I63" s="348"/>
      <c r="J63" s="348">
        <v>41983.06</v>
      </c>
      <c r="K63" s="348">
        <v>3058.95</v>
      </c>
      <c r="L63" s="348">
        <v>71211.899999999994</v>
      </c>
      <c r="M63" s="349">
        <f t="shared" si="0"/>
        <v>14990350.629999999</v>
      </c>
      <c r="N63" s="368">
        <v>3572.45</v>
      </c>
      <c r="O63" s="368">
        <v>542124.1</v>
      </c>
      <c r="P63" s="368">
        <v>82548.5</v>
      </c>
      <c r="Q63" s="368">
        <v>2484.86</v>
      </c>
      <c r="R63" s="368">
        <v>6164.65</v>
      </c>
      <c r="S63" s="368"/>
      <c r="T63" s="368"/>
      <c r="U63" s="368">
        <v>7050</v>
      </c>
      <c r="V63" s="368"/>
      <c r="W63" s="368"/>
      <c r="X63" s="349">
        <f t="shared" si="1"/>
        <v>15634295.189999998</v>
      </c>
      <c r="Y63" s="34">
        <v>4252</v>
      </c>
      <c r="Z63" s="353"/>
      <c r="AA63" s="34">
        <v>18390</v>
      </c>
      <c r="AB63" s="353"/>
      <c r="AC63" s="34">
        <v>32444</v>
      </c>
      <c r="AD63" s="353">
        <v>3372</v>
      </c>
      <c r="AE63" s="34"/>
      <c r="AF63" s="353"/>
      <c r="AG63" s="34"/>
      <c r="AH63" s="353">
        <v>29951</v>
      </c>
      <c r="AI63" s="34"/>
      <c r="AJ63" s="353"/>
      <c r="AK63" s="34"/>
      <c r="AL63" s="364">
        <f t="shared" si="2"/>
        <v>88409</v>
      </c>
      <c r="AM63" s="17">
        <f>VLOOKUP(B63,'[1]2018'!$A$7:$F$349,6,FALSE)</f>
        <v>64</v>
      </c>
      <c r="AN63" s="32">
        <f>VLOOKUP(A63,'[2]2018 (2)'!$B$1:$D$318,3,FALSE)</f>
        <v>940</v>
      </c>
      <c r="AO63" s="15">
        <v>-24714.86</v>
      </c>
      <c r="AP63" s="34"/>
      <c r="AQ63" s="34">
        <v>-4065.12</v>
      </c>
      <c r="AR63" s="455">
        <v>0.3</v>
      </c>
    </row>
    <row r="64" spans="1:44" x14ac:dyDescent="0.25">
      <c r="A64" s="356">
        <v>5493</v>
      </c>
      <c r="B64" s="348" t="s">
        <v>171</v>
      </c>
      <c r="C64" s="348">
        <v>633746.98</v>
      </c>
      <c r="D64" s="348">
        <v>76697.5</v>
      </c>
      <c r="E64" s="348"/>
      <c r="F64" s="348"/>
      <c r="G64" s="348">
        <v>-2013.55</v>
      </c>
      <c r="H64" s="348">
        <v>646</v>
      </c>
      <c r="I64" s="348"/>
      <c r="J64" s="348">
        <v>34295.050000000003</v>
      </c>
      <c r="K64" s="348">
        <v>696.75</v>
      </c>
      <c r="L64" s="348">
        <v>34920.65</v>
      </c>
      <c r="M64" s="349">
        <f t="shared" si="0"/>
        <v>778989.38</v>
      </c>
      <c r="N64" s="368">
        <v>62873.3</v>
      </c>
      <c r="O64" s="368"/>
      <c r="P64" s="368">
        <v>68406.899999999994</v>
      </c>
      <c r="Q64" s="368">
        <v>1214.99</v>
      </c>
      <c r="R64" s="368">
        <v>2076.65</v>
      </c>
      <c r="S64" s="368"/>
      <c r="T64" s="368"/>
      <c r="U64" s="368">
        <v>1625</v>
      </c>
      <c r="V64" s="368"/>
      <c r="W64" s="368"/>
      <c r="X64" s="349">
        <f t="shared" si="1"/>
        <v>915186.22000000009</v>
      </c>
      <c r="Y64" s="34"/>
      <c r="Z64" s="353"/>
      <c r="AA64" s="34">
        <v>50866.400000000001</v>
      </c>
      <c r="AB64" s="353"/>
      <c r="AC64" s="34">
        <v>20840.75</v>
      </c>
      <c r="AD64" s="353"/>
      <c r="AE64" s="34"/>
      <c r="AF64" s="353"/>
      <c r="AG64" s="34"/>
      <c r="AH64" s="353"/>
      <c r="AI64" s="34"/>
      <c r="AJ64" s="353"/>
      <c r="AK64" s="34"/>
      <c r="AL64" s="364">
        <f t="shared" si="2"/>
        <v>71707.149999999994</v>
      </c>
      <c r="AM64" s="17">
        <f>VLOOKUP(B64,'[1]2018'!$A$7:$F$349,6,FALSE)</f>
        <v>73</v>
      </c>
      <c r="AN64" s="32">
        <f>VLOOKUP(A64,'[2]2018 (2)'!$B$1:$D$318,3,FALSE)</f>
        <v>368</v>
      </c>
      <c r="AO64" s="15">
        <v>-16612.169999999998</v>
      </c>
      <c r="AP64" s="34"/>
      <c r="AQ64" s="34"/>
      <c r="AR64" s="455">
        <v>0.65</v>
      </c>
    </row>
    <row r="65" spans="1:44" x14ac:dyDescent="0.25">
      <c r="A65" s="356">
        <v>5494</v>
      </c>
      <c r="B65" s="348" t="s">
        <v>172</v>
      </c>
      <c r="C65" s="348">
        <v>2373890.44</v>
      </c>
      <c r="D65" s="348">
        <v>241781.78</v>
      </c>
      <c r="E65" s="348"/>
      <c r="F65" s="348"/>
      <c r="G65" s="348">
        <v>60422.7</v>
      </c>
      <c r="H65" s="348">
        <v>1548.3</v>
      </c>
      <c r="I65" s="348"/>
      <c r="J65" s="348">
        <v>75730.929999999993</v>
      </c>
      <c r="K65" s="348">
        <v>3677.6</v>
      </c>
      <c r="L65" s="348">
        <v>222248.35</v>
      </c>
      <c r="M65" s="349">
        <f t="shared" si="0"/>
        <v>2979300.1</v>
      </c>
      <c r="N65" s="368">
        <v>46174.9</v>
      </c>
      <c r="O65" s="368">
        <v>5.2</v>
      </c>
      <c r="P65" s="368">
        <v>134559.15</v>
      </c>
      <c r="Q65" s="368">
        <v>8819.15</v>
      </c>
      <c r="R65" s="368">
        <v>143427.4</v>
      </c>
      <c r="S65" s="368">
        <v>4200.1000000000004</v>
      </c>
      <c r="T65" s="368"/>
      <c r="U65" s="368">
        <v>6880</v>
      </c>
      <c r="V65" s="368"/>
      <c r="W65" s="368"/>
      <c r="X65" s="349">
        <f t="shared" si="1"/>
        <v>3323366</v>
      </c>
      <c r="Y65" s="34">
        <v>4024.51</v>
      </c>
      <c r="Z65" s="34">
        <v>8346.98</v>
      </c>
      <c r="AA65" s="34">
        <v>154175.99</v>
      </c>
      <c r="AB65" s="34" t="s">
        <v>649</v>
      </c>
      <c r="AC65" s="34">
        <v>119192.58</v>
      </c>
      <c r="AD65" s="34">
        <v>3219.61</v>
      </c>
      <c r="AE65" s="34">
        <v>8346.98</v>
      </c>
      <c r="AF65" s="34" t="s">
        <v>649</v>
      </c>
      <c r="AG65" s="34" t="s">
        <v>649</v>
      </c>
      <c r="AH65" s="34"/>
      <c r="AI65" s="34"/>
      <c r="AJ65" s="34"/>
      <c r="AK65" s="34"/>
      <c r="AL65" s="364">
        <f t="shared" si="2"/>
        <v>297306.64999999997</v>
      </c>
      <c r="AM65" s="17">
        <f>VLOOKUP(B65,'[1]2018'!$A$7:$F$349,6,FALSE)</f>
        <v>75</v>
      </c>
      <c r="AN65" s="32">
        <f>VLOOKUP(A65,'[2]2018 (2)'!$B$1:$D$318,3,FALSE)</f>
        <v>1113</v>
      </c>
      <c r="AO65" s="15">
        <v>-141295.32999999999</v>
      </c>
      <c r="AP65" s="34"/>
      <c r="AQ65" s="34">
        <v>-241.55</v>
      </c>
      <c r="AR65" s="455">
        <v>1.05</v>
      </c>
    </row>
    <row r="66" spans="1:44" x14ac:dyDescent="0.25">
      <c r="A66" s="356">
        <v>5495</v>
      </c>
      <c r="B66" s="348" t="s">
        <v>173</v>
      </c>
      <c r="C66" s="348">
        <v>5440810.8099999996</v>
      </c>
      <c r="D66" s="348">
        <v>522355.34</v>
      </c>
      <c r="E66" s="348"/>
      <c r="F66" s="348"/>
      <c r="G66" s="348">
        <v>226663.35</v>
      </c>
      <c r="H66" s="348">
        <v>1284.5</v>
      </c>
      <c r="I66" s="348">
        <v>76611.75</v>
      </c>
      <c r="J66" s="348">
        <v>187073.09</v>
      </c>
      <c r="K66" s="348">
        <v>62860.45</v>
      </c>
      <c r="L66" s="348">
        <v>472932.2</v>
      </c>
      <c r="M66" s="349">
        <f t="shared" si="0"/>
        <v>6990591.4899999993</v>
      </c>
      <c r="N66" s="368">
        <v>216511.1</v>
      </c>
      <c r="O66" s="368">
        <v>44765.4</v>
      </c>
      <c r="P66" s="368">
        <v>108744.3</v>
      </c>
      <c r="Q66" s="368">
        <v>51967.79</v>
      </c>
      <c r="R66" s="368">
        <v>213370.9</v>
      </c>
      <c r="S66" s="368"/>
      <c r="T66" s="368"/>
      <c r="U66" s="368">
        <v>11280</v>
      </c>
      <c r="V66" s="368"/>
      <c r="W66" s="368"/>
      <c r="X66" s="349">
        <f t="shared" si="1"/>
        <v>7637230.9799999995</v>
      </c>
      <c r="Y66" s="34">
        <v>-35809.300000000003</v>
      </c>
      <c r="Z66" s="34" t="s">
        <v>649</v>
      </c>
      <c r="AA66" s="34">
        <v>77266.350000000006</v>
      </c>
      <c r="AB66" s="34">
        <v>464982</v>
      </c>
      <c r="AC66" s="34">
        <v>258466.25</v>
      </c>
      <c r="AD66" s="34">
        <v>-71770.05</v>
      </c>
      <c r="AE66" s="34" t="s">
        <v>649</v>
      </c>
      <c r="AF66" s="34" t="s">
        <v>649</v>
      </c>
      <c r="AG66" s="34">
        <v>8470</v>
      </c>
      <c r="AH66" s="34">
        <v>80500</v>
      </c>
      <c r="AI66" s="34"/>
      <c r="AJ66" s="34"/>
      <c r="AK66" s="34">
        <v>23000</v>
      </c>
      <c r="AL66" s="364">
        <f t="shared" si="2"/>
        <v>805105.25</v>
      </c>
      <c r="AM66" s="17">
        <f>VLOOKUP(B66,'[1]2018'!$A$7:$F$349,6,FALSE)</f>
        <v>74</v>
      </c>
      <c r="AN66" s="32">
        <f>VLOOKUP(A66,'[2]2018 (2)'!$B$1:$D$318,3,FALSE)</f>
        <v>3283</v>
      </c>
      <c r="AO66" s="15">
        <v>-166296</v>
      </c>
      <c r="AP66" s="34"/>
      <c r="AQ66" s="34">
        <v>-355.36</v>
      </c>
      <c r="AR66" s="455">
        <v>1</v>
      </c>
    </row>
    <row r="67" spans="1:44" x14ac:dyDescent="0.25">
      <c r="A67" s="356">
        <v>5496</v>
      </c>
      <c r="B67" s="348" t="s">
        <v>174</v>
      </c>
      <c r="C67" s="348">
        <v>3291271.68</v>
      </c>
      <c r="D67" s="348">
        <v>301872.84000000003</v>
      </c>
      <c r="E67" s="348"/>
      <c r="F67" s="348"/>
      <c r="G67" s="348">
        <v>128828.25</v>
      </c>
      <c r="H67" s="348">
        <v>7605.8</v>
      </c>
      <c r="I67" s="348"/>
      <c r="J67" s="348">
        <v>77055.75</v>
      </c>
      <c r="K67" s="348">
        <v>20261.25</v>
      </c>
      <c r="L67" s="348">
        <v>303790</v>
      </c>
      <c r="M67" s="349">
        <f t="shared" si="0"/>
        <v>4130685.57</v>
      </c>
      <c r="N67" s="368">
        <v>94624.3</v>
      </c>
      <c r="O67" s="368">
        <v>119411.7</v>
      </c>
      <c r="P67" s="368">
        <v>206536.25</v>
      </c>
      <c r="Q67" s="368">
        <v>1411.91</v>
      </c>
      <c r="R67" s="368">
        <v>124274.85</v>
      </c>
      <c r="S67" s="368"/>
      <c r="T67" s="368"/>
      <c r="U67" s="368">
        <v>12950</v>
      </c>
      <c r="V67" s="368"/>
      <c r="W67" s="368"/>
      <c r="X67" s="349">
        <f t="shared" si="1"/>
        <v>4689894.58</v>
      </c>
      <c r="Y67" s="34">
        <v>112472.9</v>
      </c>
      <c r="Z67" s="353"/>
      <c r="AA67" s="34"/>
      <c r="AB67" s="353">
        <v>260960.4</v>
      </c>
      <c r="AC67" s="34">
        <v>130380</v>
      </c>
      <c r="AD67" s="353">
        <v>103777.4</v>
      </c>
      <c r="AE67" s="34"/>
      <c r="AF67" s="353"/>
      <c r="AG67" s="34">
        <v>3060.55</v>
      </c>
      <c r="AH67" s="353">
        <v>53988.15</v>
      </c>
      <c r="AI67" s="34"/>
      <c r="AJ67" s="353"/>
      <c r="AK67" s="34"/>
      <c r="AL67" s="364">
        <f t="shared" si="2"/>
        <v>664639.4</v>
      </c>
      <c r="AM67" s="17">
        <f>VLOOKUP(B67,'[1]2018'!$A$7:$F$349,6,FALSE)</f>
        <v>71</v>
      </c>
      <c r="AN67" s="32">
        <f>VLOOKUP(A67,'[2]2018 (2)'!$B$1:$D$318,3,FALSE)</f>
        <v>1747</v>
      </c>
      <c r="AO67" s="15">
        <v>-53644.959999999999</v>
      </c>
      <c r="AP67" s="34"/>
      <c r="AQ67" s="34">
        <v>-60.89</v>
      </c>
      <c r="AR67" s="455">
        <v>1</v>
      </c>
    </row>
    <row r="68" spans="1:44" x14ac:dyDescent="0.25">
      <c r="A68" s="356">
        <v>5497</v>
      </c>
      <c r="B68" s="348" t="s">
        <v>175</v>
      </c>
      <c r="C68" s="348">
        <v>1155298.76</v>
      </c>
      <c r="D68" s="348">
        <v>105910.47</v>
      </c>
      <c r="E68" s="348"/>
      <c r="F68" s="348"/>
      <c r="G68" s="348">
        <v>49374.75</v>
      </c>
      <c r="H68" s="348">
        <v>-191.7</v>
      </c>
      <c r="I68" s="348"/>
      <c r="J68" s="348">
        <v>47235.39</v>
      </c>
      <c r="K68" s="348">
        <v>6244.75</v>
      </c>
      <c r="L68" s="348">
        <v>124855.5</v>
      </c>
      <c r="M68" s="349">
        <f t="shared" si="0"/>
        <v>1488727.92</v>
      </c>
      <c r="N68" s="368">
        <v>240433.1</v>
      </c>
      <c r="O68" s="368">
        <v>19077.2</v>
      </c>
      <c r="P68" s="368">
        <v>71866.7</v>
      </c>
      <c r="Q68" s="368">
        <v>6481.45</v>
      </c>
      <c r="R68" s="368">
        <v>36937.35</v>
      </c>
      <c r="S68" s="368"/>
      <c r="T68" s="368"/>
      <c r="U68" s="368">
        <v>2725</v>
      </c>
      <c r="V68" s="368"/>
      <c r="W68" s="368"/>
      <c r="X68" s="349">
        <f t="shared" si="1"/>
        <v>1866248.72</v>
      </c>
      <c r="Y68" s="34">
        <v>29919.9</v>
      </c>
      <c r="Z68" s="353"/>
      <c r="AA68" s="34">
        <v>96779.8</v>
      </c>
      <c r="AB68" s="353"/>
      <c r="AC68" s="34">
        <v>92141.3</v>
      </c>
      <c r="AD68" s="353"/>
      <c r="AE68" s="34"/>
      <c r="AF68" s="353"/>
      <c r="AG68" s="34"/>
      <c r="AH68" s="353">
        <v>34000.949999999997</v>
      </c>
      <c r="AI68" s="34"/>
      <c r="AJ68" s="353"/>
      <c r="AK68" s="34"/>
      <c r="AL68" s="364">
        <f t="shared" si="2"/>
        <v>252841.95</v>
      </c>
      <c r="AM68" s="17">
        <f>VLOOKUP(B68,'[1]2018'!$A$7:$F$349,6,FALSE)</f>
        <v>66</v>
      </c>
      <c r="AN68" s="32">
        <f>VLOOKUP(A68,'[2]2018 (2)'!$B$1:$D$318,3,FALSE)</f>
        <v>847</v>
      </c>
      <c r="AO68" s="15">
        <v>-9114.9500000000007</v>
      </c>
      <c r="AP68" s="34"/>
      <c r="AQ68" s="34">
        <v>0</v>
      </c>
      <c r="AR68" s="455">
        <v>1</v>
      </c>
    </row>
    <row r="69" spans="1:44" x14ac:dyDescent="0.25">
      <c r="A69" s="356">
        <v>5498</v>
      </c>
      <c r="B69" s="348" t="s">
        <v>176</v>
      </c>
      <c r="C69" s="348">
        <v>4262568.01</v>
      </c>
      <c r="D69" s="348">
        <v>383260.3</v>
      </c>
      <c r="E69" s="348"/>
      <c r="F69" s="348"/>
      <c r="G69" s="348">
        <v>117682.45</v>
      </c>
      <c r="H69" s="348">
        <v>1033.8</v>
      </c>
      <c r="I69" s="348"/>
      <c r="J69" s="348">
        <v>108706.32</v>
      </c>
      <c r="K69" s="348">
        <v>9328.65</v>
      </c>
      <c r="L69" s="348">
        <v>389029.45</v>
      </c>
      <c r="M69" s="349">
        <f t="shared" si="0"/>
        <v>5271608.9800000004</v>
      </c>
      <c r="N69" s="368">
        <v>83661.399999999994</v>
      </c>
      <c r="O69" s="368">
        <v>109211.2</v>
      </c>
      <c r="P69" s="368">
        <v>137932.85</v>
      </c>
      <c r="Q69" s="368">
        <v>5800.36</v>
      </c>
      <c r="R69" s="368">
        <v>92568.35</v>
      </c>
      <c r="S69" s="368">
        <v>1173</v>
      </c>
      <c r="T69" s="368">
        <v>10023.4</v>
      </c>
      <c r="U69" s="368">
        <v>17600</v>
      </c>
      <c r="V69" s="368"/>
      <c r="W69" s="368"/>
      <c r="X69" s="349">
        <f t="shared" si="1"/>
        <v>5729579.540000001</v>
      </c>
      <c r="Y69" s="34">
        <v>74199.75</v>
      </c>
      <c r="Z69" s="353"/>
      <c r="AA69" s="34">
        <v>259344.05</v>
      </c>
      <c r="AB69" s="353"/>
      <c r="AC69" s="34">
        <v>276126.05</v>
      </c>
      <c r="AD69" s="353"/>
      <c r="AE69" s="34"/>
      <c r="AF69" s="353"/>
      <c r="AG69" s="34"/>
      <c r="AH69" s="353"/>
      <c r="AI69" s="34"/>
      <c r="AJ69" s="353"/>
      <c r="AK69" s="34"/>
      <c r="AL69" s="364">
        <f t="shared" si="2"/>
        <v>609669.85</v>
      </c>
      <c r="AM69" s="17">
        <f>VLOOKUP(B69,'[1]2018'!$A$7:$F$349,6,FALSE)</f>
        <v>66</v>
      </c>
      <c r="AN69" s="32">
        <f>VLOOKUP(A69,'[2]2018 (2)'!$B$1:$D$318,3,FALSE)</f>
        <v>2596</v>
      </c>
      <c r="AO69" s="15">
        <v>-116051.35</v>
      </c>
      <c r="AP69" s="34"/>
      <c r="AQ69" s="34">
        <v>-31.47</v>
      </c>
      <c r="AR69" s="455">
        <v>1</v>
      </c>
    </row>
    <row r="70" spans="1:44" x14ac:dyDescent="0.25">
      <c r="A70" s="356">
        <v>5499</v>
      </c>
      <c r="B70" s="348" t="s">
        <v>177</v>
      </c>
      <c r="C70" s="348">
        <v>1244733.01</v>
      </c>
      <c r="D70" s="348">
        <v>254549.1</v>
      </c>
      <c r="E70" s="348"/>
      <c r="F70" s="348"/>
      <c r="G70" s="348">
        <v>36993.35</v>
      </c>
      <c r="H70" s="348">
        <v>772.85</v>
      </c>
      <c r="I70" s="348"/>
      <c r="J70" s="348">
        <v>6464.4</v>
      </c>
      <c r="K70" s="348"/>
      <c r="L70" s="348">
        <v>93195.3</v>
      </c>
      <c r="M70" s="349">
        <f t="shared" si="0"/>
        <v>1636708.0100000002</v>
      </c>
      <c r="N70" s="368">
        <v>13140.25</v>
      </c>
      <c r="O70" s="368">
        <v>14250.8</v>
      </c>
      <c r="P70" s="368">
        <v>37180</v>
      </c>
      <c r="Q70" s="368"/>
      <c r="R70" s="368">
        <v>33174.5</v>
      </c>
      <c r="S70" s="368"/>
      <c r="T70" s="368">
        <v>100</v>
      </c>
      <c r="U70" s="368">
        <v>1600</v>
      </c>
      <c r="V70" s="368"/>
      <c r="W70" s="368"/>
      <c r="X70" s="349">
        <f t="shared" si="1"/>
        <v>1736153.5600000003</v>
      </c>
      <c r="Y70" s="34">
        <v>-1103.8499999999999</v>
      </c>
      <c r="Z70" s="34" t="s">
        <v>649</v>
      </c>
      <c r="AA70" s="34">
        <v>33900</v>
      </c>
      <c r="AB70" s="34" t="s">
        <v>649</v>
      </c>
      <c r="AC70" s="34">
        <v>43542.75</v>
      </c>
      <c r="AD70" s="34">
        <v>-1103.8499999999999</v>
      </c>
      <c r="AE70" s="34" t="s">
        <v>649</v>
      </c>
      <c r="AF70" s="34" t="s">
        <v>649</v>
      </c>
      <c r="AG70" s="34" t="s">
        <v>649</v>
      </c>
      <c r="AH70" s="34"/>
      <c r="AI70" s="34"/>
      <c r="AJ70" s="34"/>
      <c r="AK70" s="34"/>
      <c r="AL70" s="364">
        <f t="shared" si="2"/>
        <v>75235.049999999988</v>
      </c>
      <c r="AM70" s="17">
        <f>VLOOKUP(B70,'[1]2018'!$A$7:$F$349,6,FALSE)</f>
        <v>68.5</v>
      </c>
      <c r="AN70" s="32">
        <f>VLOOKUP(A70,'[2]2018 (2)'!$B$1:$D$318,3,FALSE)</f>
        <v>488</v>
      </c>
      <c r="AO70" s="15">
        <v>-345.58</v>
      </c>
      <c r="AP70" s="34"/>
      <c r="AQ70" s="34">
        <v>-125.97</v>
      </c>
      <c r="AR70" s="455">
        <v>1</v>
      </c>
    </row>
    <row r="71" spans="1:44" x14ac:dyDescent="0.25">
      <c r="A71" s="356">
        <v>5500</v>
      </c>
      <c r="B71" s="348" t="s">
        <v>178</v>
      </c>
      <c r="C71" s="348">
        <v>385139.76</v>
      </c>
      <c r="D71" s="348">
        <v>50943.38</v>
      </c>
      <c r="E71" s="348"/>
      <c r="F71" s="348"/>
      <c r="G71" s="348">
        <v>5598.85</v>
      </c>
      <c r="H71" s="348">
        <v>275.60000000000002</v>
      </c>
      <c r="I71" s="348"/>
      <c r="J71" s="348">
        <v>-2334.81</v>
      </c>
      <c r="K71" s="348">
        <v>153.94999999999999</v>
      </c>
      <c r="L71" s="348">
        <v>50377.7</v>
      </c>
      <c r="M71" s="349">
        <f t="shared" si="0"/>
        <v>490154.43</v>
      </c>
      <c r="N71" s="368">
        <v>1747.6</v>
      </c>
      <c r="O71" s="368">
        <v>47500</v>
      </c>
      <c r="P71" s="368">
        <v>15655.8</v>
      </c>
      <c r="Q71" s="368">
        <v>-2089.33</v>
      </c>
      <c r="R71" s="368"/>
      <c r="S71" s="368"/>
      <c r="T71" s="368"/>
      <c r="U71" s="368">
        <v>1450</v>
      </c>
      <c r="V71" s="368"/>
      <c r="W71" s="368"/>
      <c r="X71" s="349">
        <f t="shared" si="1"/>
        <v>554418.50000000012</v>
      </c>
      <c r="Y71" s="34">
        <v>5797</v>
      </c>
      <c r="Z71" s="353"/>
      <c r="AA71" s="34">
        <v>28912.3</v>
      </c>
      <c r="AB71" s="353"/>
      <c r="AC71" s="34">
        <v>21378.7</v>
      </c>
      <c r="AD71" s="353"/>
      <c r="AE71" s="34"/>
      <c r="AF71" s="353"/>
      <c r="AG71" s="34"/>
      <c r="AH71" s="353"/>
      <c r="AI71" s="34"/>
      <c r="AJ71" s="353"/>
      <c r="AK71" s="34"/>
      <c r="AL71" s="364">
        <f t="shared" si="2"/>
        <v>56088</v>
      </c>
      <c r="AM71" s="17">
        <f>VLOOKUP(B71,'[1]2018'!$A$7:$F$349,6,FALSE)</f>
        <v>75</v>
      </c>
      <c r="AN71" s="32">
        <f>VLOOKUP(A71,'[2]2018 (2)'!$B$1:$D$318,3,FALSE)</f>
        <v>225</v>
      </c>
      <c r="AO71" s="15">
        <v>-4200.3900000000003</v>
      </c>
      <c r="AP71" s="34"/>
      <c r="AQ71" s="34">
        <v>-603.44000000000005</v>
      </c>
      <c r="AR71" s="455">
        <v>1.2</v>
      </c>
    </row>
    <row r="72" spans="1:44" x14ac:dyDescent="0.25">
      <c r="A72" s="356">
        <v>5501</v>
      </c>
      <c r="B72" s="348" t="s">
        <v>179</v>
      </c>
      <c r="C72" s="348">
        <v>1881688.92</v>
      </c>
      <c r="D72" s="348">
        <v>403216.75</v>
      </c>
      <c r="E72" s="348"/>
      <c r="F72" s="348"/>
      <c r="G72" s="348">
        <v>47430.75</v>
      </c>
      <c r="H72" s="348">
        <v>1005.2</v>
      </c>
      <c r="I72" s="348">
        <v>38474.65</v>
      </c>
      <c r="J72" s="348">
        <v>73651.55</v>
      </c>
      <c r="K72" s="348"/>
      <c r="L72" s="348">
        <v>215245.75</v>
      </c>
      <c r="M72" s="349">
        <f t="shared" ref="M72:M135" si="3">SUM(C72:L72)</f>
        <v>2660713.5699999998</v>
      </c>
      <c r="N72" s="368">
        <v>356.45</v>
      </c>
      <c r="O72" s="368">
        <v>13667.9</v>
      </c>
      <c r="P72" s="368">
        <v>122065.15</v>
      </c>
      <c r="Q72" s="368"/>
      <c r="R72" s="368">
        <v>43428.65</v>
      </c>
      <c r="S72" s="368"/>
      <c r="T72" s="368"/>
      <c r="U72" s="368">
        <v>3575</v>
      </c>
      <c r="V72" s="368"/>
      <c r="W72" s="368"/>
      <c r="X72" s="349">
        <f t="shared" ref="X72:X135" si="4">SUM(M72:W72)</f>
        <v>2843806.7199999997</v>
      </c>
      <c r="Y72" s="34">
        <v>38077.199999999997</v>
      </c>
      <c r="Z72" s="353"/>
      <c r="AA72" s="34">
        <v>111929.4</v>
      </c>
      <c r="AB72" s="353"/>
      <c r="AC72" s="34">
        <v>111420.1</v>
      </c>
      <c r="AD72" s="353">
        <v>41700</v>
      </c>
      <c r="AE72" s="34"/>
      <c r="AF72" s="353"/>
      <c r="AG72" s="34"/>
      <c r="AH72" s="353"/>
      <c r="AI72" s="34"/>
      <c r="AJ72" s="353"/>
      <c r="AK72" s="34"/>
      <c r="AL72" s="364">
        <f t="shared" ref="AL72:AL135" si="5">SUM(Y72:AK72)</f>
        <v>303126.69999999995</v>
      </c>
      <c r="AM72" s="17">
        <f>VLOOKUP(B72,'[1]2018'!$A$7:$F$349,6,FALSE)</f>
        <v>70</v>
      </c>
      <c r="AN72" s="32">
        <f>VLOOKUP(A72,'[2]2018 (2)'!$B$1:$D$318,3,FALSE)</f>
        <v>1036</v>
      </c>
      <c r="AO72" s="15">
        <v>-13779.9</v>
      </c>
      <c r="AP72" s="34"/>
      <c r="AQ72" s="34">
        <v>-69.930000000000007</v>
      </c>
      <c r="AR72" s="455">
        <v>1</v>
      </c>
    </row>
    <row r="73" spans="1:44" x14ac:dyDescent="0.25">
      <c r="A73" s="356">
        <v>5503</v>
      </c>
      <c r="B73" s="348" t="s">
        <v>180</v>
      </c>
      <c r="C73" s="348">
        <v>3399837.56</v>
      </c>
      <c r="D73" s="348">
        <v>490758.86</v>
      </c>
      <c r="E73" s="348"/>
      <c r="F73" s="348"/>
      <c r="G73" s="348">
        <v>949766.25</v>
      </c>
      <c r="H73" s="348">
        <v>36188.65</v>
      </c>
      <c r="I73" s="348"/>
      <c r="J73" s="348">
        <v>31290.84</v>
      </c>
      <c r="K73" s="348">
        <v>28596</v>
      </c>
      <c r="L73" s="348">
        <v>413922.7</v>
      </c>
      <c r="M73" s="349">
        <f t="shared" si="3"/>
        <v>5350360.8600000003</v>
      </c>
      <c r="N73" s="368">
        <v>83801.5</v>
      </c>
      <c r="O73" s="368">
        <v>169027.3</v>
      </c>
      <c r="P73" s="368">
        <v>398557</v>
      </c>
      <c r="Q73" s="368">
        <v>6027.65</v>
      </c>
      <c r="R73" s="368">
        <v>184137.35</v>
      </c>
      <c r="S73" s="368"/>
      <c r="T73" s="368"/>
      <c r="U73" s="368">
        <v>6120</v>
      </c>
      <c r="V73" s="368"/>
      <c r="W73" s="368"/>
      <c r="X73" s="349">
        <f t="shared" si="4"/>
        <v>6198031.6600000001</v>
      </c>
      <c r="Y73" s="34">
        <v>634641.15</v>
      </c>
      <c r="Z73" s="353"/>
      <c r="AA73" s="34">
        <v>196602.85</v>
      </c>
      <c r="AB73" s="353"/>
      <c r="AC73" s="34">
        <v>140910.35</v>
      </c>
      <c r="AD73" s="353">
        <v>357433.9</v>
      </c>
      <c r="AE73" s="34"/>
      <c r="AF73" s="353"/>
      <c r="AG73" s="34"/>
      <c r="AH73" s="353"/>
      <c r="AI73" s="34"/>
      <c r="AJ73" s="353"/>
      <c r="AK73" s="34"/>
      <c r="AL73" s="364">
        <f t="shared" si="5"/>
        <v>1329588.25</v>
      </c>
      <c r="AM73" s="17">
        <f>VLOOKUP(B73,'[1]2018'!$A$7:$F$349,6,FALSE)</f>
        <v>67</v>
      </c>
      <c r="AN73" s="32">
        <f>VLOOKUP(A73,'[2]2018 (2)'!$B$1:$D$318,3,FALSE)</f>
        <v>1298</v>
      </c>
      <c r="AO73" s="15">
        <v>-42647.08</v>
      </c>
      <c r="AP73" s="34"/>
      <c r="AQ73" s="34">
        <v>-25920.93</v>
      </c>
      <c r="AR73" s="455">
        <v>1.2</v>
      </c>
    </row>
    <row r="74" spans="1:44" x14ac:dyDescent="0.25">
      <c r="A74" s="356">
        <v>5511</v>
      </c>
      <c r="B74" s="348" t="s">
        <v>181</v>
      </c>
      <c r="C74" s="348">
        <v>2263538.13</v>
      </c>
      <c r="D74" s="348">
        <v>275937.7</v>
      </c>
      <c r="E74" s="348"/>
      <c r="F74" s="348"/>
      <c r="G74" s="348">
        <v>410254.8</v>
      </c>
      <c r="H74" s="348">
        <v>2234.85</v>
      </c>
      <c r="I74" s="348"/>
      <c r="J74" s="348">
        <v>44041.599999999999</v>
      </c>
      <c r="K74" s="348">
        <v>914.5</v>
      </c>
      <c r="L74" s="348">
        <v>227656.05</v>
      </c>
      <c r="M74" s="349">
        <f t="shared" si="3"/>
        <v>3224577.63</v>
      </c>
      <c r="N74" s="368">
        <v>11690.75</v>
      </c>
      <c r="O74" s="368"/>
      <c r="P74" s="368">
        <v>65936.05</v>
      </c>
      <c r="Q74" s="368"/>
      <c r="R74" s="368">
        <v>58549.65</v>
      </c>
      <c r="S74" s="368"/>
      <c r="T74" s="368">
        <v>9016.5499999999993</v>
      </c>
      <c r="U74" s="368">
        <v>11325</v>
      </c>
      <c r="V74" s="368"/>
      <c r="W74" s="368"/>
      <c r="X74" s="349">
        <f t="shared" si="4"/>
        <v>3381095.6299999994</v>
      </c>
      <c r="Y74" s="34">
        <v>1809.35</v>
      </c>
      <c r="Z74" s="34" t="s">
        <v>649</v>
      </c>
      <c r="AA74" s="34">
        <v>264778.05</v>
      </c>
      <c r="AB74" s="34" t="s">
        <v>649</v>
      </c>
      <c r="AC74" s="34">
        <v>125246.95</v>
      </c>
      <c r="AD74" s="34">
        <v>2782.9</v>
      </c>
      <c r="AE74" s="34" t="s">
        <v>649</v>
      </c>
      <c r="AF74" s="34" t="s">
        <v>649</v>
      </c>
      <c r="AG74" s="34" t="s">
        <v>649</v>
      </c>
      <c r="AH74" s="34">
        <v>29055.05</v>
      </c>
      <c r="AI74" s="34"/>
      <c r="AJ74" s="34"/>
      <c r="AK74" s="34"/>
      <c r="AL74" s="364">
        <f t="shared" si="5"/>
        <v>423672.3</v>
      </c>
      <c r="AM74" s="17">
        <f>VLOOKUP(B74,'[1]2018'!$A$7:$F$349,6,FALSE)</f>
        <v>70</v>
      </c>
      <c r="AN74" s="32">
        <f>VLOOKUP(A74,'[2]2018 (2)'!$B$1:$D$318,3,FALSE)</f>
        <v>1077</v>
      </c>
      <c r="AO74" s="15">
        <v>-30651.52</v>
      </c>
      <c r="AP74" s="34"/>
      <c r="AQ74" s="34">
        <v>976.85</v>
      </c>
      <c r="AR74" s="455">
        <v>1</v>
      </c>
    </row>
    <row r="75" spans="1:44" x14ac:dyDescent="0.25">
      <c r="A75" s="356">
        <v>5512</v>
      </c>
      <c r="B75" s="348" t="s">
        <v>182</v>
      </c>
      <c r="C75" s="348">
        <v>2195592.9900000002</v>
      </c>
      <c r="D75" s="348">
        <v>394261.9</v>
      </c>
      <c r="E75" s="348"/>
      <c r="F75" s="348"/>
      <c r="G75" s="348">
        <v>127476.3</v>
      </c>
      <c r="H75" s="348">
        <v>866.7</v>
      </c>
      <c r="I75" s="348"/>
      <c r="J75" s="348">
        <v>46382.11</v>
      </c>
      <c r="K75" s="348">
        <v>6899.7</v>
      </c>
      <c r="L75" s="348">
        <v>231503.7</v>
      </c>
      <c r="M75" s="349">
        <f t="shared" si="3"/>
        <v>3002983.4000000004</v>
      </c>
      <c r="N75" s="368">
        <v>26032.65</v>
      </c>
      <c r="O75" s="368">
        <v>5039.1000000000004</v>
      </c>
      <c r="P75" s="368">
        <v>120506.75</v>
      </c>
      <c r="Q75" s="368">
        <v>12834.81</v>
      </c>
      <c r="R75" s="368">
        <v>83998</v>
      </c>
      <c r="S75" s="368">
        <v>7326.15</v>
      </c>
      <c r="T75" s="368"/>
      <c r="U75" s="368">
        <v>7950</v>
      </c>
      <c r="V75" s="368"/>
      <c r="W75" s="368"/>
      <c r="X75" s="349">
        <f t="shared" si="4"/>
        <v>3266670.8600000003</v>
      </c>
      <c r="Y75" s="34">
        <v>77762.3</v>
      </c>
      <c r="Z75" s="353"/>
      <c r="AA75" s="34">
        <v>411266.2</v>
      </c>
      <c r="AB75" s="353"/>
      <c r="AC75" s="34">
        <v>152725</v>
      </c>
      <c r="AD75" s="353">
        <v>40000</v>
      </c>
      <c r="AE75" s="34"/>
      <c r="AF75" s="353"/>
      <c r="AG75" s="34"/>
      <c r="AH75" s="353"/>
      <c r="AI75" s="34"/>
      <c r="AJ75" s="353"/>
      <c r="AK75" s="34"/>
      <c r="AL75" s="364">
        <f t="shared" si="5"/>
        <v>681753.5</v>
      </c>
      <c r="AM75" s="17">
        <f>VLOOKUP(B75,'[1]2018'!$A$7:$F$349,6,FALSE)</f>
        <v>79</v>
      </c>
      <c r="AN75" s="32">
        <f>VLOOKUP(A75,'[2]2018 (2)'!$B$1:$D$318,3,FALSE)</f>
        <v>1239</v>
      </c>
      <c r="AO75" s="15">
        <v>-30925.29</v>
      </c>
      <c r="AP75" s="34"/>
      <c r="AQ75" s="34">
        <v>11.12</v>
      </c>
      <c r="AR75" s="455">
        <v>1</v>
      </c>
    </row>
    <row r="76" spans="1:44" x14ac:dyDescent="0.25">
      <c r="A76" s="356">
        <v>5513</v>
      </c>
      <c r="B76" s="348" t="s">
        <v>183</v>
      </c>
      <c r="C76" s="348">
        <v>914669.16</v>
      </c>
      <c r="D76" s="348">
        <v>82272.58</v>
      </c>
      <c r="E76" s="348"/>
      <c r="F76" s="348"/>
      <c r="G76" s="348">
        <v>360585.2</v>
      </c>
      <c r="H76" s="348">
        <v>28643.35</v>
      </c>
      <c r="I76" s="348"/>
      <c r="J76" s="348">
        <v>62663.54</v>
      </c>
      <c r="K76" s="348">
        <v>10562</v>
      </c>
      <c r="L76" s="348">
        <v>56335.199999999997</v>
      </c>
      <c r="M76" s="349">
        <f t="shared" si="3"/>
        <v>1515731.03</v>
      </c>
      <c r="N76" s="368">
        <v>158106.54999999999</v>
      </c>
      <c r="O76" s="368"/>
      <c r="P76" s="368">
        <v>59089.3</v>
      </c>
      <c r="Q76" s="368"/>
      <c r="R76" s="368">
        <v>9593.5499999999993</v>
      </c>
      <c r="S76" s="368"/>
      <c r="T76" s="368">
        <v>462</v>
      </c>
      <c r="U76" s="368">
        <v>6450</v>
      </c>
      <c r="V76" s="368"/>
      <c r="W76" s="368"/>
      <c r="X76" s="349">
        <f t="shared" si="4"/>
        <v>1749432.4300000002</v>
      </c>
      <c r="Y76" s="34"/>
      <c r="Z76" s="353"/>
      <c r="AA76" s="34">
        <v>73807.45</v>
      </c>
      <c r="AB76" s="353"/>
      <c r="AC76" s="34">
        <v>39060.050000000003</v>
      </c>
      <c r="AD76" s="353"/>
      <c r="AE76" s="34"/>
      <c r="AF76" s="353"/>
      <c r="AG76" s="34"/>
      <c r="AH76" s="353"/>
      <c r="AI76" s="34"/>
      <c r="AJ76" s="353"/>
      <c r="AK76" s="34"/>
      <c r="AL76" s="364">
        <f t="shared" si="5"/>
        <v>112867.5</v>
      </c>
      <c r="AM76" s="17">
        <f>VLOOKUP(B76,'[1]2018'!$A$7:$F$349,6,FALSE)</f>
        <v>68</v>
      </c>
      <c r="AN76" s="32">
        <f>VLOOKUP(A76,'[2]2018 (2)'!$B$1:$D$318,3,FALSE)</f>
        <v>516</v>
      </c>
      <c r="AO76" s="15">
        <v>-713.56</v>
      </c>
      <c r="AP76" s="34"/>
      <c r="AQ76" s="34">
        <v>0</v>
      </c>
      <c r="AR76" s="455">
        <v>0.5</v>
      </c>
    </row>
    <row r="77" spans="1:44" x14ac:dyDescent="0.25">
      <c r="A77" s="356">
        <v>5514</v>
      </c>
      <c r="B77" s="348" t="s">
        <v>184</v>
      </c>
      <c r="C77" s="348">
        <v>2420758.0299999998</v>
      </c>
      <c r="D77" s="348">
        <v>348900.74</v>
      </c>
      <c r="E77" s="348"/>
      <c r="F77" s="348"/>
      <c r="G77" s="348">
        <v>29302.85</v>
      </c>
      <c r="H77" s="348">
        <v>10881.95</v>
      </c>
      <c r="I77" s="348">
        <v>33969.65</v>
      </c>
      <c r="J77" s="348">
        <v>38285.629999999997</v>
      </c>
      <c r="K77" s="348">
        <v>4883</v>
      </c>
      <c r="L77" s="348">
        <v>210677.85</v>
      </c>
      <c r="M77" s="349">
        <f t="shared" si="3"/>
        <v>3097659.6999999997</v>
      </c>
      <c r="N77" s="368">
        <v>5404.9</v>
      </c>
      <c r="O77" s="368">
        <v>25144.2</v>
      </c>
      <c r="P77" s="368">
        <v>35961.199999999997</v>
      </c>
      <c r="Q77" s="368">
        <v>360.38</v>
      </c>
      <c r="R77" s="368">
        <v>44987.5</v>
      </c>
      <c r="S77" s="368"/>
      <c r="T77" s="368">
        <v>1961.2</v>
      </c>
      <c r="U77" s="368">
        <v>8880</v>
      </c>
      <c r="V77" s="368"/>
      <c r="W77" s="368"/>
      <c r="X77" s="349">
        <f t="shared" si="4"/>
        <v>3220359.08</v>
      </c>
      <c r="Y77" s="34">
        <v>27742.2</v>
      </c>
      <c r="Z77" s="34"/>
      <c r="AA77" s="34">
        <v>302263.2</v>
      </c>
      <c r="AB77" s="34"/>
      <c r="AC77" s="34">
        <v>139382.35</v>
      </c>
      <c r="AD77" s="34">
        <v>19289.5</v>
      </c>
      <c r="AE77" s="34"/>
      <c r="AF77" s="34"/>
      <c r="AG77" s="34"/>
      <c r="AH77" s="34">
        <v>33638.25</v>
      </c>
      <c r="AI77" s="34"/>
      <c r="AJ77" s="34"/>
      <c r="AK77" s="34"/>
      <c r="AL77" s="364">
        <f t="shared" si="5"/>
        <v>522315.5</v>
      </c>
      <c r="AM77" s="17">
        <f>VLOOKUP(B77,'[1]2018'!$A$7:$F$349,6,FALSE)</f>
        <v>69</v>
      </c>
      <c r="AN77" s="32">
        <f>VLOOKUP(A77,'[2]2018 (2)'!$B$1:$D$318,3,FALSE)</f>
        <v>1298</v>
      </c>
      <c r="AO77" s="15">
        <v>-6816.55</v>
      </c>
      <c r="AP77" s="34"/>
      <c r="AQ77" s="34">
        <v>-13.81</v>
      </c>
      <c r="AR77" s="455">
        <v>1</v>
      </c>
    </row>
    <row r="78" spans="1:44" x14ac:dyDescent="0.25">
      <c r="A78" s="356">
        <v>5515</v>
      </c>
      <c r="B78" s="348" t="s">
        <v>185</v>
      </c>
      <c r="C78" s="348">
        <v>1922556.55</v>
      </c>
      <c r="D78" s="348">
        <v>220605.8</v>
      </c>
      <c r="E78" s="348"/>
      <c r="F78" s="348"/>
      <c r="G78" s="348">
        <v>13520.85</v>
      </c>
      <c r="H78" s="348">
        <v>433.9</v>
      </c>
      <c r="I78" s="348"/>
      <c r="J78" s="348">
        <v>45806.43</v>
      </c>
      <c r="K78" s="348">
        <v>4906.05</v>
      </c>
      <c r="L78" s="348">
        <v>158209.1</v>
      </c>
      <c r="M78" s="349">
        <f t="shared" si="3"/>
        <v>2366038.6800000002</v>
      </c>
      <c r="N78" s="368">
        <v>6260.8</v>
      </c>
      <c r="O78" s="368"/>
      <c r="P78" s="368">
        <v>106043.3</v>
      </c>
      <c r="Q78" s="368">
        <v>16241.2</v>
      </c>
      <c r="R78" s="368">
        <v>98244.7</v>
      </c>
      <c r="S78" s="368"/>
      <c r="T78" s="368">
        <v>1136</v>
      </c>
      <c r="U78" s="368">
        <v>6475</v>
      </c>
      <c r="V78" s="368"/>
      <c r="W78" s="368"/>
      <c r="X78" s="349">
        <f t="shared" si="4"/>
        <v>2600439.6800000002</v>
      </c>
      <c r="Y78" s="34">
        <v>351559.7</v>
      </c>
      <c r="Z78" s="353"/>
      <c r="AA78" s="34">
        <v>216839.65</v>
      </c>
      <c r="AB78" s="353"/>
      <c r="AC78" s="34">
        <v>81950</v>
      </c>
      <c r="AD78" s="353">
        <v>88513.85</v>
      </c>
      <c r="AE78" s="34"/>
      <c r="AF78" s="353"/>
      <c r="AG78" s="34"/>
      <c r="AH78" s="353"/>
      <c r="AI78" s="34"/>
      <c r="AJ78" s="353"/>
      <c r="AK78" s="34"/>
      <c r="AL78" s="364">
        <f t="shared" si="5"/>
        <v>738863.2</v>
      </c>
      <c r="AM78" s="17">
        <f>VLOOKUP(B78,'[1]2018'!$A$7:$F$349,6,FALSE)</f>
        <v>81</v>
      </c>
      <c r="AN78" s="32">
        <f>VLOOKUP(A78,'[2]2018 (2)'!$B$1:$D$318,3,FALSE)</f>
        <v>843</v>
      </c>
      <c r="AO78" s="15">
        <v>-31250.78</v>
      </c>
      <c r="AP78" s="34">
        <v>-9871.0499999999993</v>
      </c>
      <c r="AQ78" s="34">
        <v>-15.14</v>
      </c>
      <c r="AR78" s="455">
        <v>1</v>
      </c>
    </row>
    <row r="79" spans="1:44" x14ac:dyDescent="0.25">
      <c r="A79" s="356">
        <v>5516</v>
      </c>
      <c r="B79" s="348" t="s">
        <v>186</v>
      </c>
      <c r="C79" s="348">
        <v>6890643.96</v>
      </c>
      <c r="D79" s="348">
        <v>1004623.96</v>
      </c>
      <c r="E79" s="348"/>
      <c r="F79" s="348"/>
      <c r="G79" s="348">
        <v>121943.75</v>
      </c>
      <c r="H79" s="348">
        <v>7076.3</v>
      </c>
      <c r="I79" s="348"/>
      <c r="J79" s="348">
        <v>139190.34</v>
      </c>
      <c r="K79" s="348">
        <v>50364.55</v>
      </c>
      <c r="L79" s="348">
        <v>677488.8</v>
      </c>
      <c r="M79" s="349">
        <f t="shared" si="3"/>
        <v>8891331.6600000001</v>
      </c>
      <c r="N79" s="368">
        <v>96390</v>
      </c>
      <c r="O79" s="368">
        <v>730</v>
      </c>
      <c r="P79" s="368">
        <v>226670.85</v>
      </c>
      <c r="Q79" s="368">
        <v>5117</v>
      </c>
      <c r="R79" s="368">
        <v>213237.7</v>
      </c>
      <c r="S79" s="368">
        <v>400</v>
      </c>
      <c r="T79" s="368">
        <v>12338.75</v>
      </c>
      <c r="U79" s="368">
        <v>16400</v>
      </c>
      <c r="V79" s="368"/>
      <c r="W79" s="368"/>
      <c r="X79" s="349">
        <f t="shared" si="4"/>
        <v>9462615.959999999</v>
      </c>
      <c r="Y79" s="34">
        <v>9800</v>
      </c>
      <c r="Z79" s="353"/>
      <c r="AA79" s="34">
        <v>455236.5</v>
      </c>
      <c r="AB79" s="353"/>
      <c r="AC79" s="34">
        <v>257155.3</v>
      </c>
      <c r="AD79" s="353">
        <v>8728.5</v>
      </c>
      <c r="AE79" s="34"/>
      <c r="AF79" s="353"/>
      <c r="AG79" s="34"/>
      <c r="AH79" s="353">
        <v>72938.850000000006</v>
      </c>
      <c r="AI79" s="34"/>
      <c r="AJ79" s="353"/>
      <c r="AK79" s="34"/>
      <c r="AL79" s="364">
        <f t="shared" si="5"/>
        <v>803859.15</v>
      </c>
      <c r="AM79" s="17">
        <f>VLOOKUP(B79,'[1]2018'!$A$7:$F$349,6,FALSE)</f>
        <v>78</v>
      </c>
      <c r="AN79" s="32">
        <f>VLOOKUP(A79,'[2]2018 (2)'!$B$1:$D$318,3,FALSE)</f>
        <v>2742</v>
      </c>
      <c r="AO79" s="15">
        <v>-58074.95</v>
      </c>
      <c r="AP79" s="34"/>
      <c r="AQ79" s="34">
        <v>-801.17</v>
      </c>
      <c r="AR79" s="455">
        <v>1.2</v>
      </c>
    </row>
    <row r="80" spans="1:44" x14ac:dyDescent="0.25">
      <c r="A80" s="356">
        <v>5518</v>
      </c>
      <c r="B80" s="348" t="s">
        <v>187</v>
      </c>
      <c r="C80" s="348">
        <v>10213378.539999999</v>
      </c>
      <c r="D80" s="348">
        <v>1225169.8799999999</v>
      </c>
      <c r="E80" s="348"/>
      <c r="F80" s="348"/>
      <c r="G80" s="348">
        <v>1245510.05</v>
      </c>
      <c r="H80" s="348">
        <v>27781.95</v>
      </c>
      <c r="I80" s="348"/>
      <c r="J80" s="348">
        <v>236604.68</v>
      </c>
      <c r="K80" s="348">
        <v>110256.05</v>
      </c>
      <c r="L80" s="348">
        <v>1041274.05</v>
      </c>
      <c r="M80" s="349">
        <f t="shared" si="3"/>
        <v>14099975.199999999</v>
      </c>
      <c r="N80" s="368">
        <v>190763.25</v>
      </c>
      <c r="O80" s="368">
        <v>-15166.2</v>
      </c>
      <c r="P80" s="368">
        <v>331738.55</v>
      </c>
      <c r="Q80" s="368">
        <v>180315.06</v>
      </c>
      <c r="R80" s="368">
        <v>209401</v>
      </c>
      <c r="S80" s="368"/>
      <c r="T80" s="368">
        <v>35536.050000000003</v>
      </c>
      <c r="U80" s="368">
        <v>22925</v>
      </c>
      <c r="V80" s="368"/>
      <c r="W80" s="368">
        <v>594.75</v>
      </c>
      <c r="X80" s="349">
        <f t="shared" si="4"/>
        <v>15056082.660000002</v>
      </c>
      <c r="Y80" s="34">
        <v>33132.65</v>
      </c>
      <c r="Z80" s="34" t="s">
        <v>649</v>
      </c>
      <c r="AA80" s="34">
        <v>1050479.8500000001</v>
      </c>
      <c r="AB80" s="34" t="s">
        <v>649</v>
      </c>
      <c r="AC80" s="34">
        <v>336662.75999999995</v>
      </c>
      <c r="AD80" s="34">
        <v>26876.45</v>
      </c>
      <c r="AE80" s="34" t="s">
        <v>649</v>
      </c>
      <c r="AF80" s="34" t="s">
        <v>649</v>
      </c>
      <c r="AG80" s="34" t="s">
        <v>649</v>
      </c>
      <c r="AH80" s="34"/>
      <c r="AI80" s="34"/>
      <c r="AJ80" s="34"/>
      <c r="AK80" s="34"/>
      <c r="AL80" s="364">
        <f t="shared" si="5"/>
        <v>1447151.71</v>
      </c>
      <c r="AM80" s="17">
        <f>VLOOKUP(B80,'[1]2018'!$A$7:$F$349,6,FALSE)</f>
        <v>74</v>
      </c>
      <c r="AN80" s="32">
        <f>VLOOKUP(A80,'[2]2018 (2)'!$B$1:$D$318,3,FALSE)</f>
        <v>5742</v>
      </c>
      <c r="AO80" s="15">
        <v>-341090.29</v>
      </c>
      <c r="AP80" s="34"/>
      <c r="AQ80" s="34">
        <v>-399.47</v>
      </c>
      <c r="AR80" s="455">
        <v>1</v>
      </c>
    </row>
    <row r="81" spans="1:44" x14ac:dyDescent="0.25">
      <c r="A81" s="356">
        <v>5520</v>
      </c>
      <c r="B81" s="348" t="s">
        <v>188</v>
      </c>
      <c r="C81" s="348">
        <v>1907135.91</v>
      </c>
      <c r="D81" s="348">
        <v>211764.26</v>
      </c>
      <c r="E81" s="348"/>
      <c r="F81" s="348"/>
      <c r="G81" s="348">
        <v>15869.85</v>
      </c>
      <c r="H81" s="348">
        <v>1532.7</v>
      </c>
      <c r="I81" s="348"/>
      <c r="J81" s="348">
        <v>19387.86</v>
      </c>
      <c r="K81" s="348">
        <v>1895.25</v>
      </c>
      <c r="L81" s="348">
        <v>173750.65</v>
      </c>
      <c r="M81" s="349">
        <f t="shared" si="3"/>
        <v>2331336.48</v>
      </c>
      <c r="N81" s="368">
        <v>6976.6</v>
      </c>
      <c r="O81" s="368">
        <v>44088</v>
      </c>
      <c r="P81" s="368">
        <v>102119.4</v>
      </c>
      <c r="Q81" s="368">
        <v>11748.26</v>
      </c>
      <c r="R81" s="368">
        <v>73413.899999999994</v>
      </c>
      <c r="S81" s="368">
        <v>200</v>
      </c>
      <c r="T81" s="368">
        <v>843</v>
      </c>
      <c r="U81" s="368">
        <v>11300</v>
      </c>
      <c r="V81" s="368"/>
      <c r="W81" s="368"/>
      <c r="X81" s="349">
        <f t="shared" si="4"/>
        <v>2582025.6399999997</v>
      </c>
      <c r="Y81" s="34">
        <v>10008</v>
      </c>
      <c r="Z81" s="353">
        <v>59466.85</v>
      </c>
      <c r="AA81" s="34">
        <v>102967.1</v>
      </c>
      <c r="AB81" s="353"/>
      <c r="AC81" s="34">
        <v>66788.45</v>
      </c>
      <c r="AD81" s="353">
        <v>10968</v>
      </c>
      <c r="AE81" s="34">
        <v>31040</v>
      </c>
      <c r="AF81" s="353"/>
      <c r="AG81" s="34"/>
      <c r="AH81" s="353"/>
      <c r="AI81" s="34"/>
      <c r="AJ81" s="353"/>
      <c r="AK81" s="34"/>
      <c r="AL81" s="364">
        <f t="shared" si="5"/>
        <v>281238.40000000002</v>
      </c>
      <c r="AM81" s="17">
        <f>VLOOKUP(B81,'[1]2018'!$A$7:$F$349,6,FALSE)</f>
        <v>73</v>
      </c>
      <c r="AN81" s="32">
        <f>VLOOKUP(A81,'[2]2018 (2)'!$B$1:$D$318,3,FALSE)</f>
        <v>1024</v>
      </c>
      <c r="AO81" s="15">
        <v>-16786.490000000002</v>
      </c>
      <c r="AP81" s="34"/>
      <c r="AQ81" s="34">
        <v>-31.01</v>
      </c>
      <c r="AR81" s="455">
        <v>1</v>
      </c>
    </row>
    <row r="82" spans="1:44" x14ac:dyDescent="0.25">
      <c r="A82" s="356">
        <v>5521</v>
      </c>
      <c r="B82" s="348" t="s">
        <v>189</v>
      </c>
      <c r="C82" s="348">
        <v>2430698.8199999998</v>
      </c>
      <c r="D82" s="348">
        <v>249888.91</v>
      </c>
      <c r="E82" s="348"/>
      <c r="F82" s="348"/>
      <c r="G82" s="348">
        <v>179163</v>
      </c>
      <c r="H82" s="348">
        <v>1496.7</v>
      </c>
      <c r="I82" s="348"/>
      <c r="J82" s="348">
        <v>39857.69</v>
      </c>
      <c r="K82" s="348">
        <v>14596.25</v>
      </c>
      <c r="L82" s="348">
        <v>244089.7</v>
      </c>
      <c r="M82" s="349">
        <f t="shared" si="3"/>
        <v>3159791.0700000003</v>
      </c>
      <c r="N82" s="368">
        <v>55180.35</v>
      </c>
      <c r="O82" s="368">
        <v>11582.8</v>
      </c>
      <c r="P82" s="368">
        <v>123693.3</v>
      </c>
      <c r="Q82" s="368">
        <v>13962.1</v>
      </c>
      <c r="R82" s="368">
        <v>23177.200000000001</v>
      </c>
      <c r="S82" s="368"/>
      <c r="T82" s="368"/>
      <c r="U82" s="368">
        <v>6100</v>
      </c>
      <c r="V82" s="368"/>
      <c r="W82" s="368"/>
      <c r="X82" s="349">
        <f t="shared" si="4"/>
        <v>3393486.8200000003</v>
      </c>
      <c r="Y82" s="34">
        <v>73640</v>
      </c>
      <c r="Z82" s="353">
        <v>17290</v>
      </c>
      <c r="AA82" s="34">
        <v>224745.31</v>
      </c>
      <c r="AB82" s="353"/>
      <c r="AC82" s="34">
        <v>104064.72</v>
      </c>
      <c r="AD82" s="353"/>
      <c r="AE82" s="34"/>
      <c r="AF82" s="353"/>
      <c r="AG82" s="34"/>
      <c r="AH82" s="353">
        <v>32227.05</v>
      </c>
      <c r="AI82" s="34"/>
      <c r="AJ82" s="353"/>
      <c r="AK82" s="34"/>
      <c r="AL82" s="364">
        <f t="shared" si="5"/>
        <v>451967.08</v>
      </c>
      <c r="AM82" s="17">
        <f>VLOOKUP(B82,'[1]2018'!$A$7:$F$349,6,FALSE)</f>
        <v>73</v>
      </c>
      <c r="AN82" s="32">
        <f>VLOOKUP(A82,'[2]2018 (2)'!$B$1:$D$318,3,FALSE)</f>
        <v>1118</v>
      </c>
      <c r="AO82" s="15">
        <v>-35773.68</v>
      </c>
      <c r="AP82" s="34"/>
      <c r="AQ82" s="34">
        <v>-35.909999999999997</v>
      </c>
      <c r="AR82" s="455">
        <v>1</v>
      </c>
    </row>
    <row r="83" spans="1:44" x14ac:dyDescent="0.25">
      <c r="A83" s="356">
        <v>5522</v>
      </c>
      <c r="B83" s="348" t="s">
        <v>190</v>
      </c>
      <c r="C83" s="348">
        <v>1277627.98</v>
      </c>
      <c r="D83" s="348">
        <v>169238.39999999999</v>
      </c>
      <c r="E83" s="348"/>
      <c r="F83" s="348"/>
      <c r="G83" s="348">
        <v>63365.25</v>
      </c>
      <c r="H83" s="348">
        <v>706.1</v>
      </c>
      <c r="I83" s="348"/>
      <c r="J83" s="348">
        <v>25943.21</v>
      </c>
      <c r="K83" s="348">
        <v>2192.9</v>
      </c>
      <c r="L83" s="348">
        <v>121092.4</v>
      </c>
      <c r="M83" s="349">
        <f t="shared" si="3"/>
        <v>1660166.2399999998</v>
      </c>
      <c r="N83" s="368">
        <v>16661.849999999999</v>
      </c>
      <c r="O83" s="368">
        <v>18267.2</v>
      </c>
      <c r="P83" s="368">
        <v>49332.35</v>
      </c>
      <c r="Q83" s="368"/>
      <c r="R83" s="368">
        <v>44424.9</v>
      </c>
      <c r="S83" s="368">
        <v>1330</v>
      </c>
      <c r="T83" s="368"/>
      <c r="U83" s="368">
        <v>3075</v>
      </c>
      <c r="V83" s="368" t="s">
        <v>649</v>
      </c>
      <c r="W83" s="368" t="s">
        <v>649</v>
      </c>
      <c r="X83" s="349">
        <f t="shared" si="4"/>
        <v>1793257.5399999998</v>
      </c>
      <c r="Y83" s="34">
        <v>2000</v>
      </c>
      <c r="Z83" s="34" t="s">
        <v>649</v>
      </c>
      <c r="AA83" s="34">
        <v>82817.5</v>
      </c>
      <c r="AB83" s="34" t="s">
        <v>649</v>
      </c>
      <c r="AC83" s="34">
        <v>32080</v>
      </c>
      <c r="AD83" s="34">
        <v>53.65</v>
      </c>
      <c r="AE83" s="34" t="s">
        <v>649</v>
      </c>
      <c r="AF83" s="34" t="s">
        <v>649</v>
      </c>
      <c r="AG83" s="34" t="s">
        <v>649</v>
      </c>
      <c r="AH83" s="34"/>
      <c r="AI83" s="34"/>
      <c r="AJ83" s="34"/>
      <c r="AK83" s="34"/>
      <c r="AL83" s="364">
        <f t="shared" si="5"/>
        <v>116951.15</v>
      </c>
      <c r="AM83" s="17">
        <f>VLOOKUP(B83,'[1]2018'!$A$7:$F$349,6,FALSE)</f>
        <v>75</v>
      </c>
      <c r="AN83" s="32">
        <f>VLOOKUP(A83,'[2]2018 (2)'!$B$1:$D$318,3,FALSE)</f>
        <v>734</v>
      </c>
      <c r="AO83" s="15">
        <v>-16654.57</v>
      </c>
      <c r="AP83" s="34"/>
      <c r="AQ83" s="34">
        <v>-0.08</v>
      </c>
      <c r="AR83" s="455">
        <v>1</v>
      </c>
    </row>
    <row r="84" spans="1:44" x14ac:dyDescent="0.25">
      <c r="A84" s="356">
        <v>5523</v>
      </c>
      <c r="B84" s="348" t="s">
        <v>191</v>
      </c>
      <c r="C84" s="348">
        <v>5046138.18</v>
      </c>
      <c r="D84" s="348">
        <v>604455.87</v>
      </c>
      <c r="E84" s="348"/>
      <c r="F84" s="348">
        <v>14310</v>
      </c>
      <c r="G84" s="348">
        <v>49801.15</v>
      </c>
      <c r="H84" s="348">
        <v>2777.9</v>
      </c>
      <c r="I84" s="348">
        <v>29419.200000000001</v>
      </c>
      <c r="J84" s="348">
        <v>96703.59</v>
      </c>
      <c r="K84" s="348">
        <v>17888.5</v>
      </c>
      <c r="L84" s="348">
        <v>610481.05000000005</v>
      </c>
      <c r="M84" s="349">
        <f t="shared" si="3"/>
        <v>6471975.4400000004</v>
      </c>
      <c r="N84" s="368">
        <v>4694.8999999999996</v>
      </c>
      <c r="O84" s="368">
        <v>7359.8</v>
      </c>
      <c r="P84" s="368">
        <v>186943.35</v>
      </c>
      <c r="Q84" s="368">
        <v>40536.46</v>
      </c>
      <c r="R84" s="368">
        <v>124010.55</v>
      </c>
      <c r="S84" s="368">
        <v>200</v>
      </c>
      <c r="T84" s="368">
        <v>2431.35</v>
      </c>
      <c r="U84" s="368">
        <v>14325</v>
      </c>
      <c r="V84" s="368"/>
      <c r="W84" s="368"/>
      <c r="X84" s="349">
        <f t="shared" si="4"/>
        <v>6852476.8499999996</v>
      </c>
      <c r="Y84" s="34">
        <v>174951.2</v>
      </c>
      <c r="Z84" s="353"/>
      <c r="AA84" s="34">
        <v>504846.9</v>
      </c>
      <c r="AB84" s="353"/>
      <c r="AC84" s="34">
        <v>155473.79999999999</v>
      </c>
      <c r="AD84" s="353">
        <v>191750.7</v>
      </c>
      <c r="AE84" s="34"/>
      <c r="AF84" s="353"/>
      <c r="AG84" s="34"/>
      <c r="AH84" s="353">
        <v>54151.05</v>
      </c>
      <c r="AI84" s="34"/>
      <c r="AJ84" s="353"/>
      <c r="AK84" s="34"/>
      <c r="AL84" s="364">
        <f t="shared" si="5"/>
        <v>1081173.6500000001</v>
      </c>
      <c r="AM84" s="17">
        <f>VLOOKUP(B84,'[1]2018'!$A$7:$F$349,6,FALSE)</f>
        <v>76</v>
      </c>
      <c r="AN84" s="32">
        <f>VLOOKUP(A84,'[2]2018 (2)'!$B$1:$D$318,3,FALSE)</f>
        <v>2576</v>
      </c>
      <c r="AO84" s="15">
        <v>-67792.990000000005</v>
      </c>
      <c r="AP84" s="34"/>
      <c r="AQ84" s="34">
        <v>-71.8</v>
      </c>
      <c r="AR84" s="455">
        <v>1.25</v>
      </c>
    </row>
    <row r="85" spans="1:44" x14ac:dyDescent="0.25">
      <c r="A85" s="356">
        <v>5527</v>
      </c>
      <c r="B85" s="348" t="s">
        <v>192</v>
      </c>
      <c r="C85" s="348">
        <v>2212690.04</v>
      </c>
      <c r="D85" s="348">
        <v>360108.16</v>
      </c>
      <c r="E85" s="348"/>
      <c r="F85" s="348"/>
      <c r="G85" s="348">
        <v>-1648.3</v>
      </c>
      <c r="H85" s="348">
        <v>134.15</v>
      </c>
      <c r="I85" s="348"/>
      <c r="J85" s="348">
        <v>36379.5</v>
      </c>
      <c r="K85" s="348">
        <v>2709.25</v>
      </c>
      <c r="L85" s="348">
        <v>217631.95</v>
      </c>
      <c r="M85" s="349">
        <f t="shared" si="3"/>
        <v>2828004.7500000005</v>
      </c>
      <c r="N85" s="368">
        <v>9200.9500000000007</v>
      </c>
      <c r="O85" s="368">
        <v>346.2</v>
      </c>
      <c r="P85" s="368">
        <v>152170.65</v>
      </c>
      <c r="Q85" s="368">
        <v>7544.42</v>
      </c>
      <c r="R85" s="368">
        <v>111776.65</v>
      </c>
      <c r="S85" s="368"/>
      <c r="T85" s="368">
        <v>850</v>
      </c>
      <c r="U85" s="368">
        <v>10150</v>
      </c>
      <c r="V85" s="368"/>
      <c r="W85" s="368"/>
      <c r="X85" s="349">
        <f t="shared" si="4"/>
        <v>3120043.6200000006</v>
      </c>
      <c r="Y85" s="34">
        <v>47700.75</v>
      </c>
      <c r="Z85" s="353"/>
      <c r="AA85" s="34">
        <v>191541.75</v>
      </c>
      <c r="AB85" s="353"/>
      <c r="AC85" s="34">
        <v>82282.05</v>
      </c>
      <c r="AD85" s="353">
        <v>49734</v>
      </c>
      <c r="AE85" s="34"/>
      <c r="AF85" s="353"/>
      <c r="AG85" s="34"/>
      <c r="AH85" s="353">
        <v>30772.35</v>
      </c>
      <c r="AI85" s="34"/>
      <c r="AJ85" s="353"/>
      <c r="AK85" s="34"/>
      <c r="AL85" s="364">
        <f t="shared" si="5"/>
        <v>402030.89999999997</v>
      </c>
      <c r="AM85" s="17">
        <f>VLOOKUP(B85,'[1]2018'!$A$7:$F$349,6,FALSE)</f>
        <v>74</v>
      </c>
      <c r="AN85" s="32">
        <f>VLOOKUP(A85,'[2]2018 (2)'!$B$1:$D$318,3,FALSE)</f>
        <v>1077</v>
      </c>
      <c r="AO85" s="15">
        <v>-35052.620000000003</v>
      </c>
      <c r="AP85" s="34">
        <v>-853.3</v>
      </c>
      <c r="AQ85" s="34">
        <v>-12.04</v>
      </c>
      <c r="AR85" s="455">
        <v>1</v>
      </c>
    </row>
    <row r="86" spans="1:44" x14ac:dyDescent="0.25">
      <c r="A86" s="356">
        <v>5529</v>
      </c>
      <c r="B86" s="348" t="s">
        <v>193</v>
      </c>
      <c r="C86" s="348">
        <v>1254600.81</v>
      </c>
      <c r="D86" s="348">
        <v>129569.94</v>
      </c>
      <c r="E86" s="348"/>
      <c r="F86" s="348"/>
      <c r="G86" s="348">
        <v>20698.150000000001</v>
      </c>
      <c r="H86" s="348">
        <v>566.9</v>
      </c>
      <c r="I86" s="348"/>
      <c r="J86" s="348">
        <v>12599.56</v>
      </c>
      <c r="K86" s="348">
        <v>2516.75</v>
      </c>
      <c r="L86" s="348">
        <v>106236.7</v>
      </c>
      <c r="M86" s="349">
        <f t="shared" si="3"/>
        <v>1526788.8099999998</v>
      </c>
      <c r="N86" s="368">
        <v>490.85</v>
      </c>
      <c r="O86" s="368"/>
      <c r="P86" s="368">
        <v>27451.9</v>
      </c>
      <c r="Q86" s="368"/>
      <c r="R86" s="368">
        <v>33140.5</v>
      </c>
      <c r="S86" s="368"/>
      <c r="T86" s="368">
        <v>607</v>
      </c>
      <c r="U86" s="368">
        <v>3360</v>
      </c>
      <c r="V86" s="368"/>
      <c r="W86" s="368"/>
      <c r="X86" s="349">
        <f t="shared" si="4"/>
        <v>1591839.0599999998</v>
      </c>
      <c r="Y86" s="34">
        <v>6240</v>
      </c>
      <c r="Z86" s="353"/>
      <c r="AA86" s="34">
        <v>34088.5</v>
      </c>
      <c r="AB86" s="353"/>
      <c r="AC86" s="34">
        <v>44634.85</v>
      </c>
      <c r="AD86" s="34">
        <v>3120</v>
      </c>
      <c r="AE86" s="34"/>
      <c r="AF86" s="353"/>
      <c r="AG86" s="34"/>
      <c r="AH86" s="353"/>
      <c r="AI86" s="34"/>
      <c r="AJ86" s="353"/>
      <c r="AK86" s="34"/>
      <c r="AL86" s="364">
        <f t="shared" si="5"/>
        <v>88083.35</v>
      </c>
      <c r="AM86" s="17">
        <f>VLOOKUP(B86,'[1]2018'!$A$7:$F$349,6,FALSE)</f>
        <v>71</v>
      </c>
      <c r="AN86" s="32">
        <f>VLOOKUP(A86,'[2]2018 (2)'!$B$1:$D$318,3,FALSE)</f>
        <v>611</v>
      </c>
      <c r="AO86" s="15">
        <v>-10309.91</v>
      </c>
      <c r="AP86" s="34"/>
      <c r="AQ86" s="34">
        <v>-14.79</v>
      </c>
      <c r="AR86" s="455">
        <v>1</v>
      </c>
    </row>
    <row r="87" spans="1:44" x14ac:dyDescent="0.25">
      <c r="A87" s="356">
        <v>5530</v>
      </c>
      <c r="B87" s="348" t="s">
        <v>194</v>
      </c>
      <c r="C87" s="348">
        <v>1033020.23</v>
      </c>
      <c r="D87" s="348">
        <v>149415.29</v>
      </c>
      <c r="E87" s="348"/>
      <c r="F87" s="348"/>
      <c r="G87" s="348">
        <v>65385.599999999999</v>
      </c>
      <c r="H87" s="348">
        <v>104.35</v>
      </c>
      <c r="I87" s="348"/>
      <c r="J87" s="348">
        <v>19037.53</v>
      </c>
      <c r="K87" s="348">
        <v>762.5</v>
      </c>
      <c r="L87" s="348">
        <v>99443.3</v>
      </c>
      <c r="M87" s="349">
        <f t="shared" si="3"/>
        <v>1367168.8000000003</v>
      </c>
      <c r="N87" s="368">
        <v>12684.65</v>
      </c>
      <c r="O87" s="368">
        <v>39778</v>
      </c>
      <c r="P87" s="368">
        <v>73217.149999999994</v>
      </c>
      <c r="Q87" s="368"/>
      <c r="R87" s="368">
        <v>67452.3</v>
      </c>
      <c r="S87" s="368">
        <v>75</v>
      </c>
      <c r="T87" s="368"/>
      <c r="U87" s="368">
        <v>2490</v>
      </c>
      <c r="V87" s="368"/>
      <c r="W87" s="368"/>
      <c r="X87" s="349">
        <f t="shared" si="4"/>
        <v>1562865.9000000001</v>
      </c>
      <c r="Y87" s="34">
        <v>11830</v>
      </c>
      <c r="Z87" s="353"/>
      <c r="AA87" s="34">
        <v>180088.95</v>
      </c>
      <c r="AB87" s="353"/>
      <c r="AC87" s="34">
        <v>42066.3</v>
      </c>
      <c r="AD87" s="353">
        <v>7725.8</v>
      </c>
      <c r="AE87" s="34"/>
      <c r="AF87" s="353"/>
      <c r="AG87" s="34"/>
      <c r="AH87" s="353"/>
      <c r="AI87" s="34"/>
      <c r="AJ87" s="353"/>
      <c r="AK87" s="34"/>
      <c r="AL87" s="364">
        <f t="shared" si="5"/>
        <v>241711.05</v>
      </c>
      <c r="AM87" s="17">
        <f>VLOOKUP(B87,'[1]2018'!$A$7:$F$349,6,FALSE)</f>
        <v>77.5</v>
      </c>
      <c r="AN87" s="32">
        <f>VLOOKUP(A87,'[2]2018 (2)'!$B$1:$D$318,3,FALSE)</f>
        <v>561</v>
      </c>
      <c r="AO87" s="15">
        <v>-14238.15</v>
      </c>
      <c r="AP87" s="34">
        <v>-2145.3000000000002</v>
      </c>
      <c r="AQ87" s="34">
        <v>0</v>
      </c>
      <c r="AR87" s="455">
        <v>1.2</v>
      </c>
    </row>
    <row r="88" spans="1:44" x14ac:dyDescent="0.25">
      <c r="A88" s="356">
        <v>5531</v>
      </c>
      <c r="B88" s="348" t="s">
        <v>195</v>
      </c>
      <c r="C88" s="348">
        <v>936912.32</v>
      </c>
      <c r="D88" s="348">
        <v>141483.68</v>
      </c>
      <c r="E88" s="348"/>
      <c r="F88" s="348"/>
      <c r="G88" s="348">
        <v>-310.35000000000002</v>
      </c>
      <c r="H88" s="348">
        <v>259.95</v>
      </c>
      <c r="I88" s="348"/>
      <c r="J88" s="348">
        <v>9121.49</v>
      </c>
      <c r="K88" s="348">
        <v>910</v>
      </c>
      <c r="L88" s="348">
        <v>74978</v>
      </c>
      <c r="M88" s="349">
        <f t="shared" si="3"/>
        <v>1163355.0899999999</v>
      </c>
      <c r="N88" s="368">
        <v>11272.95</v>
      </c>
      <c r="O88" s="368"/>
      <c r="P88" s="368">
        <v>29757</v>
      </c>
      <c r="Q88" s="368">
        <v>12666.82</v>
      </c>
      <c r="R88" s="368">
        <v>28799.45</v>
      </c>
      <c r="S88" s="368"/>
      <c r="T88" s="368"/>
      <c r="U88" s="368"/>
      <c r="V88" s="368"/>
      <c r="W88" s="368"/>
      <c r="X88" s="349">
        <f t="shared" si="4"/>
        <v>1245851.3099999998</v>
      </c>
      <c r="Y88" s="34">
        <v>4000</v>
      </c>
      <c r="Z88" s="353"/>
      <c r="AA88" s="34">
        <v>94010</v>
      </c>
      <c r="AB88" s="353"/>
      <c r="AC88" s="34">
        <v>29848</v>
      </c>
      <c r="AD88" s="353"/>
      <c r="AE88" s="34"/>
      <c r="AF88" s="353"/>
      <c r="AG88" s="34"/>
      <c r="AH88" s="353"/>
      <c r="AI88" s="34"/>
      <c r="AJ88" s="353"/>
      <c r="AK88" s="34"/>
      <c r="AL88" s="364">
        <f t="shared" si="5"/>
        <v>127858</v>
      </c>
      <c r="AM88" s="17">
        <f>VLOOKUP(B88,'[1]2018'!$A$7:$F$349,6,FALSE)</f>
        <v>78</v>
      </c>
      <c r="AN88" s="32">
        <f>VLOOKUP(A88,'[2]2018 (2)'!$B$1:$D$318,3,FALSE)</f>
        <v>421</v>
      </c>
      <c r="AO88" s="15">
        <v>-7338.33</v>
      </c>
      <c r="AP88" s="34"/>
      <c r="AQ88" s="34">
        <v>-1.38</v>
      </c>
      <c r="AR88" s="455">
        <v>1</v>
      </c>
    </row>
    <row r="89" spans="1:44" x14ac:dyDescent="0.25">
      <c r="A89" s="356">
        <v>5533</v>
      </c>
      <c r="B89" s="348" t="s">
        <v>196</v>
      </c>
      <c r="C89" s="348">
        <v>1414863.62</v>
      </c>
      <c r="D89" s="348">
        <v>142283.60999999999</v>
      </c>
      <c r="E89" s="348"/>
      <c r="F89" s="348"/>
      <c r="G89" s="348">
        <v>74223.100000000006</v>
      </c>
      <c r="H89" s="348">
        <v>881.95</v>
      </c>
      <c r="I89" s="348"/>
      <c r="J89" s="348">
        <v>41219.5</v>
      </c>
      <c r="K89" s="348">
        <v>8665</v>
      </c>
      <c r="L89" s="348">
        <v>82794.45</v>
      </c>
      <c r="M89" s="349">
        <f t="shared" si="3"/>
        <v>1764931.23</v>
      </c>
      <c r="N89" s="368">
        <v>4052.5</v>
      </c>
      <c r="O89" s="368"/>
      <c r="P89" s="368">
        <v>54071.55</v>
      </c>
      <c r="Q89" s="368">
        <v>37490.17</v>
      </c>
      <c r="R89" s="368">
        <v>13021.5</v>
      </c>
      <c r="S89" s="368"/>
      <c r="T89" s="368">
        <v>1144</v>
      </c>
      <c r="U89" s="368">
        <v>6600</v>
      </c>
      <c r="V89" s="368"/>
      <c r="W89" s="368"/>
      <c r="X89" s="349">
        <f t="shared" si="4"/>
        <v>1881310.95</v>
      </c>
      <c r="Y89" s="34">
        <v>5870.95</v>
      </c>
      <c r="Z89" s="353"/>
      <c r="AA89" s="34">
        <v>105251.5</v>
      </c>
      <c r="AB89" s="353"/>
      <c r="AC89" s="34">
        <v>37496</v>
      </c>
      <c r="AD89" s="353">
        <v>5870.95</v>
      </c>
      <c r="AE89" s="34"/>
      <c r="AF89" s="353"/>
      <c r="AG89" s="34"/>
      <c r="AH89" s="353"/>
      <c r="AI89" s="34"/>
      <c r="AJ89" s="353"/>
      <c r="AK89" s="34"/>
      <c r="AL89" s="364">
        <f t="shared" si="5"/>
        <v>154489.40000000002</v>
      </c>
      <c r="AM89" s="17">
        <f>VLOOKUP(B89,'[1]2018'!$A$7:$F$349,6,FALSE)</f>
        <v>71</v>
      </c>
      <c r="AN89" s="32">
        <f>VLOOKUP(A89,'[2]2018 (2)'!$B$1:$D$318,3,FALSE)</f>
        <v>846</v>
      </c>
      <c r="AO89" s="15">
        <v>-29375.439999999999</v>
      </c>
      <c r="AP89" s="34"/>
      <c r="AQ89" s="34">
        <v>-47.6</v>
      </c>
      <c r="AR89" s="455">
        <v>0.6</v>
      </c>
    </row>
    <row r="90" spans="1:44" x14ac:dyDescent="0.25">
      <c r="A90" s="356">
        <v>5534</v>
      </c>
      <c r="B90" s="348" t="s">
        <v>197</v>
      </c>
      <c r="C90" s="348">
        <v>390810.7</v>
      </c>
      <c r="D90" s="348">
        <v>81517.850000000006</v>
      </c>
      <c r="E90" s="348"/>
      <c r="F90" s="348"/>
      <c r="G90" s="348">
        <v>117187.85</v>
      </c>
      <c r="H90" s="348">
        <v>190.3</v>
      </c>
      <c r="I90" s="348"/>
      <c r="J90" s="348">
        <v>1450.5</v>
      </c>
      <c r="K90" s="348">
        <v>861</v>
      </c>
      <c r="L90" s="348">
        <v>72387.75</v>
      </c>
      <c r="M90" s="349">
        <f t="shared" si="3"/>
        <v>664405.95000000007</v>
      </c>
      <c r="N90" s="368">
        <v>24343.4</v>
      </c>
      <c r="O90" s="368">
        <v>25.5</v>
      </c>
      <c r="P90" s="368">
        <v>5991.7</v>
      </c>
      <c r="Q90" s="368"/>
      <c r="R90" s="368">
        <v>4317.3999999999996</v>
      </c>
      <c r="S90" s="368"/>
      <c r="T90" s="368">
        <v>512</v>
      </c>
      <c r="U90" s="368">
        <v>1300</v>
      </c>
      <c r="V90" s="368" t="s">
        <v>649</v>
      </c>
      <c r="W90" s="368" t="s">
        <v>649</v>
      </c>
      <c r="X90" s="349">
        <f t="shared" si="4"/>
        <v>700895.95000000007</v>
      </c>
      <c r="Y90" s="34">
        <v>39000</v>
      </c>
      <c r="Z90" s="34"/>
      <c r="AA90" s="34">
        <v>12202.1</v>
      </c>
      <c r="AB90" s="34" t="s">
        <v>649</v>
      </c>
      <c r="AC90" s="34">
        <v>11440</v>
      </c>
      <c r="AD90" s="34">
        <v>39000</v>
      </c>
      <c r="AE90" s="34" t="s">
        <v>649</v>
      </c>
      <c r="AF90" s="34" t="s">
        <v>649</v>
      </c>
      <c r="AG90" s="34" t="s">
        <v>649</v>
      </c>
      <c r="AH90" s="34"/>
      <c r="AI90" s="34"/>
      <c r="AJ90" s="34">
        <v>51814.45</v>
      </c>
      <c r="AK90" s="34"/>
      <c r="AL90" s="364">
        <f t="shared" si="5"/>
        <v>153456.54999999999</v>
      </c>
      <c r="AM90" s="17">
        <f>VLOOKUP(B90,'[1]2018'!$A$7:$F$349,6,FALSE)</f>
        <v>73</v>
      </c>
      <c r="AN90" s="32">
        <f>VLOOKUP(A90,'[2]2018 (2)'!$B$1:$D$318,3,FALSE)</f>
        <v>255</v>
      </c>
      <c r="AO90" s="15">
        <v>-2914.9</v>
      </c>
      <c r="AP90" s="34"/>
      <c r="AQ90" s="34">
        <v>0</v>
      </c>
      <c r="AR90" s="455">
        <v>1</v>
      </c>
    </row>
    <row r="91" spans="1:44" x14ac:dyDescent="0.25">
      <c r="A91" s="356">
        <v>5535</v>
      </c>
      <c r="B91" s="348" t="s">
        <v>34</v>
      </c>
      <c r="C91" s="348">
        <v>1411088.21</v>
      </c>
      <c r="D91" s="348">
        <v>121309.41</v>
      </c>
      <c r="E91" s="348"/>
      <c r="F91" s="348"/>
      <c r="G91" s="348">
        <v>34456.199999999997</v>
      </c>
      <c r="H91" s="348">
        <v>7882.95</v>
      </c>
      <c r="I91" s="348"/>
      <c r="J91" s="348">
        <v>7812.17</v>
      </c>
      <c r="K91" s="348">
        <v>-5870.7</v>
      </c>
      <c r="L91" s="348">
        <v>139537.29999999999</v>
      </c>
      <c r="M91" s="349">
        <f t="shared" si="3"/>
        <v>1716215.5399999998</v>
      </c>
      <c r="N91" s="368">
        <v>37117.599999999999</v>
      </c>
      <c r="O91" s="368" t="s">
        <v>649</v>
      </c>
      <c r="P91" s="368">
        <v>96756</v>
      </c>
      <c r="Q91" s="368">
        <v>1590.36</v>
      </c>
      <c r="R91" s="368">
        <v>54993.55</v>
      </c>
      <c r="S91" s="368"/>
      <c r="T91" s="368">
        <v>1565</v>
      </c>
      <c r="U91" s="368">
        <v>6300</v>
      </c>
      <c r="V91" s="368" t="s">
        <v>649</v>
      </c>
      <c r="W91" s="368" t="s">
        <v>649</v>
      </c>
      <c r="X91" s="349">
        <f t="shared" si="4"/>
        <v>1914538.05</v>
      </c>
      <c r="Y91" s="34">
        <v>1500</v>
      </c>
      <c r="Z91" s="34" t="s">
        <v>649</v>
      </c>
      <c r="AA91" s="34">
        <v>130209</v>
      </c>
      <c r="AB91" s="34" t="s">
        <v>649</v>
      </c>
      <c r="AC91" s="34">
        <v>54876.65</v>
      </c>
      <c r="AD91" s="34">
        <v>3437.5</v>
      </c>
      <c r="AE91" s="34" t="s">
        <v>649</v>
      </c>
      <c r="AF91" s="34" t="s">
        <v>649</v>
      </c>
      <c r="AG91" s="34" t="s">
        <v>649</v>
      </c>
      <c r="AH91" s="34"/>
      <c r="AI91" s="34"/>
      <c r="AJ91" s="34"/>
      <c r="AK91" s="34"/>
      <c r="AL91" s="364">
        <f t="shared" si="5"/>
        <v>190023.15</v>
      </c>
      <c r="AM91" s="17">
        <f>VLOOKUP(B91,'[1]2018'!$A$7:$F$349,6,FALSE)</f>
        <v>77</v>
      </c>
      <c r="AN91" s="32">
        <f>VLOOKUP(A91,'[2]2018 (2)'!$B$1:$D$318,3,FALSE)</f>
        <v>778</v>
      </c>
      <c r="AO91" s="15">
        <v>-24352.83</v>
      </c>
      <c r="AP91" s="34"/>
      <c r="AQ91" s="34">
        <v>-2.46</v>
      </c>
      <c r="AR91" s="455">
        <v>1</v>
      </c>
    </row>
    <row r="92" spans="1:44" x14ac:dyDescent="0.25">
      <c r="A92" s="356">
        <v>5537</v>
      </c>
      <c r="B92" s="348" t="s">
        <v>35</v>
      </c>
      <c r="C92" s="348">
        <v>2254489.0299999998</v>
      </c>
      <c r="D92" s="348">
        <v>238408.52</v>
      </c>
      <c r="E92" s="348"/>
      <c r="F92" s="348">
        <v>6505.35</v>
      </c>
      <c r="G92" s="348">
        <v>20092.95</v>
      </c>
      <c r="H92" s="348">
        <v>838.25</v>
      </c>
      <c r="I92" s="348"/>
      <c r="J92" s="348">
        <v>25861.759999999998</v>
      </c>
      <c r="K92" s="348">
        <v>2788.75</v>
      </c>
      <c r="L92" s="348">
        <v>161631.29999999999</v>
      </c>
      <c r="M92" s="349">
        <f t="shared" si="3"/>
        <v>2710615.9099999997</v>
      </c>
      <c r="N92" s="368"/>
      <c r="O92" s="368">
        <v>1449.5</v>
      </c>
      <c r="P92" s="368">
        <v>80137.100000000006</v>
      </c>
      <c r="Q92" s="368"/>
      <c r="R92" s="368">
        <v>38680.85</v>
      </c>
      <c r="S92" s="368">
        <v>325</v>
      </c>
      <c r="T92" s="368">
        <v>97.25</v>
      </c>
      <c r="U92" s="368">
        <v>9165</v>
      </c>
      <c r="V92" s="368">
        <v>450</v>
      </c>
      <c r="W92" s="368"/>
      <c r="X92" s="349">
        <f t="shared" si="4"/>
        <v>2840920.61</v>
      </c>
      <c r="Y92" s="34">
        <v>102764.71</v>
      </c>
      <c r="Z92" s="353"/>
      <c r="AA92" s="34">
        <v>233666.8</v>
      </c>
      <c r="AB92" s="353"/>
      <c r="AC92" s="34">
        <v>127279.3</v>
      </c>
      <c r="AD92" s="353">
        <v>97652.62</v>
      </c>
      <c r="AE92" s="34"/>
      <c r="AF92" s="353"/>
      <c r="AG92" s="34"/>
      <c r="AH92" s="353"/>
      <c r="AI92" s="34"/>
      <c r="AJ92" s="353"/>
      <c r="AK92" s="34"/>
      <c r="AL92" s="364">
        <f t="shared" si="5"/>
        <v>561363.42999999993</v>
      </c>
      <c r="AM92" s="17">
        <f>VLOOKUP(B92,'[1]2018'!$A$7:$F$349,6,FALSE)</f>
        <v>73</v>
      </c>
      <c r="AN92" s="32">
        <f>VLOOKUP(A92,'[2]2018 (2)'!$B$1:$D$318,3,FALSE)</f>
        <v>1213</v>
      </c>
      <c r="AO92" s="15">
        <v>-18916.48</v>
      </c>
      <c r="AP92" s="34"/>
      <c r="AQ92" s="34">
        <v>-19.940000000000001</v>
      </c>
      <c r="AR92" s="455">
        <v>0.8</v>
      </c>
    </row>
    <row r="93" spans="1:44" x14ac:dyDescent="0.25">
      <c r="A93" s="356">
        <v>5539</v>
      </c>
      <c r="B93" s="348" t="s">
        <v>36</v>
      </c>
      <c r="C93" s="348">
        <v>1787228.45</v>
      </c>
      <c r="D93" s="348">
        <v>182428.27</v>
      </c>
      <c r="E93" s="348"/>
      <c r="F93" s="348"/>
      <c r="G93" s="348">
        <v>7525.55</v>
      </c>
      <c r="H93" s="348">
        <v>849.6</v>
      </c>
      <c r="I93" s="348"/>
      <c r="J93" s="348">
        <v>25205.23</v>
      </c>
      <c r="K93" s="348">
        <v>5776.2</v>
      </c>
      <c r="L93" s="348">
        <v>138557.9</v>
      </c>
      <c r="M93" s="349">
        <f t="shared" si="3"/>
        <v>2147571.2000000002</v>
      </c>
      <c r="N93" s="368">
        <v>14221.75</v>
      </c>
      <c r="O93" s="368">
        <v>39766.800000000003</v>
      </c>
      <c r="P93" s="368">
        <v>85795.199999999997</v>
      </c>
      <c r="Q93" s="368">
        <v>3313.53</v>
      </c>
      <c r="R93" s="368">
        <v>37040.949999999997</v>
      </c>
      <c r="S93" s="368"/>
      <c r="T93" s="368"/>
      <c r="U93" s="368">
        <v>6650</v>
      </c>
      <c r="V93" s="368" t="s">
        <v>649</v>
      </c>
      <c r="W93" s="368" t="s">
        <v>649</v>
      </c>
      <c r="X93" s="349">
        <f t="shared" si="4"/>
        <v>2334359.4300000002</v>
      </c>
      <c r="Y93" s="34">
        <v>72855.199999999997</v>
      </c>
      <c r="Z93" s="34" t="s">
        <v>649</v>
      </c>
      <c r="AA93" s="34">
        <v>312761.15000000002</v>
      </c>
      <c r="AB93" s="34" t="s">
        <v>649</v>
      </c>
      <c r="AC93" s="34">
        <v>61350</v>
      </c>
      <c r="AD93" s="34">
        <v>45656.800000000003</v>
      </c>
      <c r="AE93" s="34" t="s">
        <v>649</v>
      </c>
      <c r="AF93" s="34" t="s">
        <v>649</v>
      </c>
      <c r="AG93" s="34" t="s">
        <v>649</v>
      </c>
      <c r="AH93" s="34">
        <v>21184.799999999999</v>
      </c>
      <c r="AI93" s="34"/>
      <c r="AJ93" s="34"/>
      <c r="AK93" s="34"/>
      <c r="AL93" s="364">
        <f t="shared" si="5"/>
        <v>513807.95</v>
      </c>
      <c r="AM93" s="17">
        <f>VLOOKUP(B93,'[1]2018'!$A$7:$F$349,6,FALSE)</f>
        <v>75</v>
      </c>
      <c r="AN93" s="32">
        <f>VLOOKUP(A93,'[2]2018 (2)'!$B$1:$D$318,3,FALSE)</f>
        <v>1001</v>
      </c>
      <c r="AO93" s="15">
        <v>-18348.13</v>
      </c>
      <c r="AP93" s="34"/>
      <c r="AQ93" s="34">
        <v>-38.14</v>
      </c>
      <c r="AR93" s="455">
        <v>0.8</v>
      </c>
    </row>
    <row r="94" spans="1:44" x14ac:dyDescent="0.25">
      <c r="A94" s="356">
        <v>5540</v>
      </c>
      <c r="B94" s="348" t="s">
        <v>441</v>
      </c>
      <c r="C94" s="348">
        <v>3586668.5</v>
      </c>
      <c r="D94" s="348">
        <v>474332.65</v>
      </c>
      <c r="E94" s="348"/>
      <c r="F94" s="348"/>
      <c r="G94" s="348">
        <v>84633.15</v>
      </c>
      <c r="H94" s="348">
        <v>3485.75</v>
      </c>
      <c r="I94" s="348"/>
      <c r="J94" s="348">
        <v>26160.77</v>
      </c>
      <c r="K94" s="348">
        <v>6820.35</v>
      </c>
      <c r="L94" s="348">
        <v>249759.8</v>
      </c>
      <c r="M94" s="349">
        <f t="shared" si="3"/>
        <v>4431860.97</v>
      </c>
      <c r="N94" s="368">
        <v>6897.65</v>
      </c>
      <c r="O94" s="368">
        <v>292.60000000000002</v>
      </c>
      <c r="P94" s="368">
        <v>108615.3</v>
      </c>
      <c r="Q94" s="368">
        <v>1104.07</v>
      </c>
      <c r="R94" s="368">
        <v>87178.55</v>
      </c>
      <c r="S94" s="368">
        <v>1732.2</v>
      </c>
      <c r="T94" s="368"/>
      <c r="U94" s="368">
        <v>13350</v>
      </c>
      <c r="V94" s="368"/>
      <c r="W94" s="368"/>
      <c r="X94" s="349">
        <f t="shared" si="4"/>
        <v>4651031.34</v>
      </c>
      <c r="Y94" s="34">
        <v>5978.25</v>
      </c>
      <c r="Z94" s="353"/>
      <c r="AA94" s="34">
        <v>169697.8</v>
      </c>
      <c r="AB94" s="353"/>
      <c r="AC94" s="34">
        <v>120766.9</v>
      </c>
      <c r="AD94" s="353">
        <v>4622.45</v>
      </c>
      <c r="AE94" s="34"/>
      <c r="AF94" s="353"/>
      <c r="AG94" s="34"/>
      <c r="AH94" s="353"/>
      <c r="AI94" s="34"/>
      <c r="AJ94" s="353"/>
      <c r="AK94" s="34"/>
      <c r="AL94" s="364">
        <f t="shared" si="5"/>
        <v>301065.39999999997</v>
      </c>
      <c r="AM94" s="17">
        <f>VLOOKUP(B94,'[1]2018'!$A$7:$F$349,6,FALSE)</f>
        <v>74</v>
      </c>
      <c r="AN94" s="32">
        <f>VLOOKUP(A94,'[2]2018 (2)'!$B$1:$D$318,3,FALSE)</f>
        <v>1781</v>
      </c>
      <c r="AO94" s="15">
        <v>-83150.39</v>
      </c>
      <c r="AP94" s="34">
        <v>-2937.25</v>
      </c>
      <c r="AQ94" s="34">
        <v>-146.27000000000001</v>
      </c>
      <c r="AR94" s="455">
        <v>0.8</v>
      </c>
    </row>
    <row r="95" spans="1:44" x14ac:dyDescent="0.25">
      <c r="A95" s="356">
        <v>5541</v>
      </c>
      <c r="B95" s="348" t="s">
        <v>440</v>
      </c>
      <c r="C95" s="348">
        <v>2158101.84</v>
      </c>
      <c r="D95" s="348">
        <v>260111.87</v>
      </c>
      <c r="E95" s="348"/>
      <c r="F95" s="348"/>
      <c r="G95" s="348">
        <v>135653.45000000001</v>
      </c>
      <c r="H95" s="348">
        <v>2115.25</v>
      </c>
      <c r="I95" s="348"/>
      <c r="J95" s="348">
        <v>42479.32</v>
      </c>
      <c r="K95" s="348">
        <v>1945.15</v>
      </c>
      <c r="L95" s="348">
        <v>203505.85</v>
      </c>
      <c r="M95" s="349">
        <f t="shared" si="3"/>
        <v>2803912.73</v>
      </c>
      <c r="N95" s="368">
        <v>12741.2</v>
      </c>
      <c r="O95" s="368">
        <v>565663.6</v>
      </c>
      <c r="P95" s="368">
        <v>48114</v>
      </c>
      <c r="Q95" s="368">
        <v>2092.63</v>
      </c>
      <c r="R95" s="368">
        <v>37861.4</v>
      </c>
      <c r="S95" s="368"/>
      <c r="T95" s="368"/>
      <c r="U95" s="368">
        <v>7900</v>
      </c>
      <c r="V95" s="368">
        <v>7693.8</v>
      </c>
      <c r="W95" s="368"/>
      <c r="X95" s="349">
        <f t="shared" si="4"/>
        <v>3485979.36</v>
      </c>
      <c r="Y95" s="34">
        <v>12176</v>
      </c>
      <c r="Z95" s="353"/>
      <c r="AA95" s="34">
        <v>66290.100000000006</v>
      </c>
      <c r="AB95" s="353"/>
      <c r="AC95" s="34">
        <v>65836.5</v>
      </c>
      <c r="AD95" s="353">
        <v>20698.75</v>
      </c>
      <c r="AE95" s="34"/>
      <c r="AF95" s="353"/>
      <c r="AG95" s="34"/>
      <c r="AH95" s="353"/>
      <c r="AI95" s="34"/>
      <c r="AJ95" s="353"/>
      <c r="AK95" s="34"/>
      <c r="AL95" s="364">
        <f t="shared" si="5"/>
        <v>165001.35</v>
      </c>
      <c r="AM95" s="17">
        <f>VLOOKUP(B95,'[1]2018'!$A$7:$F$349,6,FALSE)</f>
        <v>77</v>
      </c>
      <c r="AN95" s="32">
        <f>VLOOKUP(A95,'[2]2018 (2)'!$B$1:$D$318,3,FALSE)</f>
        <v>1119</v>
      </c>
      <c r="AO95" s="15">
        <v>-22250.33</v>
      </c>
      <c r="AP95" s="34">
        <v>-6819.85</v>
      </c>
      <c r="AQ95" s="34">
        <v>-2.44</v>
      </c>
      <c r="AR95" s="455">
        <v>1</v>
      </c>
    </row>
    <row r="96" spans="1:44" x14ac:dyDescent="0.25">
      <c r="A96" s="356">
        <v>5551</v>
      </c>
      <c r="B96" s="348" t="s">
        <v>37</v>
      </c>
      <c r="C96" s="348">
        <v>821543.02</v>
      </c>
      <c r="D96" s="348">
        <v>120473.71</v>
      </c>
      <c r="E96" s="348"/>
      <c r="F96" s="348"/>
      <c r="G96" s="348">
        <v>208114.85</v>
      </c>
      <c r="H96" s="348">
        <v>239.3</v>
      </c>
      <c r="I96" s="348"/>
      <c r="J96" s="348">
        <v>3867.89</v>
      </c>
      <c r="K96" s="348">
        <v>15490.8</v>
      </c>
      <c r="L96" s="348">
        <v>108679.2</v>
      </c>
      <c r="M96" s="349">
        <f t="shared" si="3"/>
        <v>1278408.77</v>
      </c>
      <c r="N96" s="368">
        <v>10084.65</v>
      </c>
      <c r="O96" s="368">
        <v>4786.3</v>
      </c>
      <c r="P96" s="368">
        <v>53064.45</v>
      </c>
      <c r="Q96" s="368">
        <v>743.96</v>
      </c>
      <c r="R96" s="368">
        <v>22048.9</v>
      </c>
      <c r="S96" s="368"/>
      <c r="T96" s="368"/>
      <c r="U96" s="368">
        <v>3054.45</v>
      </c>
      <c r="V96" s="368"/>
      <c r="W96" s="368"/>
      <c r="X96" s="349">
        <f t="shared" si="4"/>
        <v>1372191.4799999997</v>
      </c>
      <c r="Y96" s="34">
        <v>2772</v>
      </c>
      <c r="Z96" s="353">
        <v>43059</v>
      </c>
      <c r="AA96" s="34">
        <v>44241</v>
      </c>
      <c r="AB96" s="353"/>
      <c r="AC96" s="34">
        <v>29437.55</v>
      </c>
      <c r="AD96" s="353">
        <v>3080</v>
      </c>
      <c r="AE96" s="34"/>
      <c r="AF96" s="353"/>
      <c r="AG96" s="34">
        <v>2290.5</v>
      </c>
      <c r="AH96" s="353"/>
      <c r="AI96" s="34"/>
      <c r="AJ96" s="353"/>
      <c r="AK96" s="34"/>
      <c r="AL96" s="364">
        <f t="shared" si="5"/>
        <v>124880.05</v>
      </c>
      <c r="AM96" s="17">
        <f>VLOOKUP(B96,'[1]2018'!$A$7:$F$349,6,FALSE)</f>
        <v>55</v>
      </c>
      <c r="AN96" s="32">
        <f>VLOOKUP(A96,'[2]2018 (2)'!$B$1:$D$318,3,FALSE)</f>
        <v>505</v>
      </c>
      <c r="AO96" s="15">
        <v>-3185.72</v>
      </c>
      <c r="AP96" s="34"/>
      <c r="AQ96" s="34">
        <v>-238.35</v>
      </c>
      <c r="AR96" s="455">
        <v>1</v>
      </c>
    </row>
    <row r="97" spans="1:44" x14ac:dyDescent="0.25">
      <c r="A97" s="356">
        <v>5552</v>
      </c>
      <c r="B97" s="348" t="s">
        <v>38</v>
      </c>
      <c r="C97" s="348">
        <v>1010590.07</v>
      </c>
      <c r="D97" s="348">
        <v>216412.91</v>
      </c>
      <c r="E97" s="348"/>
      <c r="F97" s="348"/>
      <c r="G97" s="348">
        <v>12655.25</v>
      </c>
      <c r="H97" s="348">
        <v>1327.35</v>
      </c>
      <c r="I97" s="348">
        <v>-36302.129999999997</v>
      </c>
      <c r="J97" s="348">
        <v>15125.72</v>
      </c>
      <c r="K97" s="348">
        <v>1632.2</v>
      </c>
      <c r="L97" s="348">
        <v>111202.65</v>
      </c>
      <c r="M97" s="349">
        <f t="shared" si="3"/>
        <v>1332644.02</v>
      </c>
      <c r="N97" s="368">
        <v>40389.949999999997</v>
      </c>
      <c r="O97" s="368"/>
      <c r="P97" s="368">
        <v>49792.3</v>
      </c>
      <c r="Q97" s="368"/>
      <c r="R97" s="368">
        <v>26199.55</v>
      </c>
      <c r="S97" s="368"/>
      <c r="T97" s="368">
        <v>1343.7</v>
      </c>
      <c r="U97" s="368">
        <v>5900</v>
      </c>
      <c r="V97" s="368"/>
      <c r="W97" s="368"/>
      <c r="X97" s="349">
        <f t="shared" si="4"/>
        <v>1456269.52</v>
      </c>
      <c r="Y97" s="34">
        <v>3000</v>
      </c>
      <c r="Z97" s="353"/>
      <c r="AA97" s="34">
        <v>104218.5</v>
      </c>
      <c r="AB97" s="353"/>
      <c r="AC97" s="34">
        <v>83754.850000000006</v>
      </c>
      <c r="AD97" s="353">
        <v>2722.95</v>
      </c>
      <c r="AE97" s="34"/>
      <c r="AF97" s="353"/>
      <c r="AG97" s="34">
        <v>93784.8</v>
      </c>
      <c r="AH97" s="353">
        <v>23616.6</v>
      </c>
      <c r="AI97" s="34"/>
      <c r="AJ97" s="353"/>
      <c r="AK97" s="34"/>
      <c r="AL97" s="364">
        <f t="shared" si="5"/>
        <v>311097.7</v>
      </c>
      <c r="AM97" s="17">
        <f>VLOOKUP(B97,'[1]2018'!$A$7:$F$349,6,FALSE)</f>
        <v>73</v>
      </c>
      <c r="AN97" s="32">
        <f>VLOOKUP(A97,'[2]2018 (2)'!$B$1:$D$318,3,FALSE)</f>
        <v>655</v>
      </c>
      <c r="AO97" s="15">
        <v>-34046.99</v>
      </c>
      <c r="AP97" s="34"/>
      <c r="AQ97" s="34">
        <v>-3.38</v>
      </c>
      <c r="AR97" s="455">
        <v>1</v>
      </c>
    </row>
    <row r="98" spans="1:44" x14ac:dyDescent="0.25">
      <c r="A98" s="356">
        <v>5553</v>
      </c>
      <c r="B98" s="348" t="s">
        <v>39</v>
      </c>
      <c r="C98" s="348">
        <v>1733609.45</v>
      </c>
      <c r="D98" s="348">
        <v>327411.28999999998</v>
      </c>
      <c r="E98" s="348"/>
      <c r="F98" s="348"/>
      <c r="G98" s="348">
        <v>129638.15</v>
      </c>
      <c r="H98" s="348">
        <v>32671.4</v>
      </c>
      <c r="I98" s="348"/>
      <c r="J98" s="348">
        <v>51067.9</v>
      </c>
      <c r="K98" s="348">
        <v>28323.25</v>
      </c>
      <c r="L98" s="348">
        <v>221831.8</v>
      </c>
      <c r="M98" s="349">
        <f t="shared" si="3"/>
        <v>2524553.2399999998</v>
      </c>
      <c r="N98" s="368">
        <v>130175.35</v>
      </c>
      <c r="O98" s="368"/>
      <c r="P98" s="368">
        <v>106178.35</v>
      </c>
      <c r="Q98" s="368">
        <v>901.86</v>
      </c>
      <c r="R98" s="368">
        <v>78128.800000000003</v>
      </c>
      <c r="S98" s="368"/>
      <c r="T98" s="368"/>
      <c r="U98" s="368">
        <v>6250</v>
      </c>
      <c r="V98" s="368"/>
      <c r="W98" s="368"/>
      <c r="X98" s="349">
        <f t="shared" si="4"/>
        <v>2846187.5999999996</v>
      </c>
      <c r="Y98" s="34">
        <v>266790.2</v>
      </c>
      <c r="Z98" s="353"/>
      <c r="AA98" s="34">
        <v>131454.45000000001</v>
      </c>
      <c r="AB98" s="353"/>
      <c r="AC98" s="34">
        <v>75062.75</v>
      </c>
      <c r="AD98" s="353">
        <v>318544.8</v>
      </c>
      <c r="AE98" s="34"/>
      <c r="AF98" s="353"/>
      <c r="AG98" s="34"/>
      <c r="AH98" s="353">
        <v>89951.75</v>
      </c>
      <c r="AI98" s="34"/>
      <c r="AJ98" s="353"/>
      <c r="AK98" s="34"/>
      <c r="AL98" s="364">
        <f t="shared" si="5"/>
        <v>881803.95</v>
      </c>
      <c r="AM98" s="17">
        <f>VLOOKUP(B98,'[1]2018'!$A$7:$F$349,6,FALSE)</f>
        <v>65</v>
      </c>
      <c r="AN98" s="32">
        <f>VLOOKUP(A98,'[2]2018 (2)'!$B$1:$D$318,3,FALSE)</f>
        <v>1034</v>
      </c>
      <c r="AO98" s="15">
        <v>-15652.32</v>
      </c>
      <c r="AP98" s="34"/>
      <c r="AQ98" s="34">
        <v>-413.53</v>
      </c>
      <c r="AR98" s="455">
        <v>1</v>
      </c>
    </row>
    <row r="99" spans="1:44" x14ac:dyDescent="0.25">
      <c r="A99" s="356">
        <v>5554</v>
      </c>
      <c r="B99" s="348" t="s">
        <v>40</v>
      </c>
      <c r="C99" s="348">
        <v>1730433.47</v>
      </c>
      <c r="D99" s="348">
        <v>307554.58</v>
      </c>
      <c r="E99" s="348"/>
      <c r="F99" s="348"/>
      <c r="G99" s="348">
        <v>22182.55</v>
      </c>
      <c r="H99" s="348">
        <v>506.4</v>
      </c>
      <c r="I99" s="348"/>
      <c r="J99" s="348">
        <v>37404.99</v>
      </c>
      <c r="K99" s="348">
        <v>7143.2</v>
      </c>
      <c r="L99" s="348">
        <v>170206.1</v>
      </c>
      <c r="M99" s="349">
        <f t="shared" si="3"/>
        <v>2275431.2900000005</v>
      </c>
      <c r="N99" s="368">
        <v>4705.6000000000004</v>
      </c>
      <c r="O99" s="368">
        <v>48761.8</v>
      </c>
      <c r="P99" s="368">
        <v>110647.25</v>
      </c>
      <c r="Q99" s="368"/>
      <c r="R99" s="368">
        <v>119779.8</v>
      </c>
      <c r="S99" s="368">
        <v>1097.25</v>
      </c>
      <c r="T99" s="368">
        <v>826</v>
      </c>
      <c r="U99" s="368">
        <v>5812.5</v>
      </c>
      <c r="V99" s="368">
        <v>1836.5</v>
      </c>
      <c r="W99" s="368"/>
      <c r="X99" s="349">
        <f t="shared" si="4"/>
        <v>2568897.9900000002</v>
      </c>
      <c r="Y99" s="34">
        <v>51851.55</v>
      </c>
      <c r="Z99" s="353">
        <v>576</v>
      </c>
      <c r="AA99" s="34">
        <v>128828.9</v>
      </c>
      <c r="AB99" s="353"/>
      <c r="AC99" s="34">
        <v>56954.3</v>
      </c>
      <c r="AD99" s="353">
        <v>137345.85</v>
      </c>
      <c r="AE99" s="34">
        <v>121504.1</v>
      </c>
      <c r="AF99" s="353"/>
      <c r="AG99" s="34">
        <v>29424.400000000001</v>
      </c>
      <c r="AH99" s="353">
        <v>31648.9</v>
      </c>
      <c r="AI99" s="34"/>
      <c r="AJ99" s="353"/>
      <c r="AK99" s="34"/>
      <c r="AL99" s="364">
        <f t="shared" si="5"/>
        <v>558134</v>
      </c>
      <c r="AM99" s="17">
        <f>VLOOKUP(B99,'[1]2018'!$A$7:$F$349,6,FALSE)</f>
        <v>75</v>
      </c>
      <c r="AN99" s="32">
        <f>VLOOKUP(A99,'[2]2018 (2)'!$B$1:$D$318,3,FALSE)</f>
        <v>995</v>
      </c>
      <c r="AO99" s="15">
        <v>-33078.83</v>
      </c>
      <c r="AP99" s="34"/>
      <c r="AQ99" s="34">
        <v>-1366.25</v>
      </c>
      <c r="AR99" s="455">
        <v>1</v>
      </c>
    </row>
    <row r="100" spans="1:44" x14ac:dyDescent="0.25">
      <c r="A100" s="356">
        <v>5555</v>
      </c>
      <c r="B100" s="348" t="s">
        <v>41</v>
      </c>
      <c r="C100" s="348">
        <v>687380.74</v>
      </c>
      <c r="D100" s="348">
        <v>156509.76999999999</v>
      </c>
      <c r="E100" s="348"/>
      <c r="F100" s="348"/>
      <c r="G100" s="348">
        <v>5178.6000000000004</v>
      </c>
      <c r="H100" s="348">
        <v>2184.1</v>
      </c>
      <c r="I100" s="348"/>
      <c r="J100" s="348">
        <v>-677.84</v>
      </c>
      <c r="K100" s="348">
        <v>2458.85</v>
      </c>
      <c r="L100" s="348">
        <v>83632.800000000003</v>
      </c>
      <c r="M100" s="349">
        <f t="shared" si="3"/>
        <v>936667.02</v>
      </c>
      <c r="N100" s="368">
        <v>6304.6</v>
      </c>
      <c r="O100" s="368">
        <v>15139.1</v>
      </c>
      <c r="P100" s="368">
        <v>47802.3</v>
      </c>
      <c r="Q100" s="368">
        <v>341.92</v>
      </c>
      <c r="R100" s="368">
        <v>26118.2</v>
      </c>
      <c r="S100" s="368"/>
      <c r="T100" s="368"/>
      <c r="U100" s="368">
        <v>1410</v>
      </c>
      <c r="V100" s="368"/>
      <c r="W100" s="368"/>
      <c r="X100" s="349">
        <f t="shared" si="4"/>
        <v>1033783.14</v>
      </c>
      <c r="Y100" s="34">
        <v>23448</v>
      </c>
      <c r="Z100" s="353"/>
      <c r="AA100" s="34">
        <v>98117.25</v>
      </c>
      <c r="AB100" s="353"/>
      <c r="AC100" s="34">
        <v>23696</v>
      </c>
      <c r="AD100" s="353">
        <v>39080</v>
      </c>
      <c r="AE100" s="34"/>
      <c r="AF100" s="353"/>
      <c r="AG100" s="34">
        <v>10991.4</v>
      </c>
      <c r="AH100" s="353">
        <v>10353.950000000001</v>
      </c>
      <c r="AI100" s="34"/>
      <c r="AJ100" s="353"/>
      <c r="AK100" s="34"/>
      <c r="AL100" s="364">
        <f t="shared" si="5"/>
        <v>205686.6</v>
      </c>
      <c r="AM100" s="17">
        <f>VLOOKUP(B100,'[1]2018'!$A$7:$F$349,6,FALSE)</f>
        <v>71</v>
      </c>
      <c r="AN100" s="32">
        <f>VLOOKUP(A100,'[2]2018 (2)'!$B$1:$D$318,3,FALSE)</f>
        <v>401</v>
      </c>
      <c r="AO100" s="15">
        <v>-12583.29</v>
      </c>
      <c r="AP100" s="34"/>
      <c r="AQ100" s="34">
        <v>-55.58</v>
      </c>
      <c r="AR100" s="455">
        <v>1</v>
      </c>
    </row>
    <row r="101" spans="1:44" x14ac:dyDescent="0.25">
      <c r="A101" s="356">
        <v>5556</v>
      </c>
      <c r="B101" s="348" t="s">
        <v>42</v>
      </c>
      <c r="C101" s="348">
        <v>727795.23</v>
      </c>
      <c r="D101" s="348">
        <v>73487.570000000007</v>
      </c>
      <c r="E101" s="348"/>
      <c r="F101" s="348">
        <v>2230</v>
      </c>
      <c r="G101" s="348">
        <v>337.6</v>
      </c>
      <c r="H101" s="348">
        <v>28.35</v>
      </c>
      <c r="I101" s="348"/>
      <c r="J101" s="348">
        <v>8244</v>
      </c>
      <c r="K101" s="348">
        <v>646.5</v>
      </c>
      <c r="L101" s="348">
        <v>80104</v>
      </c>
      <c r="M101" s="349">
        <f t="shared" si="3"/>
        <v>892873.25</v>
      </c>
      <c r="N101" s="368"/>
      <c r="O101" s="368">
        <v>10692.4</v>
      </c>
      <c r="P101" s="368">
        <v>42010.5</v>
      </c>
      <c r="Q101" s="368"/>
      <c r="R101" s="368">
        <v>43589.1</v>
      </c>
      <c r="S101" s="368"/>
      <c r="T101" s="368">
        <v>197.25</v>
      </c>
      <c r="U101" s="368">
        <v>2870</v>
      </c>
      <c r="V101" s="368"/>
      <c r="W101" s="368"/>
      <c r="X101" s="349">
        <f t="shared" si="4"/>
        <v>992232.5</v>
      </c>
      <c r="Y101" s="34">
        <v>3622.5</v>
      </c>
      <c r="Z101" s="353"/>
      <c r="AA101" s="34">
        <v>66768.800000000003</v>
      </c>
      <c r="AB101" s="353"/>
      <c r="AC101" s="34">
        <v>12942.65</v>
      </c>
      <c r="AD101" s="353"/>
      <c r="AE101" s="34"/>
      <c r="AF101" s="353"/>
      <c r="AG101" s="34">
        <v>480</v>
      </c>
      <c r="AH101" s="353"/>
      <c r="AI101" s="34"/>
      <c r="AJ101" s="353"/>
      <c r="AK101" s="34"/>
      <c r="AL101" s="364">
        <f t="shared" si="5"/>
        <v>83813.95</v>
      </c>
      <c r="AM101" s="17">
        <f>VLOOKUP(B101,'[1]2018'!$A$7:$F$349,6,FALSE)</f>
        <v>69</v>
      </c>
      <c r="AN101" s="32">
        <f>VLOOKUP(A101,'[2]2018 (2)'!$B$1:$D$318,3,FALSE)</f>
        <v>447</v>
      </c>
      <c r="AO101" s="15">
        <v>-4379.32</v>
      </c>
      <c r="AP101" s="34"/>
      <c r="AQ101" s="34">
        <v>-0.28000000000000003</v>
      </c>
      <c r="AR101" s="455">
        <v>1.2</v>
      </c>
    </row>
    <row r="102" spans="1:44" x14ac:dyDescent="0.25">
      <c r="A102" s="356">
        <v>5557</v>
      </c>
      <c r="B102" s="348" t="s">
        <v>43</v>
      </c>
      <c r="C102" s="348">
        <v>308037.98</v>
      </c>
      <c r="D102" s="348">
        <v>26828.07</v>
      </c>
      <c r="E102" s="348"/>
      <c r="F102" s="348">
        <v>1070</v>
      </c>
      <c r="G102" s="348">
        <v>12494.25</v>
      </c>
      <c r="H102" s="348">
        <v>47.2</v>
      </c>
      <c r="I102" s="348"/>
      <c r="J102" s="348">
        <v>1547.23</v>
      </c>
      <c r="K102" s="348">
        <v>1452.7</v>
      </c>
      <c r="L102" s="348">
        <v>35527</v>
      </c>
      <c r="M102" s="349">
        <f t="shared" si="3"/>
        <v>387004.43</v>
      </c>
      <c r="N102" s="368"/>
      <c r="O102" s="368">
        <v>42371.4</v>
      </c>
      <c r="P102" s="368">
        <v>487.95</v>
      </c>
      <c r="Q102" s="368"/>
      <c r="R102" s="368"/>
      <c r="S102" s="368"/>
      <c r="T102" s="368"/>
      <c r="U102" s="368">
        <v>735</v>
      </c>
      <c r="V102" s="368"/>
      <c r="W102" s="368"/>
      <c r="X102" s="349">
        <f t="shared" si="4"/>
        <v>430598.78</v>
      </c>
      <c r="Y102" s="34"/>
      <c r="Z102" s="353"/>
      <c r="AA102" s="34">
        <v>25600</v>
      </c>
      <c r="AB102" s="353"/>
      <c r="AC102" s="34">
        <v>14931.6</v>
      </c>
      <c r="AD102" s="353"/>
      <c r="AE102" s="34"/>
      <c r="AF102" s="353"/>
      <c r="AG102" s="34"/>
      <c r="AH102" s="353"/>
      <c r="AI102" s="34"/>
      <c r="AJ102" s="353"/>
      <c r="AK102" s="34"/>
      <c r="AL102" s="364">
        <f t="shared" si="5"/>
        <v>40531.599999999999</v>
      </c>
      <c r="AM102" s="17">
        <f>VLOOKUP(B102,'[1]2018'!$A$7:$F$349,6,FALSE)</f>
        <v>69</v>
      </c>
      <c r="AN102" s="32">
        <f>VLOOKUP(A102,'[2]2018 (2)'!$B$1:$D$318,3,FALSE)</f>
        <v>218</v>
      </c>
      <c r="AO102" s="15">
        <v>-3982.64</v>
      </c>
      <c r="AP102" s="34"/>
      <c r="AQ102" s="34">
        <v>0</v>
      </c>
      <c r="AR102" s="455">
        <v>1</v>
      </c>
    </row>
    <row r="103" spans="1:44" x14ac:dyDescent="0.25">
      <c r="A103" s="356">
        <v>5559</v>
      </c>
      <c r="B103" s="348" t="s">
        <v>44</v>
      </c>
      <c r="C103" s="348">
        <v>830458.98</v>
      </c>
      <c r="D103" s="348">
        <v>250389.01</v>
      </c>
      <c r="E103" s="348"/>
      <c r="F103" s="348"/>
      <c r="G103" s="348">
        <v>191560.4</v>
      </c>
      <c r="H103" s="348">
        <v>3072.2</v>
      </c>
      <c r="I103" s="348"/>
      <c r="J103" s="348">
        <v>7439.69</v>
      </c>
      <c r="K103" s="348">
        <v>3258.2</v>
      </c>
      <c r="L103" s="348">
        <v>84589.2</v>
      </c>
      <c r="M103" s="349">
        <f t="shared" si="3"/>
        <v>1370767.6799999997</v>
      </c>
      <c r="N103" s="368">
        <v>36403</v>
      </c>
      <c r="O103" s="368">
        <v>30787.8</v>
      </c>
      <c r="P103" s="368">
        <v>69001.350000000006</v>
      </c>
      <c r="Q103" s="368">
        <v>6092.3</v>
      </c>
      <c r="R103" s="368">
        <v>110654.8</v>
      </c>
      <c r="S103" s="368"/>
      <c r="T103" s="368">
        <v>447.25</v>
      </c>
      <c r="U103" s="368">
        <v>860</v>
      </c>
      <c r="V103" s="368"/>
      <c r="W103" s="368"/>
      <c r="X103" s="349">
        <f t="shared" si="4"/>
        <v>1625014.18</v>
      </c>
      <c r="Y103" s="34">
        <v>7022.4</v>
      </c>
      <c r="Z103" s="353"/>
      <c r="AA103" s="34">
        <v>79611.600000000006</v>
      </c>
      <c r="AB103" s="353"/>
      <c r="AC103" s="34">
        <v>25781.599999999999</v>
      </c>
      <c r="AD103" s="353">
        <v>6716.4</v>
      </c>
      <c r="AE103" s="34">
        <v>11880</v>
      </c>
      <c r="AF103" s="353"/>
      <c r="AG103" s="34">
        <v>5251.2</v>
      </c>
      <c r="AH103" s="353"/>
      <c r="AI103" s="34"/>
      <c r="AJ103" s="353"/>
      <c r="AK103" s="34"/>
      <c r="AL103" s="364">
        <f t="shared" si="5"/>
        <v>136263.20000000001</v>
      </c>
      <c r="AM103" s="17">
        <f>VLOOKUP(B103,'[1]2018'!$A$7:$F$349,6,FALSE)</f>
        <v>66</v>
      </c>
      <c r="AN103" s="32">
        <f>VLOOKUP(A103,'[2]2018 (2)'!$B$1:$D$318,3,FALSE)</f>
        <v>412</v>
      </c>
      <c r="AO103" s="15">
        <v>-25334.97</v>
      </c>
      <c r="AP103" s="34"/>
      <c r="AQ103" s="34">
        <v>-23.27</v>
      </c>
      <c r="AR103" s="455">
        <v>1</v>
      </c>
    </row>
    <row r="104" spans="1:44" x14ac:dyDescent="0.25">
      <c r="A104" s="356">
        <v>5560</v>
      </c>
      <c r="B104" s="348" t="s">
        <v>45</v>
      </c>
      <c r="C104" s="348">
        <v>420684.91</v>
      </c>
      <c r="D104" s="348">
        <v>43550.21</v>
      </c>
      <c r="E104" s="348"/>
      <c r="F104" s="348"/>
      <c r="G104" s="348">
        <v>4493.6499999999996</v>
      </c>
      <c r="H104" s="348">
        <v>55.05</v>
      </c>
      <c r="I104" s="348"/>
      <c r="J104" s="348">
        <v>1775.79</v>
      </c>
      <c r="K104" s="348">
        <v>682.7</v>
      </c>
      <c r="L104" s="348">
        <v>40254.550000000003</v>
      </c>
      <c r="M104" s="349">
        <f t="shared" si="3"/>
        <v>511496.86</v>
      </c>
      <c r="N104" s="368"/>
      <c r="O104" s="368">
        <v>1363.2</v>
      </c>
      <c r="P104" s="368">
        <v>29429.4</v>
      </c>
      <c r="Q104" s="368">
        <v>7487.96</v>
      </c>
      <c r="R104" s="368">
        <v>12560.35</v>
      </c>
      <c r="S104" s="368"/>
      <c r="T104" s="368"/>
      <c r="U104" s="368">
        <v>1600</v>
      </c>
      <c r="V104" s="368"/>
      <c r="W104" s="368"/>
      <c r="X104" s="349">
        <f t="shared" si="4"/>
        <v>563937.7699999999</v>
      </c>
      <c r="Y104" s="34">
        <v>3356</v>
      </c>
      <c r="Z104" s="353"/>
      <c r="AA104" s="34">
        <v>33658</v>
      </c>
      <c r="AB104" s="353"/>
      <c r="AC104" s="34">
        <v>14232.5</v>
      </c>
      <c r="AD104" s="353">
        <v>6896</v>
      </c>
      <c r="AE104" s="34"/>
      <c r="AF104" s="353"/>
      <c r="AG104" s="34">
        <v>1300</v>
      </c>
      <c r="AH104" s="353"/>
      <c r="AI104" s="34"/>
      <c r="AJ104" s="353"/>
      <c r="AK104" s="34"/>
      <c r="AL104" s="364">
        <f t="shared" si="5"/>
        <v>59442.5</v>
      </c>
      <c r="AM104" s="17">
        <f>VLOOKUP(B104,'[1]2018'!$A$7:$F$349,6,FALSE)</f>
        <v>68</v>
      </c>
      <c r="AN104" s="32">
        <f>VLOOKUP(A104,'[2]2018 (2)'!$B$1:$D$318,3,FALSE)</f>
        <v>238</v>
      </c>
      <c r="AO104" s="15">
        <v>-11331.81</v>
      </c>
      <c r="AP104" s="34"/>
      <c r="AQ104" s="34">
        <v>0</v>
      </c>
      <c r="AR104" s="455">
        <v>1</v>
      </c>
    </row>
    <row r="105" spans="1:44" x14ac:dyDescent="0.25">
      <c r="A105" s="356">
        <v>5561</v>
      </c>
      <c r="B105" s="348" t="s">
        <v>46</v>
      </c>
      <c r="C105" s="348">
        <v>6410798</v>
      </c>
      <c r="D105" s="348">
        <v>1148063.1299999999</v>
      </c>
      <c r="E105" s="348"/>
      <c r="F105" s="348"/>
      <c r="G105" s="348">
        <v>391402.7</v>
      </c>
      <c r="H105" s="348">
        <v>10315.25</v>
      </c>
      <c r="I105" s="348"/>
      <c r="J105" s="348">
        <v>60864.29</v>
      </c>
      <c r="K105" s="348">
        <v>29503.8</v>
      </c>
      <c r="L105" s="348">
        <v>573431.30000000005</v>
      </c>
      <c r="M105" s="349">
        <f t="shared" si="3"/>
        <v>8624378.4700000007</v>
      </c>
      <c r="N105" s="368">
        <v>336581.85</v>
      </c>
      <c r="O105" s="368">
        <v>303463.3</v>
      </c>
      <c r="P105" s="368">
        <v>278925.45</v>
      </c>
      <c r="Q105" s="368">
        <v>28923.11</v>
      </c>
      <c r="R105" s="368">
        <v>184163.85</v>
      </c>
      <c r="S105" s="368"/>
      <c r="T105" s="368">
        <v>12982.15</v>
      </c>
      <c r="U105" s="368">
        <v>14310</v>
      </c>
      <c r="V105" s="368">
        <v>540</v>
      </c>
      <c r="W105" s="368"/>
      <c r="X105" s="349">
        <f t="shared" si="4"/>
        <v>9784268.1799999997</v>
      </c>
      <c r="Y105" s="34">
        <v>25282.95</v>
      </c>
      <c r="Z105" s="34" t="s">
        <v>649</v>
      </c>
      <c r="AA105" s="34">
        <v>282505.64999999997</v>
      </c>
      <c r="AB105" s="34" t="s">
        <v>649</v>
      </c>
      <c r="AC105" s="34">
        <v>328074.09999999998</v>
      </c>
      <c r="AD105" s="34">
        <v>268355.15000000002</v>
      </c>
      <c r="AE105" s="34" t="s">
        <v>649</v>
      </c>
      <c r="AF105" s="34" t="s">
        <v>649</v>
      </c>
      <c r="AG105" s="34">
        <v>74815.5</v>
      </c>
      <c r="AH105" s="34">
        <v>101880.6</v>
      </c>
      <c r="AI105" s="34"/>
      <c r="AJ105" s="34"/>
      <c r="AK105" s="34"/>
      <c r="AL105" s="364">
        <f t="shared" si="5"/>
        <v>1080913.95</v>
      </c>
      <c r="AM105" s="17">
        <f>VLOOKUP(B105,'[1]2018'!$A$7:$F$349,6,FALSE)</f>
        <v>69</v>
      </c>
      <c r="AN105" s="32">
        <f>VLOOKUP(A105,'[2]2018 (2)'!$B$1:$D$318,3,FALSE)</f>
        <v>3360</v>
      </c>
      <c r="AO105" s="15">
        <v>-76753.509999999995</v>
      </c>
      <c r="AP105" s="34"/>
      <c r="AQ105" s="34">
        <v>-99.93</v>
      </c>
      <c r="AR105" s="455">
        <v>1</v>
      </c>
    </row>
    <row r="106" spans="1:44" x14ac:dyDescent="0.25">
      <c r="A106" s="356">
        <v>5562</v>
      </c>
      <c r="B106" s="348" t="s">
        <v>47</v>
      </c>
      <c r="C106" s="348">
        <v>208846.19</v>
      </c>
      <c r="D106" s="348">
        <v>138740.07</v>
      </c>
      <c r="E106" s="348"/>
      <c r="F106" s="348">
        <v>790</v>
      </c>
      <c r="G106" s="348">
        <v>-616</v>
      </c>
      <c r="H106" s="348">
        <v>26.55</v>
      </c>
      <c r="I106" s="348"/>
      <c r="J106" s="348">
        <v>740.58</v>
      </c>
      <c r="K106" s="348">
        <v>1280</v>
      </c>
      <c r="L106" s="348">
        <v>34916.53</v>
      </c>
      <c r="M106" s="349">
        <f t="shared" si="3"/>
        <v>384723.92000000004</v>
      </c>
      <c r="N106" s="368">
        <v>452.2</v>
      </c>
      <c r="O106" s="368">
        <v>11598.8</v>
      </c>
      <c r="P106" s="368">
        <v>9845</v>
      </c>
      <c r="Q106" s="368">
        <v>1991.43</v>
      </c>
      <c r="R106" s="368">
        <v>12475.7</v>
      </c>
      <c r="S106" s="368"/>
      <c r="T106" s="368">
        <v>25</v>
      </c>
      <c r="U106" s="368">
        <v>500</v>
      </c>
      <c r="V106" s="368">
        <v>246.85</v>
      </c>
      <c r="W106" s="368"/>
      <c r="X106" s="349">
        <f t="shared" si="4"/>
        <v>421858.9</v>
      </c>
      <c r="Y106" s="34"/>
      <c r="Z106" s="353"/>
      <c r="AA106" s="34">
        <v>40850</v>
      </c>
      <c r="AB106" s="353"/>
      <c r="AC106" s="34">
        <v>17578.3</v>
      </c>
      <c r="AD106" s="353"/>
      <c r="AE106" s="34">
        <v>400</v>
      </c>
      <c r="AF106" s="353"/>
      <c r="AG106" s="34">
        <v>6603.35</v>
      </c>
      <c r="AH106" s="353"/>
      <c r="AI106" s="34"/>
      <c r="AJ106" s="353"/>
      <c r="AK106" s="34"/>
      <c r="AL106" s="364">
        <f t="shared" si="5"/>
        <v>65431.65</v>
      </c>
      <c r="AM106" s="17">
        <f>VLOOKUP(B106,'[1]2018'!$A$7:$F$349,6,FALSE)</f>
        <v>70</v>
      </c>
      <c r="AN106" s="32">
        <f>VLOOKUP(A106,'[2]2018 (2)'!$B$1:$D$318,3,FALSE)</f>
        <v>122</v>
      </c>
      <c r="AO106" s="15">
        <v>-10676.65</v>
      </c>
      <c r="AP106" s="34"/>
      <c r="AQ106" s="34">
        <v>-2.4</v>
      </c>
      <c r="AR106" s="455">
        <v>1.2</v>
      </c>
    </row>
    <row r="107" spans="1:44" x14ac:dyDescent="0.25">
      <c r="A107" s="356">
        <v>5563</v>
      </c>
      <c r="B107" s="348" t="s">
        <v>290</v>
      </c>
      <c r="C107" s="348">
        <v>195566.18</v>
      </c>
      <c r="D107" s="348">
        <v>42191.85</v>
      </c>
      <c r="E107" s="348"/>
      <c r="F107" s="348">
        <v>528</v>
      </c>
      <c r="G107" s="348">
        <v>5499.1</v>
      </c>
      <c r="H107" s="348">
        <v>8.9499999999999993</v>
      </c>
      <c r="I107" s="348"/>
      <c r="J107" s="348">
        <v>-367.49</v>
      </c>
      <c r="K107" s="348"/>
      <c r="L107" s="348">
        <v>20988.95</v>
      </c>
      <c r="M107" s="349">
        <f t="shared" si="3"/>
        <v>264415.54000000004</v>
      </c>
      <c r="N107" s="368"/>
      <c r="O107" s="368"/>
      <c r="P107" s="368">
        <v>9570</v>
      </c>
      <c r="Q107" s="368"/>
      <c r="R107" s="368">
        <v>1314.3</v>
      </c>
      <c r="S107" s="368"/>
      <c r="T107" s="368"/>
      <c r="U107" s="368">
        <v>800</v>
      </c>
      <c r="V107" s="368"/>
      <c r="W107" s="368"/>
      <c r="X107" s="349">
        <f t="shared" si="4"/>
        <v>276099.84000000003</v>
      </c>
      <c r="Y107" s="34"/>
      <c r="Z107" s="353"/>
      <c r="AA107" s="34">
        <v>33076.050000000003</v>
      </c>
      <c r="AB107" s="353"/>
      <c r="AC107" s="34">
        <v>10705</v>
      </c>
      <c r="AD107" s="353"/>
      <c r="AE107" s="34"/>
      <c r="AF107" s="353"/>
      <c r="AG107" s="34"/>
      <c r="AH107" s="353"/>
      <c r="AI107" s="34"/>
      <c r="AJ107" s="353"/>
      <c r="AK107" s="34"/>
      <c r="AL107" s="364">
        <f t="shared" si="5"/>
        <v>43781.05</v>
      </c>
      <c r="AM107" s="17">
        <f>VLOOKUP(B107,'[1]2018'!$A$7:$F$349,6,FALSE)</f>
        <v>78.5</v>
      </c>
      <c r="AN107" s="32">
        <f>VLOOKUP(A107,'[2]2018 (2)'!$B$1:$D$318,3,FALSE)</f>
        <v>158</v>
      </c>
      <c r="AO107" s="15">
        <v>-3398.32</v>
      </c>
      <c r="AP107" s="34"/>
      <c r="AQ107" s="34">
        <v>0</v>
      </c>
      <c r="AR107" s="455">
        <v>1</v>
      </c>
    </row>
    <row r="108" spans="1:44" x14ac:dyDescent="0.25">
      <c r="A108" s="356">
        <v>5564</v>
      </c>
      <c r="B108" s="348" t="s">
        <v>291</v>
      </c>
      <c r="C108" s="348">
        <v>193032.49</v>
      </c>
      <c r="D108" s="348">
        <v>15210.49</v>
      </c>
      <c r="E108" s="348"/>
      <c r="F108" s="348"/>
      <c r="G108" s="348">
        <v>126.4</v>
      </c>
      <c r="H108" s="348">
        <v>11.9</v>
      </c>
      <c r="I108" s="348"/>
      <c r="J108" s="348"/>
      <c r="K108" s="348"/>
      <c r="L108" s="348">
        <v>10575.75</v>
      </c>
      <c r="M108" s="349">
        <f t="shared" si="3"/>
        <v>218957.02999999997</v>
      </c>
      <c r="N108" s="368"/>
      <c r="O108" s="368"/>
      <c r="P108" s="368">
        <v>12684.15</v>
      </c>
      <c r="Q108" s="368"/>
      <c r="R108" s="368">
        <v>14702.65</v>
      </c>
      <c r="S108" s="368"/>
      <c r="T108" s="368">
        <v>450</v>
      </c>
      <c r="U108" s="368">
        <v>260</v>
      </c>
      <c r="V108" s="368"/>
      <c r="W108" s="368"/>
      <c r="X108" s="349">
        <f t="shared" si="4"/>
        <v>247053.82999999996</v>
      </c>
      <c r="Y108" s="34" t="s">
        <v>649</v>
      </c>
      <c r="Z108" s="34" t="s">
        <v>649</v>
      </c>
      <c r="AA108" s="34">
        <v>26366.6</v>
      </c>
      <c r="AB108" s="34" t="s">
        <v>649</v>
      </c>
      <c r="AC108" s="34">
        <v>8138.4</v>
      </c>
      <c r="AD108" s="34" t="s">
        <v>649</v>
      </c>
      <c r="AE108" s="34" t="s">
        <v>649</v>
      </c>
      <c r="AF108" s="34" t="s">
        <v>649</v>
      </c>
      <c r="AG108" s="34" t="s">
        <v>649</v>
      </c>
      <c r="AH108" s="34"/>
      <c r="AI108" s="34"/>
      <c r="AJ108" s="34"/>
      <c r="AK108" s="34"/>
      <c r="AL108" s="364">
        <f t="shared" si="5"/>
        <v>34505</v>
      </c>
      <c r="AM108" s="17">
        <f>VLOOKUP(B108,'[1]2018'!$A$7:$F$349,6,FALSE)</f>
        <v>76</v>
      </c>
      <c r="AN108" s="32">
        <f>VLOOKUP(A108,'[2]2018 (2)'!$B$1:$D$318,3,FALSE)</f>
        <v>101</v>
      </c>
      <c r="AO108" s="15">
        <v>-2750.73</v>
      </c>
      <c r="AP108" s="34"/>
      <c r="AQ108" s="34">
        <v>-10.42</v>
      </c>
      <c r="AR108" s="455">
        <v>0.8</v>
      </c>
    </row>
    <row r="109" spans="1:44" x14ac:dyDescent="0.25">
      <c r="A109" s="356">
        <v>5565</v>
      </c>
      <c r="B109" s="348" t="s">
        <v>292</v>
      </c>
      <c r="C109" s="348">
        <v>889049.28</v>
      </c>
      <c r="D109" s="348">
        <v>83786.009999999995</v>
      </c>
      <c r="E109" s="348"/>
      <c r="F109" s="348"/>
      <c r="G109" s="348">
        <v>188019.65</v>
      </c>
      <c r="H109" s="348">
        <v>96943</v>
      </c>
      <c r="I109" s="348"/>
      <c r="J109" s="348">
        <v>5303.58</v>
      </c>
      <c r="K109" s="348">
        <v>42150.15</v>
      </c>
      <c r="L109" s="348">
        <v>123400.7</v>
      </c>
      <c r="M109" s="349">
        <f t="shared" si="3"/>
        <v>1428652.3699999999</v>
      </c>
      <c r="N109" s="368">
        <v>29116.15</v>
      </c>
      <c r="O109" s="368">
        <v>407.2</v>
      </c>
      <c r="P109" s="368">
        <v>49788.35</v>
      </c>
      <c r="Q109" s="368">
        <v>1913.3</v>
      </c>
      <c r="R109" s="368">
        <v>16011.5</v>
      </c>
      <c r="S109" s="368">
        <v>1126.5</v>
      </c>
      <c r="T109" s="368"/>
      <c r="U109" s="368">
        <v>2280</v>
      </c>
      <c r="V109" s="368"/>
      <c r="W109" s="368"/>
      <c r="X109" s="349">
        <f t="shared" si="4"/>
        <v>1529295.3699999999</v>
      </c>
      <c r="Y109" s="34">
        <v>9111.4</v>
      </c>
      <c r="Z109" s="353"/>
      <c r="AA109" s="34">
        <v>101069.85</v>
      </c>
      <c r="AB109" s="353"/>
      <c r="AC109" s="34">
        <v>27705.9</v>
      </c>
      <c r="AD109" s="353">
        <v>22910</v>
      </c>
      <c r="AE109" s="34"/>
      <c r="AF109" s="353"/>
      <c r="AG109" s="34">
        <v>3033.7</v>
      </c>
      <c r="AH109" s="353">
        <v>43389.65</v>
      </c>
      <c r="AI109" s="34"/>
      <c r="AJ109" s="353"/>
      <c r="AK109" s="34"/>
      <c r="AL109" s="364">
        <f t="shared" si="5"/>
        <v>207220.5</v>
      </c>
      <c r="AM109" s="17">
        <f>VLOOKUP(B109,'[1]2018'!$A$7:$F$349,6,FALSE)</f>
        <v>65</v>
      </c>
      <c r="AN109" s="32">
        <f>VLOOKUP(A109,'[2]2018 (2)'!$B$1:$D$318,3,FALSE)</f>
        <v>494</v>
      </c>
      <c r="AO109" s="15">
        <v>-9707.91</v>
      </c>
      <c r="AP109" s="34"/>
      <c r="AQ109" s="34">
        <v>0</v>
      </c>
      <c r="AR109" s="455">
        <v>1</v>
      </c>
    </row>
    <row r="110" spans="1:44" x14ac:dyDescent="0.25">
      <c r="A110" s="356">
        <v>5566</v>
      </c>
      <c r="B110" s="348" t="s">
        <v>293</v>
      </c>
      <c r="C110" s="348">
        <v>531198.97</v>
      </c>
      <c r="D110" s="348">
        <v>62479.69</v>
      </c>
      <c r="E110" s="348"/>
      <c r="F110" s="348">
        <v>2590</v>
      </c>
      <c r="G110" s="348">
        <v>14522.65</v>
      </c>
      <c r="H110" s="348">
        <v>2149.65</v>
      </c>
      <c r="I110" s="348"/>
      <c r="J110" s="348">
        <v>16211.94</v>
      </c>
      <c r="K110" s="348">
        <v>2043.9</v>
      </c>
      <c r="L110" s="348">
        <v>75959.199999999997</v>
      </c>
      <c r="M110" s="349">
        <f t="shared" si="3"/>
        <v>707155.99999999988</v>
      </c>
      <c r="N110" s="368">
        <v>50308.05</v>
      </c>
      <c r="O110" s="368">
        <v>298.2</v>
      </c>
      <c r="P110" s="368">
        <v>51518.5</v>
      </c>
      <c r="Q110" s="368"/>
      <c r="R110" s="368">
        <v>9317.9</v>
      </c>
      <c r="S110" s="368"/>
      <c r="T110" s="368">
        <v>897.25</v>
      </c>
      <c r="U110" s="368">
        <v>1865</v>
      </c>
      <c r="V110" s="368"/>
      <c r="W110" s="368"/>
      <c r="X110" s="349">
        <f t="shared" si="4"/>
        <v>821360.89999999991</v>
      </c>
      <c r="Y110" s="34"/>
      <c r="Z110" s="353"/>
      <c r="AA110" s="34">
        <v>28613.1</v>
      </c>
      <c r="AB110" s="353"/>
      <c r="AC110" s="34">
        <v>33782.639999999999</v>
      </c>
      <c r="AD110" s="353"/>
      <c r="AE110" s="34"/>
      <c r="AF110" s="353"/>
      <c r="AG110" s="34"/>
      <c r="AH110" s="353"/>
      <c r="AI110" s="34"/>
      <c r="AJ110" s="353"/>
      <c r="AK110" s="34"/>
      <c r="AL110" s="364">
        <f t="shared" si="5"/>
        <v>62395.74</v>
      </c>
      <c r="AM110" s="17">
        <f>VLOOKUP(B110,'[1]2018'!$A$7:$F$349,6,FALSE)</f>
        <v>81</v>
      </c>
      <c r="AN110" s="32">
        <f>VLOOKUP(A110,'[2]2018 (2)'!$B$1:$D$318,3,FALSE)</f>
        <v>373</v>
      </c>
      <c r="AO110" s="15">
        <v>-10839.52</v>
      </c>
      <c r="AP110" s="34"/>
      <c r="AQ110" s="34">
        <v>0</v>
      </c>
      <c r="AR110" s="455">
        <v>1.5</v>
      </c>
    </row>
    <row r="111" spans="1:44" x14ac:dyDescent="0.25">
      <c r="A111" s="356">
        <v>5568</v>
      </c>
      <c r="B111" s="348" t="s">
        <v>124</v>
      </c>
      <c r="C111" s="348">
        <v>5522396.5199999996</v>
      </c>
      <c r="D111" s="348">
        <v>777765.56</v>
      </c>
      <c r="E111" s="348"/>
      <c r="F111" s="348"/>
      <c r="G111" s="348">
        <v>293105.2</v>
      </c>
      <c r="H111" s="348">
        <v>39575.5</v>
      </c>
      <c r="I111" s="348">
        <v>23993.55</v>
      </c>
      <c r="J111" s="348">
        <v>126850.8</v>
      </c>
      <c r="K111" s="348">
        <v>51403.45</v>
      </c>
      <c r="L111" s="348">
        <v>583422.94999999995</v>
      </c>
      <c r="M111" s="349">
        <f t="shared" si="3"/>
        <v>7418513.5300000003</v>
      </c>
      <c r="N111" s="368">
        <v>1751558.4</v>
      </c>
      <c r="O111" s="368">
        <v>111846</v>
      </c>
      <c r="P111" s="368">
        <v>236124.4</v>
      </c>
      <c r="Q111" s="368">
        <v>55886.07</v>
      </c>
      <c r="R111" s="368">
        <v>212672.35</v>
      </c>
      <c r="S111" s="368">
        <v>22768.5</v>
      </c>
      <c r="T111" s="368">
        <v>1038.5999999999999</v>
      </c>
      <c r="U111" s="368">
        <v>22500</v>
      </c>
      <c r="V111" s="368"/>
      <c r="W111" s="368"/>
      <c r="X111" s="349">
        <f t="shared" si="4"/>
        <v>9832907.8499999996</v>
      </c>
      <c r="Y111" s="34">
        <v>38152.800000000003</v>
      </c>
      <c r="Z111" s="353"/>
      <c r="AA111" s="34">
        <v>1234345.05</v>
      </c>
      <c r="AB111" s="353"/>
      <c r="AC111" s="34">
        <v>919171.03</v>
      </c>
      <c r="AD111" s="353">
        <v>74114.600000000006</v>
      </c>
      <c r="AE111" s="34"/>
      <c r="AF111" s="353"/>
      <c r="AG111" s="34">
        <v>56658.8</v>
      </c>
      <c r="AH111" s="353"/>
      <c r="AI111" s="34"/>
      <c r="AJ111" s="353">
        <v>139225.29999999999</v>
      </c>
      <c r="AK111" s="34"/>
      <c r="AL111" s="364">
        <f t="shared" si="5"/>
        <v>2461667.5799999996</v>
      </c>
      <c r="AM111" s="17">
        <f>VLOOKUP(B111,'[1]2018'!$A$7:$F$349,6,FALSE)</f>
        <v>70</v>
      </c>
      <c r="AN111" s="32">
        <f>VLOOKUP(A111,'[2]2018 (2)'!$B$1:$D$318,3,FALSE)</f>
        <v>4845</v>
      </c>
      <c r="AO111" s="15">
        <v>-253887.03</v>
      </c>
      <c r="AP111" s="34"/>
      <c r="AQ111" s="34">
        <v>-235.29</v>
      </c>
      <c r="AR111" s="455">
        <v>1</v>
      </c>
    </row>
    <row r="112" spans="1:44" x14ac:dyDescent="0.25">
      <c r="A112" s="356">
        <v>5571</v>
      </c>
      <c r="B112" s="348" t="s">
        <v>438</v>
      </c>
      <c r="C112" s="348">
        <v>1334942.18</v>
      </c>
      <c r="D112" s="348">
        <v>137522.42000000001</v>
      </c>
      <c r="E112" s="348"/>
      <c r="F112" s="348"/>
      <c r="G112" s="348">
        <v>2524.1999999999998</v>
      </c>
      <c r="H112" s="348">
        <v>173.5</v>
      </c>
      <c r="I112" s="348"/>
      <c r="J112" s="348">
        <v>33048.99</v>
      </c>
      <c r="K112" s="348">
        <v>6417.3</v>
      </c>
      <c r="L112" s="348">
        <v>183340.9</v>
      </c>
      <c r="M112" s="349">
        <f t="shared" si="3"/>
        <v>1697969.4899999998</v>
      </c>
      <c r="N112" s="368">
        <v>43949.599999999999</v>
      </c>
      <c r="O112" s="368">
        <v>43750</v>
      </c>
      <c r="P112" s="368">
        <v>67609.95</v>
      </c>
      <c r="Q112" s="368"/>
      <c r="R112" s="368">
        <v>31614.45</v>
      </c>
      <c r="S112" s="368">
        <v>217.25</v>
      </c>
      <c r="T112" s="368"/>
      <c r="U112" s="368">
        <v>9550</v>
      </c>
      <c r="V112" s="368"/>
      <c r="W112" s="368"/>
      <c r="X112" s="349">
        <f t="shared" si="4"/>
        <v>1894660.7399999998</v>
      </c>
      <c r="Y112" s="34">
        <v>13330</v>
      </c>
      <c r="Z112" s="353"/>
      <c r="AA112" s="34">
        <v>120158.55</v>
      </c>
      <c r="AB112" s="353"/>
      <c r="AC112" s="34">
        <v>42203.55</v>
      </c>
      <c r="AD112" s="353">
        <v>56100</v>
      </c>
      <c r="AE112" s="34"/>
      <c r="AF112" s="353"/>
      <c r="AG112" s="34">
        <v>13567</v>
      </c>
      <c r="AH112" s="353">
        <v>27174.55</v>
      </c>
      <c r="AI112" s="34"/>
      <c r="AJ112" s="353"/>
      <c r="AK112" s="34"/>
      <c r="AL112" s="364">
        <f t="shared" si="5"/>
        <v>272533.64999999997</v>
      </c>
      <c r="AM112" s="17">
        <f>VLOOKUP(B112,'[1]2018'!$A$7:$F$349,6,FALSE)</f>
        <v>73</v>
      </c>
      <c r="AN112" s="32">
        <f>VLOOKUP(A112,'[2]2018 (2)'!$B$1:$D$318,3,FALSE)</f>
        <v>877</v>
      </c>
      <c r="AO112" s="15">
        <v>-24532.29</v>
      </c>
      <c r="AP112" s="34"/>
      <c r="AQ112" s="34">
        <v>-0.22</v>
      </c>
      <c r="AR112" s="455">
        <v>1.2</v>
      </c>
    </row>
    <row r="113" spans="1:44" x14ac:dyDescent="0.25">
      <c r="A113" s="356">
        <v>5581</v>
      </c>
      <c r="B113" s="348" t="s">
        <v>394</v>
      </c>
      <c r="C113" s="348">
        <v>10126789.23</v>
      </c>
      <c r="D113" s="348">
        <v>1477140.39</v>
      </c>
      <c r="E113" s="348"/>
      <c r="F113" s="348"/>
      <c r="G113" s="348">
        <v>384726.55</v>
      </c>
      <c r="H113" s="348">
        <v>2487.5500000000002</v>
      </c>
      <c r="I113" s="348">
        <v>74962.5</v>
      </c>
      <c r="J113" s="348">
        <v>217409.98</v>
      </c>
      <c r="K113" s="348">
        <v>52595.4</v>
      </c>
      <c r="L113" s="348">
        <v>1336029.95</v>
      </c>
      <c r="M113" s="349">
        <f t="shared" si="3"/>
        <v>13672141.550000003</v>
      </c>
      <c r="N113" s="368">
        <v>8316.4500000000007</v>
      </c>
      <c r="O113" s="368">
        <v>63494.95</v>
      </c>
      <c r="P113" s="368">
        <v>708288.15</v>
      </c>
      <c r="Q113" s="368">
        <v>30149.599999999999</v>
      </c>
      <c r="R113" s="368">
        <v>527596.44999999995</v>
      </c>
      <c r="S113" s="368"/>
      <c r="T113" s="368"/>
      <c r="U113" s="368">
        <v>22000</v>
      </c>
      <c r="V113" s="368"/>
      <c r="W113" s="368"/>
      <c r="X113" s="349">
        <f t="shared" si="4"/>
        <v>15031987.15</v>
      </c>
      <c r="Y113" s="34">
        <v>125871.08</v>
      </c>
      <c r="Z113" s="353"/>
      <c r="AA113" s="34">
        <v>496841.17</v>
      </c>
      <c r="AB113" s="353"/>
      <c r="AC113" s="34">
        <v>589931.02</v>
      </c>
      <c r="AD113" s="353">
        <v>20712.810000000001</v>
      </c>
      <c r="AE113" s="34"/>
      <c r="AF113" s="353"/>
      <c r="AG113" s="34">
        <v>11569.2</v>
      </c>
      <c r="AH113" s="353"/>
      <c r="AI113" s="34">
        <v>83929.61</v>
      </c>
      <c r="AJ113" s="353"/>
      <c r="AK113" s="34"/>
      <c r="AL113" s="364">
        <f t="shared" si="5"/>
        <v>1328854.8900000001</v>
      </c>
      <c r="AM113" s="17">
        <f>VLOOKUP(B113,'[1]2018'!$A$7:$F$349,6,FALSE)</f>
        <v>69.5</v>
      </c>
      <c r="AN113" s="32">
        <f>VLOOKUP(A113,'[2]2018 (2)'!$B$1:$D$318,3,FALSE)</f>
        <v>3732</v>
      </c>
      <c r="AO113" s="15">
        <v>-186919.93</v>
      </c>
      <c r="AP113" s="34"/>
      <c r="AQ113" s="34">
        <v>-6059.54</v>
      </c>
      <c r="AR113" s="455">
        <v>1.5</v>
      </c>
    </row>
    <row r="114" spans="1:44" x14ac:dyDescent="0.25">
      <c r="A114" s="356">
        <v>5582</v>
      </c>
      <c r="B114" s="348" t="s">
        <v>395</v>
      </c>
      <c r="C114" s="348">
        <v>9031714.3000000007</v>
      </c>
      <c r="D114" s="348">
        <v>993736.05</v>
      </c>
      <c r="E114" s="348"/>
      <c r="F114" s="348"/>
      <c r="G114" s="348">
        <v>1140905.1499999999</v>
      </c>
      <c r="H114" s="348">
        <v>508017.5</v>
      </c>
      <c r="I114" s="348">
        <v>15716.78</v>
      </c>
      <c r="J114" s="348">
        <v>551253.06000000006</v>
      </c>
      <c r="K114" s="348">
        <v>69274.899999999994</v>
      </c>
      <c r="L114" s="348">
        <v>914540.25</v>
      </c>
      <c r="M114" s="349">
        <f t="shared" si="3"/>
        <v>13225157.990000002</v>
      </c>
      <c r="N114" s="368">
        <v>461910.4</v>
      </c>
      <c r="O114" s="368">
        <v>119857.7</v>
      </c>
      <c r="P114" s="368">
        <v>169035.2</v>
      </c>
      <c r="Q114" s="368">
        <v>259257.17</v>
      </c>
      <c r="R114" s="368">
        <v>249507.7</v>
      </c>
      <c r="S114" s="368"/>
      <c r="T114" s="368">
        <v>8496.2000000000007</v>
      </c>
      <c r="U114" s="368">
        <v>19150</v>
      </c>
      <c r="V114" s="368"/>
      <c r="W114" s="368"/>
      <c r="X114" s="349">
        <f t="shared" si="4"/>
        <v>14512372.359999999</v>
      </c>
      <c r="Y114" s="34">
        <v>18919.849999999999</v>
      </c>
      <c r="Z114" s="353">
        <v>1579.1</v>
      </c>
      <c r="AA114" s="34">
        <v>662250.87</v>
      </c>
      <c r="AB114" s="353"/>
      <c r="AC114" s="34">
        <v>480970.5</v>
      </c>
      <c r="AD114" s="353"/>
      <c r="AE114" s="34"/>
      <c r="AF114" s="353"/>
      <c r="AG114" s="34"/>
      <c r="AH114" s="353">
        <v>196743.35</v>
      </c>
      <c r="AI114" s="34"/>
      <c r="AJ114" s="353"/>
      <c r="AK114" s="34"/>
      <c r="AL114" s="364">
        <f t="shared" si="5"/>
        <v>1360463.67</v>
      </c>
      <c r="AM114" s="17">
        <f>VLOOKUP(B114,'[1]2018'!$A$7:$F$349,6,FALSE)</f>
        <v>74.5</v>
      </c>
      <c r="AN114" s="32">
        <f>VLOOKUP(A114,'[2]2018 (2)'!$B$1:$D$318,3,FALSE)</f>
        <v>4338</v>
      </c>
      <c r="AO114" s="15">
        <v>-231049.77</v>
      </c>
      <c r="AP114" s="34"/>
      <c r="AQ114" s="34">
        <v>-3170.76</v>
      </c>
      <c r="AR114" s="455">
        <v>1</v>
      </c>
    </row>
    <row r="115" spans="1:44" x14ac:dyDescent="0.25">
      <c r="A115" s="356">
        <v>5583</v>
      </c>
      <c r="B115" s="348" t="s">
        <v>396</v>
      </c>
      <c r="C115" s="348">
        <v>12405612.699999999</v>
      </c>
      <c r="D115" s="348">
        <v>1543856.18</v>
      </c>
      <c r="E115" s="348"/>
      <c r="F115" s="348"/>
      <c r="G115" s="348">
        <v>5040886.05</v>
      </c>
      <c r="H115" s="348">
        <v>242413.55</v>
      </c>
      <c r="I115" s="348"/>
      <c r="J115" s="348">
        <v>739111.01</v>
      </c>
      <c r="K115" s="348">
        <v>320684.25</v>
      </c>
      <c r="L115" s="348">
        <v>2279166.4500000002</v>
      </c>
      <c r="M115" s="349">
        <f t="shared" si="3"/>
        <v>22571730.190000001</v>
      </c>
      <c r="N115" s="368">
        <v>1826234.1</v>
      </c>
      <c r="O115" s="368">
        <v>464820.8</v>
      </c>
      <c r="P115" s="368">
        <v>1859712.7</v>
      </c>
      <c r="Q115" s="368">
        <v>32784.97</v>
      </c>
      <c r="R115" s="368">
        <v>822560</v>
      </c>
      <c r="S115" s="368"/>
      <c r="T115" s="368"/>
      <c r="U115" s="368">
        <v>45300</v>
      </c>
      <c r="V115" s="368">
        <v>564</v>
      </c>
      <c r="W115" s="368">
        <v>154742.29999999999</v>
      </c>
      <c r="X115" s="349">
        <f t="shared" si="4"/>
        <v>27778449.060000002</v>
      </c>
      <c r="Y115" s="34"/>
      <c r="Z115" s="353"/>
      <c r="AA115" s="34">
        <v>1652683.95</v>
      </c>
      <c r="AB115" s="353"/>
      <c r="AC115" s="34">
        <v>975623.24</v>
      </c>
      <c r="AD115" s="353">
        <v>71029.7</v>
      </c>
      <c r="AE115" s="34">
        <v>14465.15</v>
      </c>
      <c r="AF115" s="353">
        <v>333.95</v>
      </c>
      <c r="AG115" s="34">
        <v>260718.3</v>
      </c>
      <c r="AH115" s="353">
        <v>585557.75</v>
      </c>
      <c r="AI115" s="34"/>
      <c r="AJ115" s="353">
        <v>83551.100000000006</v>
      </c>
      <c r="AK115" s="34"/>
      <c r="AL115" s="364">
        <f t="shared" si="5"/>
        <v>3643963.14</v>
      </c>
      <c r="AM115" s="17">
        <f>VLOOKUP(B115,'[1]2018'!$A$7:$F$349,6,FALSE)</f>
        <v>65</v>
      </c>
      <c r="AN115" s="32">
        <f>VLOOKUP(A115,'[2]2018 (2)'!$B$1:$D$318,3,FALSE)</f>
        <v>7905</v>
      </c>
      <c r="AO115" s="15">
        <v>-304823.90999999997</v>
      </c>
      <c r="AP115" s="34"/>
      <c r="AQ115" s="34">
        <v>-622.57000000000005</v>
      </c>
      <c r="AR115" s="455">
        <v>1</v>
      </c>
    </row>
    <row r="116" spans="1:44" x14ac:dyDescent="0.25">
      <c r="A116" s="356">
        <v>5584</v>
      </c>
      <c r="B116" s="348" t="s">
        <v>397</v>
      </c>
      <c r="C116" s="348">
        <v>22158231.359999999</v>
      </c>
      <c r="D116" s="348">
        <v>4020618.51</v>
      </c>
      <c r="E116" s="348"/>
      <c r="F116" s="348"/>
      <c r="G116" s="348">
        <v>1331340.45</v>
      </c>
      <c r="H116" s="348">
        <v>313048.05</v>
      </c>
      <c r="I116" s="348">
        <v>383226.87</v>
      </c>
      <c r="J116" s="348">
        <v>515611.77</v>
      </c>
      <c r="K116" s="348">
        <v>200179.4</v>
      </c>
      <c r="L116" s="348">
        <v>2180344.0499999998</v>
      </c>
      <c r="M116" s="349">
        <f t="shared" si="3"/>
        <v>31102600.459999997</v>
      </c>
      <c r="N116" s="368">
        <v>292689.40000000002</v>
      </c>
      <c r="O116" s="368">
        <v>5419507.0999999996</v>
      </c>
      <c r="P116" s="368">
        <v>950372.6</v>
      </c>
      <c r="Q116" s="368">
        <v>102435.65</v>
      </c>
      <c r="R116" s="368">
        <v>1114661.75</v>
      </c>
      <c r="S116" s="368"/>
      <c r="T116" s="368">
        <v>34210.65</v>
      </c>
      <c r="U116" s="368">
        <v>33080</v>
      </c>
      <c r="V116" s="368">
        <v>249.6</v>
      </c>
      <c r="W116" s="368">
        <v>0</v>
      </c>
      <c r="X116" s="349">
        <f t="shared" si="4"/>
        <v>39049807.209999993</v>
      </c>
      <c r="Y116" s="34">
        <v>348178.34</v>
      </c>
      <c r="Z116" s="34">
        <v>0</v>
      </c>
      <c r="AA116" s="34">
        <v>523247.03</v>
      </c>
      <c r="AB116" s="34">
        <v>0</v>
      </c>
      <c r="AC116" s="34">
        <v>785135.42</v>
      </c>
      <c r="AD116" s="34">
        <v>0</v>
      </c>
      <c r="AE116" s="34">
        <v>0</v>
      </c>
      <c r="AF116" s="34">
        <v>0</v>
      </c>
      <c r="AG116" s="34">
        <v>0</v>
      </c>
      <c r="AH116" s="34">
        <v>165000</v>
      </c>
      <c r="AI116" s="34">
        <v>0</v>
      </c>
      <c r="AJ116" s="34">
        <v>0</v>
      </c>
      <c r="AK116" s="34">
        <v>0</v>
      </c>
      <c r="AL116" s="364">
        <f t="shared" si="5"/>
        <v>1821560.79</v>
      </c>
      <c r="AM116" s="17">
        <f>VLOOKUP(B116,'[1]2018'!$A$7:$F$349,6,FALSE)</f>
        <v>66</v>
      </c>
      <c r="AN116" s="32">
        <f>VLOOKUP(A116,'[2]2018 (2)'!$B$1:$D$318,3,FALSE)</f>
        <v>9624</v>
      </c>
      <c r="AO116" s="15">
        <v>-261895.43</v>
      </c>
      <c r="AP116" s="34"/>
      <c r="AQ116" s="34">
        <v>-13214.4</v>
      </c>
      <c r="AR116" s="455">
        <v>1</v>
      </c>
    </row>
    <row r="117" spans="1:44" x14ac:dyDescent="0.25">
      <c r="A117" s="356">
        <v>5585</v>
      </c>
      <c r="B117" s="348" t="s">
        <v>398</v>
      </c>
      <c r="C117" s="348">
        <v>7410051.2199999997</v>
      </c>
      <c r="D117" s="348">
        <v>3317878.06</v>
      </c>
      <c r="E117" s="348"/>
      <c r="F117" s="348"/>
      <c r="G117" s="348">
        <v>318305.40000000002</v>
      </c>
      <c r="H117" s="348">
        <v>1716.75</v>
      </c>
      <c r="I117" s="348">
        <v>237788.45</v>
      </c>
      <c r="J117" s="348">
        <v>47071.48</v>
      </c>
      <c r="K117" s="348">
        <v>-19247.849999999999</v>
      </c>
      <c r="L117" s="348">
        <f>478050950/1000</f>
        <v>478050.95</v>
      </c>
      <c r="M117" s="349">
        <f t="shared" si="3"/>
        <v>11791614.459999999</v>
      </c>
      <c r="N117" s="368">
        <v>1998.15</v>
      </c>
      <c r="O117" s="368">
        <v>61605.4</v>
      </c>
      <c r="P117" s="368">
        <v>259006.65</v>
      </c>
      <c r="Q117" s="368">
        <v>1902.16</v>
      </c>
      <c r="R117" s="368">
        <v>164493.79999999999</v>
      </c>
      <c r="S117" s="368"/>
      <c r="T117" s="368"/>
      <c r="U117" s="368">
        <v>7110</v>
      </c>
      <c r="V117" s="368"/>
      <c r="W117" s="368"/>
      <c r="X117" s="349">
        <f t="shared" si="4"/>
        <v>12287730.620000001</v>
      </c>
      <c r="Y117" s="34">
        <v>56819.5</v>
      </c>
      <c r="Z117" s="353"/>
      <c r="AA117" s="34">
        <v>321570.95</v>
      </c>
      <c r="AB117" s="353"/>
      <c r="AC117" s="34">
        <v>109670.7</v>
      </c>
      <c r="AD117" s="353"/>
      <c r="AE117" s="34"/>
      <c r="AF117" s="353"/>
      <c r="AG117" s="34"/>
      <c r="AH117" s="353"/>
      <c r="AI117" s="34"/>
      <c r="AJ117" s="353"/>
      <c r="AK117" s="34"/>
      <c r="AL117" s="364">
        <f t="shared" si="5"/>
        <v>488061.15</v>
      </c>
      <c r="AM117" s="17">
        <f>VLOOKUP(B117,'[1]2018'!$A$7:$F$349,6,FALSE)</f>
        <v>53</v>
      </c>
      <c r="AN117" s="32">
        <f>VLOOKUP(A117,'[2]2018 (2)'!$B$1:$D$318,3,FALSE)</f>
        <v>1471</v>
      </c>
      <c r="AO117" s="15">
        <v>-4058.81</v>
      </c>
      <c r="AP117" s="34"/>
      <c r="AQ117" s="34">
        <v>-2494.77</v>
      </c>
      <c r="AR117" s="457">
        <v>1</v>
      </c>
    </row>
    <row r="118" spans="1:44" x14ac:dyDescent="0.25">
      <c r="A118" s="356">
        <v>5586</v>
      </c>
      <c r="B118" s="348" t="s">
        <v>125</v>
      </c>
      <c r="C118" s="348">
        <v>294062743.99000001</v>
      </c>
      <c r="D118" s="348">
        <v>37875984.920000002</v>
      </c>
      <c r="E118" s="348"/>
      <c r="F118" s="348"/>
      <c r="G118" s="348">
        <v>83579812.799999997</v>
      </c>
      <c r="H118" s="348">
        <v>6817144.4000000004</v>
      </c>
      <c r="I118" s="348">
        <v>5337145.84</v>
      </c>
      <c r="J118" s="348">
        <v>24759050.420000002</v>
      </c>
      <c r="K118" s="348">
        <v>5311444.3</v>
      </c>
      <c r="L118" s="348">
        <v>37633648.25</v>
      </c>
      <c r="M118" s="349">
        <f t="shared" si="3"/>
        <v>495376974.92000002</v>
      </c>
      <c r="N118" s="368">
        <v>10875129.949999999</v>
      </c>
      <c r="O118" s="368">
        <v>20038418.149999999</v>
      </c>
      <c r="P118" s="368">
        <v>10237652.1</v>
      </c>
      <c r="Q118" s="368">
        <v>1834072.04</v>
      </c>
      <c r="R118" s="368">
        <v>8627031.6500000004</v>
      </c>
      <c r="S118" s="368"/>
      <c r="T118" s="368"/>
      <c r="U118" s="368">
        <v>376450</v>
      </c>
      <c r="V118" s="368">
        <v>6164662.9000000004</v>
      </c>
      <c r="W118" s="368"/>
      <c r="X118" s="349">
        <f t="shared" si="4"/>
        <v>553530391.70999992</v>
      </c>
      <c r="Y118" s="34">
        <v>4787146.45</v>
      </c>
      <c r="Z118" s="353"/>
      <c r="AA118" s="34">
        <v>19753488.690000001</v>
      </c>
      <c r="AB118" s="353"/>
      <c r="AC118" s="34">
        <v>22042284.199999999</v>
      </c>
      <c r="AD118" s="353">
        <v>6820383</v>
      </c>
      <c r="AE118" s="34"/>
      <c r="AF118" s="353"/>
      <c r="AG118" s="34">
        <v>4037603.19</v>
      </c>
      <c r="AH118" s="353">
        <v>7901541.6200000001</v>
      </c>
      <c r="AI118" s="34">
        <v>6089836.0199999996</v>
      </c>
      <c r="AJ118" s="353">
        <v>1671758.89</v>
      </c>
      <c r="AK118" s="34">
        <v>1671702</v>
      </c>
      <c r="AL118" s="364">
        <f t="shared" si="5"/>
        <v>74775744.060000002</v>
      </c>
      <c r="AM118" s="17">
        <f>VLOOKUP(B118,'[1]2018'!$A$7:$F$349,6,FALSE)</f>
        <v>79</v>
      </c>
      <c r="AN118" s="32">
        <f>VLOOKUP(A118,'[2]2018 (2)'!$B$1:$D$318,3,FALSE)</f>
        <v>139720</v>
      </c>
      <c r="AO118" s="15">
        <v>-9959374.2300000004</v>
      </c>
      <c r="AP118" s="34"/>
      <c r="AQ118" s="34">
        <v>-820140.22</v>
      </c>
      <c r="AR118" s="455">
        <v>1.5</v>
      </c>
    </row>
    <row r="119" spans="1:44" x14ac:dyDescent="0.25">
      <c r="A119" s="356">
        <v>5587</v>
      </c>
      <c r="B119" s="348" t="s">
        <v>126</v>
      </c>
      <c r="C119" s="348">
        <v>22701225.510000002</v>
      </c>
      <c r="D119" s="348">
        <v>3385862.23</v>
      </c>
      <c r="E119" s="348"/>
      <c r="F119" s="348"/>
      <c r="G119" s="348">
        <v>2224686.85</v>
      </c>
      <c r="H119" s="348">
        <v>359796.05</v>
      </c>
      <c r="I119" s="348">
        <v>470446.05</v>
      </c>
      <c r="J119" s="348">
        <v>375002.01</v>
      </c>
      <c r="K119" s="348">
        <v>346593.8</v>
      </c>
      <c r="L119" s="348">
        <v>2894792.85</v>
      </c>
      <c r="M119" s="349">
        <f t="shared" si="3"/>
        <v>32758405.350000009</v>
      </c>
      <c r="N119" s="368">
        <v>538043.69999999995</v>
      </c>
      <c r="O119" s="368">
        <v>151110.6</v>
      </c>
      <c r="P119" s="368">
        <v>898427.7</v>
      </c>
      <c r="Q119" s="368">
        <v>85796.98</v>
      </c>
      <c r="R119" s="368">
        <v>609797.94999999995</v>
      </c>
      <c r="S119" s="368"/>
      <c r="T119" s="368">
        <v>31618.5</v>
      </c>
      <c r="U119" s="368">
        <v>33750</v>
      </c>
      <c r="V119" s="368"/>
      <c r="W119" s="368"/>
      <c r="X119" s="349">
        <f t="shared" si="4"/>
        <v>35106950.780000009</v>
      </c>
      <c r="Y119" s="34">
        <v>124775.8</v>
      </c>
      <c r="Z119" s="34" t="s">
        <v>649</v>
      </c>
      <c r="AA119" s="34">
        <v>1589637.93</v>
      </c>
      <c r="AB119" s="34" t="s">
        <v>649</v>
      </c>
      <c r="AC119" s="34">
        <v>687787.41</v>
      </c>
      <c r="AD119" s="34" t="s">
        <v>649</v>
      </c>
      <c r="AE119" s="34" t="s">
        <v>649</v>
      </c>
      <c r="AF119" s="34" t="s">
        <v>649</v>
      </c>
      <c r="AG119" s="34" t="s">
        <v>649</v>
      </c>
      <c r="AH119" s="34">
        <v>295200.51</v>
      </c>
      <c r="AI119" s="34"/>
      <c r="AJ119" s="34"/>
      <c r="AK119" s="34"/>
      <c r="AL119" s="364">
        <f t="shared" si="5"/>
        <v>2697401.6500000004</v>
      </c>
      <c r="AM119" s="17">
        <f>VLOOKUP(B119,'[1]2018'!$A$7:$F$349,6,FALSE)</f>
        <v>75</v>
      </c>
      <c r="AN119" s="32">
        <f>VLOOKUP(A119,'[2]2018 (2)'!$B$1:$D$318,3,FALSE)</f>
        <v>8516</v>
      </c>
      <c r="AO119" s="15">
        <v>-340311.73</v>
      </c>
      <c r="AP119" s="34"/>
      <c r="AQ119" s="34">
        <v>-12218.61</v>
      </c>
      <c r="AR119" s="455">
        <v>1.2</v>
      </c>
    </row>
    <row r="120" spans="1:44" x14ac:dyDescent="0.25">
      <c r="A120" s="356">
        <v>5588</v>
      </c>
      <c r="B120" s="348" t="s">
        <v>127</v>
      </c>
      <c r="C120" s="348">
        <v>4917064.8899999997</v>
      </c>
      <c r="D120" s="348">
        <v>919066.29</v>
      </c>
      <c r="E120" s="348"/>
      <c r="F120" s="348"/>
      <c r="G120" s="348">
        <v>156797.85</v>
      </c>
      <c r="H120" s="348">
        <v>352028.35</v>
      </c>
      <c r="I120" s="348">
        <v>556447.21</v>
      </c>
      <c r="J120" s="348">
        <v>257658.63</v>
      </c>
      <c r="K120" s="348">
        <v>37797.050000000003</v>
      </c>
      <c r="L120" s="348">
        <v>364526.8</v>
      </c>
      <c r="M120" s="349">
        <f t="shared" si="3"/>
        <v>7561387.0699999984</v>
      </c>
      <c r="N120" s="368">
        <v>15159.4</v>
      </c>
      <c r="O120" s="368">
        <v>30582.9</v>
      </c>
      <c r="P120" s="368">
        <v>186670</v>
      </c>
      <c r="Q120" s="368">
        <v>20551.62</v>
      </c>
      <c r="R120" s="368">
        <v>252412.5</v>
      </c>
      <c r="S120" s="368"/>
      <c r="T120" s="368"/>
      <c r="U120" s="368">
        <v>5362.5</v>
      </c>
      <c r="V120" s="368"/>
      <c r="W120" s="368"/>
      <c r="X120" s="349">
        <f t="shared" si="4"/>
        <v>8072125.9899999993</v>
      </c>
      <c r="Y120" s="34"/>
      <c r="Z120" s="353"/>
      <c r="AA120" s="34">
        <v>118510.18</v>
      </c>
      <c r="AB120" s="353"/>
      <c r="AC120" s="34">
        <v>132360.15</v>
      </c>
      <c r="AD120" s="353"/>
      <c r="AE120" s="34"/>
      <c r="AF120" s="353"/>
      <c r="AG120" s="34"/>
      <c r="AH120" s="353"/>
      <c r="AI120" s="34">
        <v>28805.62</v>
      </c>
      <c r="AJ120" s="353"/>
      <c r="AK120" s="34">
        <v>14402.82</v>
      </c>
      <c r="AL120" s="364">
        <f t="shared" si="5"/>
        <v>294078.77</v>
      </c>
      <c r="AM120" s="17">
        <f>VLOOKUP(B120,'[1]2018'!$A$7:$F$349,6,FALSE)</f>
        <v>61.5</v>
      </c>
      <c r="AN120" s="32">
        <f>VLOOKUP(A120,'[2]2018 (2)'!$B$1:$D$318,3,FALSE)</f>
        <v>1507</v>
      </c>
      <c r="AO120" s="15">
        <v>-73542.789999999994</v>
      </c>
      <c r="AP120" s="34"/>
      <c r="AQ120" s="34">
        <v>-81202.080000000002</v>
      </c>
      <c r="AR120" s="455">
        <v>0.7</v>
      </c>
    </row>
    <row r="121" spans="1:44" x14ac:dyDescent="0.25">
      <c r="A121" s="356">
        <v>5589</v>
      </c>
      <c r="B121" s="348" t="s">
        <v>128</v>
      </c>
      <c r="C121" s="348">
        <v>18382624.559999999</v>
      </c>
      <c r="D121" s="348">
        <v>2018376.53</v>
      </c>
      <c r="E121" s="348"/>
      <c r="F121" s="348"/>
      <c r="G121" s="348">
        <v>7441779.6500000004</v>
      </c>
      <c r="H121" s="348">
        <v>135302.54999999999</v>
      </c>
      <c r="I121" s="348">
        <v>102531.53</v>
      </c>
      <c r="J121" s="348">
        <v>1528407.65</v>
      </c>
      <c r="K121" s="348">
        <v>445387.35</v>
      </c>
      <c r="L121" s="348">
        <v>2001182.4</v>
      </c>
      <c r="M121" s="349">
        <f t="shared" si="3"/>
        <v>32055592.220000003</v>
      </c>
      <c r="N121" s="368">
        <v>1183963.75</v>
      </c>
      <c r="O121" s="368">
        <v>190577.1</v>
      </c>
      <c r="P121" s="368">
        <v>1262585.55</v>
      </c>
      <c r="Q121" s="368">
        <v>165831.19</v>
      </c>
      <c r="R121" s="368">
        <v>314743.25</v>
      </c>
      <c r="S121" s="368"/>
      <c r="T121" s="368"/>
      <c r="U121" s="368">
        <v>40740</v>
      </c>
      <c r="V121" s="368"/>
      <c r="W121" s="368"/>
      <c r="X121" s="349">
        <f t="shared" si="4"/>
        <v>35214033.060000002</v>
      </c>
      <c r="Y121" s="34">
        <v>654997.4</v>
      </c>
      <c r="Z121" s="34" t="s">
        <v>649</v>
      </c>
      <c r="AA121" s="34">
        <v>1449125.65</v>
      </c>
      <c r="AB121" s="34" t="s">
        <v>649</v>
      </c>
      <c r="AC121" s="34">
        <v>1052798.75</v>
      </c>
      <c r="AD121" s="34" t="s">
        <v>649</v>
      </c>
      <c r="AE121" s="34" t="s">
        <v>649</v>
      </c>
      <c r="AF121" s="34" t="s">
        <v>649</v>
      </c>
      <c r="AG121" s="34" t="s">
        <v>649</v>
      </c>
      <c r="AH121" s="34">
        <v>433058.88999999996</v>
      </c>
      <c r="AI121" s="34"/>
      <c r="AJ121" s="34"/>
      <c r="AK121" s="34"/>
      <c r="AL121" s="364">
        <f t="shared" si="5"/>
        <v>3589980.69</v>
      </c>
      <c r="AM121" s="17">
        <f>VLOOKUP(B121,'[1]2018'!$A$7:$F$349,6,FALSE)</f>
        <v>73.5</v>
      </c>
      <c r="AN121" s="32">
        <f>VLOOKUP(A121,'[2]2018 (2)'!$B$1:$D$318,3,FALSE)</f>
        <v>12392</v>
      </c>
      <c r="AO121" s="15">
        <v>-905075.83</v>
      </c>
      <c r="AP121" s="34"/>
      <c r="AQ121" s="34">
        <v>-2910.59</v>
      </c>
      <c r="AR121" s="455">
        <v>1</v>
      </c>
    </row>
    <row r="122" spans="1:44" x14ac:dyDescent="0.25">
      <c r="A122" s="356">
        <v>5590</v>
      </c>
      <c r="B122" s="348" t="s">
        <v>129</v>
      </c>
      <c r="C122" s="348">
        <v>54716905.490000002</v>
      </c>
      <c r="D122" s="348">
        <v>15771786.529999999</v>
      </c>
      <c r="E122" s="348"/>
      <c r="F122" s="348"/>
      <c r="G122" s="348">
        <v>6049354.7999999998</v>
      </c>
      <c r="H122" s="348">
        <v>272113</v>
      </c>
      <c r="I122" s="348">
        <v>3194813.59</v>
      </c>
      <c r="J122" s="348">
        <v>1487448.96</v>
      </c>
      <c r="K122" s="348">
        <v>411165.6</v>
      </c>
      <c r="L122" s="348">
        <v>3364380.95</v>
      </c>
      <c r="M122" s="349">
        <f t="shared" si="3"/>
        <v>85267968.919999987</v>
      </c>
      <c r="N122" s="368">
        <v>193434.5</v>
      </c>
      <c r="O122" s="368">
        <v>7019320.5999999996</v>
      </c>
      <c r="P122" s="368">
        <v>4298913.75</v>
      </c>
      <c r="Q122" s="368">
        <v>128140.32</v>
      </c>
      <c r="R122" s="368">
        <v>2462791.0499999998</v>
      </c>
      <c r="S122" s="368">
        <v>25071.75</v>
      </c>
      <c r="T122" s="368"/>
      <c r="U122" s="368">
        <v>51200</v>
      </c>
      <c r="V122" s="368" t="s">
        <v>649</v>
      </c>
      <c r="W122" s="368" t="s">
        <v>649</v>
      </c>
      <c r="X122" s="349">
        <f t="shared" si="4"/>
        <v>99446840.889999971</v>
      </c>
      <c r="Y122" s="34">
        <v>503330.61</v>
      </c>
      <c r="Z122" s="34" t="s">
        <v>649</v>
      </c>
      <c r="AA122" s="34">
        <v>3507331.01</v>
      </c>
      <c r="AB122" s="34" t="s">
        <v>649</v>
      </c>
      <c r="AC122" s="34">
        <v>2194546.67</v>
      </c>
      <c r="AD122" s="34">
        <v>361659.94</v>
      </c>
      <c r="AE122" s="34" t="s">
        <v>649</v>
      </c>
      <c r="AF122" s="34" t="s">
        <v>649</v>
      </c>
      <c r="AG122" s="34">
        <v>48332.25</v>
      </c>
      <c r="AH122" s="34">
        <v>350918.41</v>
      </c>
      <c r="AI122" s="34">
        <v>516474.02</v>
      </c>
      <c r="AJ122" s="34"/>
      <c r="AK122" s="34"/>
      <c r="AL122" s="364">
        <f t="shared" si="5"/>
        <v>7482592.9100000001</v>
      </c>
      <c r="AM122" s="17">
        <f>VLOOKUP(B122,'[1]2018'!$A$7:$F$349,6,FALSE)</f>
        <v>61</v>
      </c>
      <c r="AN122" s="32">
        <f>VLOOKUP(A122,'[2]2018 (2)'!$B$1:$D$318,3,FALSE)</f>
        <v>18336</v>
      </c>
      <c r="AO122" s="15">
        <v>-894910.23</v>
      </c>
      <c r="AP122" s="34"/>
      <c r="AQ122" s="34">
        <v>-247782.79</v>
      </c>
      <c r="AR122" s="455">
        <v>0.7</v>
      </c>
    </row>
    <row r="123" spans="1:44" x14ac:dyDescent="0.25">
      <c r="A123" s="356">
        <v>5591</v>
      </c>
      <c r="B123" s="348" t="s">
        <v>401</v>
      </c>
      <c r="C123" s="348">
        <v>30373551.350000001</v>
      </c>
      <c r="D123" s="348">
        <v>3018405.61</v>
      </c>
      <c r="E123" s="348"/>
      <c r="F123" s="348"/>
      <c r="G123" s="348">
        <v>7645721.7000000002</v>
      </c>
      <c r="H123" s="348">
        <v>410491.8</v>
      </c>
      <c r="I123" s="348"/>
      <c r="J123" s="348">
        <v>2440624.98</v>
      </c>
      <c r="K123" s="348">
        <v>596805.19999999995</v>
      </c>
      <c r="L123" s="348">
        <v>4755028.1500000004</v>
      </c>
      <c r="M123" s="349">
        <f t="shared" si="3"/>
        <v>49240628.789999999</v>
      </c>
      <c r="N123" s="368">
        <v>2467919.5</v>
      </c>
      <c r="O123" s="368">
        <v>328078.3</v>
      </c>
      <c r="P123" s="368">
        <v>2043555.55</v>
      </c>
      <c r="Q123" s="368">
        <v>234558.34</v>
      </c>
      <c r="R123" s="368">
        <v>2123613.5</v>
      </c>
      <c r="S123" s="368"/>
      <c r="T123" s="368"/>
      <c r="U123" s="368">
        <v>56100</v>
      </c>
      <c r="V123" s="368">
        <v>71387.05</v>
      </c>
      <c r="W123" s="368">
        <v>60799.5</v>
      </c>
      <c r="X123" s="349">
        <f t="shared" si="4"/>
        <v>56626640.529999994</v>
      </c>
      <c r="Y123" s="34">
        <v>204277.15</v>
      </c>
      <c r="Z123" s="353"/>
      <c r="AA123" s="34">
        <v>984000.01</v>
      </c>
      <c r="AB123" s="353">
        <v>9288</v>
      </c>
      <c r="AC123" s="34">
        <v>2018150.96</v>
      </c>
      <c r="AD123" s="353"/>
      <c r="AE123" s="34"/>
      <c r="AF123" s="34"/>
      <c r="AG123" s="353">
        <v>2319.3000000000002</v>
      </c>
      <c r="AH123" s="34">
        <v>540152.68000000005</v>
      </c>
      <c r="AI123" s="34"/>
      <c r="AJ123" s="353"/>
      <c r="AK123" s="34">
        <v>77164.81</v>
      </c>
      <c r="AL123" s="364">
        <f t="shared" si="5"/>
        <v>3835352.91</v>
      </c>
      <c r="AM123" s="17">
        <f>VLOOKUP(B123,'[1]2018'!$A$7:$F$349,6,FALSE)</f>
        <v>78.5</v>
      </c>
      <c r="AN123" s="32">
        <f>VLOOKUP(A123,'[2]2018 (2)'!$B$1:$D$318,3,FALSE)</f>
        <v>20968</v>
      </c>
      <c r="AO123" s="15">
        <v>-2557720.62</v>
      </c>
      <c r="AP123" s="34"/>
      <c r="AQ123" s="34">
        <v>-2604.2800000000002</v>
      </c>
      <c r="AR123" s="455">
        <v>1.4</v>
      </c>
    </row>
    <row r="124" spans="1:44" x14ac:dyDescent="0.25">
      <c r="A124" s="356">
        <v>5592</v>
      </c>
      <c r="B124" s="348" t="s">
        <v>221</v>
      </c>
      <c r="C124" s="348">
        <v>5796684.8200000003</v>
      </c>
      <c r="D124" s="348">
        <v>659040.31999999995</v>
      </c>
      <c r="E124" s="348"/>
      <c r="F124" s="348"/>
      <c r="G124" s="348">
        <v>631137.30000000005</v>
      </c>
      <c r="H124" s="348">
        <v>31008.45</v>
      </c>
      <c r="I124" s="348">
        <v>29076.55</v>
      </c>
      <c r="J124" s="348">
        <v>135240.07999999999</v>
      </c>
      <c r="K124" s="348">
        <v>121971.2</v>
      </c>
      <c r="L124" s="348">
        <v>674844.05</v>
      </c>
      <c r="M124" s="349">
        <f t="shared" si="3"/>
        <v>8079002.7700000005</v>
      </c>
      <c r="N124" s="368">
        <v>211296.2</v>
      </c>
      <c r="O124" s="368">
        <v>137615.70000000001</v>
      </c>
      <c r="P124" s="368">
        <v>150170.9</v>
      </c>
      <c r="Q124" s="368">
        <v>8307.33</v>
      </c>
      <c r="R124" s="368">
        <v>95667.7</v>
      </c>
      <c r="S124" s="368">
        <v>90</v>
      </c>
      <c r="T124" s="368">
        <v>2056</v>
      </c>
      <c r="U124" s="368">
        <v>15675</v>
      </c>
      <c r="V124" s="368"/>
      <c r="W124" s="368"/>
      <c r="X124" s="349">
        <f t="shared" si="4"/>
        <v>8699881.5999999996</v>
      </c>
      <c r="Y124" s="34">
        <v>4505.99</v>
      </c>
      <c r="Z124" s="353">
        <v>16111.94</v>
      </c>
      <c r="AA124" s="34">
        <v>371687.38</v>
      </c>
      <c r="AB124" s="353"/>
      <c r="AC124" s="34">
        <v>218012.84</v>
      </c>
      <c r="AD124" s="353"/>
      <c r="AE124" s="34"/>
      <c r="AF124" s="353"/>
      <c r="AG124" s="34"/>
      <c r="AH124" s="353">
        <v>88658.27</v>
      </c>
      <c r="AI124" s="34">
        <v>76432.66</v>
      </c>
      <c r="AJ124" s="353">
        <v>76432.67</v>
      </c>
      <c r="AK124" s="34"/>
      <c r="AL124" s="364">
        <f t="shared" si="5"/>
        <v>851841.75000000012</v>
      </c>
      <c r="AM124" s="17">
        <f>VLOOKUP(B124,'[1]2018'!$A$7:$F$349,6,FALSE)</f>
        <v>70</v>
      </c>
      <c r="AN124" s="32">
        <f>VLOOKUP(A124,'[2]2018 (2)'!$B$1:$D$318,3,FALSE)</f>
        <v>3311</v>
      </c>
      <c r="AO124" s="15">
        <v>-110203.06</v>
      </c>
      <c r="AP124" s="34"/>
      <c r="AQ124" s="34">
        <v>-2412.96</v>
      </c>
      <c r="AR124" s="455">
        <v>1</v>
      </c>
    </row>
    <row r="125" spans="1:44" x14ac:dyDescent="0.25">
      <c r="A125" s="356">
        <v>5601</v>
      </c>
      <c r="B125" s="348" t="s">
        <v>304</v>
      </c>
      <c r="C125" s="348">
        <v>5449116.21</v>
      </c>
      <c r="D125" s="348">
        <v>964555.83</v>
      </c>
      <c r="E125" s="348"/>
      <c r="F125" s="348"/>
      <c r="G125" s="348">
        <v>93530.65</v>
      </c>
      <c r="H125" s="348">
        <v>15417.5</v>
      </c>
      <c r="I125" s="348">
        <v>72833.759999999995</v>
      </c>
      <c r="J125" s="348">
        <v>100725.83</v>
      </c>
      <c r="K125" s="348">
        <v>24387.4</v>
      </c>
      <c r="L125" s="348">
        <v>455697.15</v>
      </c>
      <c r="M125" s="349">
        <f t="shared" si="3"/>
        <v>7176264.330000001</v>
      </c>
      <c r="N125" s="368">
        <v>46283.1</v>
      </c>
      <c r="O125" s="368">
        <v>192264.4</v>
      </c>
      <c r="P125" s="368">
        <v>258622.6</v>
      </c>
      <c r="Q125" s="368">
        <v>15899.75</v>
      </c>
      <c r="R125" s="368">
        <v>255919.4</v>
      </c>
      <c r="S125" s="368"/>
      <c r="T125" s="368"/>
      <c r="U125" s="368">
        <v>6562.5</v>
      </c>
      <c r="V125" s="368"/>
      <c r="W125" s="368"/>
      <c r="X125" s="349">
        <f t="shared" si="4"/>
        <v>7951816.080000001</v>
      </c>
      <c r="Y125" s="34"/>
      <c r="Z125" s="353">
        <v>11614.07</v>
      </c>
      <c r="AA125" s="34">
        <v>273071.5</v>
      </c>
      <c r="AB125" s="353">
        <v>256585.45</v>
      </c>
      <c r="AC125" s="34">
        <v>130203.03</v>
      </c>
      <c r="AD125" s="353"/>
      <c r="AE125" s="34">
        <v>17856.830000000002</v>
      </c>
      <c r="AF125" s="353"/>
      <c r="AG125" s="34">
        <v>86459.4</v>
      </c>
      <c r="AH125" s="353">
        <v>49872.05</v>
      </c>
      <c r="AI125" s="34"/>
      <c r="AJ125" s="353"/>
      <c r="AK125" s="34"/>
      <c r="AL125" s="364">
        <f t="shared" si="5"/>
        <v>825662.33000000007</v>
      </c>
      <c r="AM125" s="17">
        <f>VLOOKUP(B125,'[1]2018'!$A$7:$F$349,6,FALSE)</f>
        <v>69</v>
      </c>
      <c r="AN125" s="32">
        <f>VLOOKUP(A125,'[2]2018 (2)'!$B$1:$D$318,3,FALSE)</f>
        <v>2238</v>
      </c>
      <c r="AO125" s="15">
        <v>-94270.47</v>
      </c>
      <c r="AP125" s="34"/>
      <c r="AQ125" s="34">
        <v>-2328.79</v>
      </c>
      <c r="AR125" s="455">
        <v>1</v>
      </c>
    </row>
    <row r="126" spans="1:44" x14ac:dyDescent="0.25">
      <c r="A126" s="356">
        <v>5604</v>
      </c>
      <c r="B126" s="348" t="s">
        <v>148</v>
      </c>
      <c r="C126" s="348">
        <v>3905481.18</v>
      </c>
      <c r="D126" s="348">
        <v>457183.64</v>
      </c>
      <c r="E126" s="348"/>
      <c r="F126" s="348"/>
      <c r="G126" s="348">
        <v>511920.9</v>
      </c>
      <c r="H126" s="348">
        <v>8803.65</v>
      </c>
      <c r="I126" s="348">
        <v>28133.08</v>
      </c>
      <c r="J126" s="348">
        <v>77119.009999999995</v>
      </c>
      <c r="K126" s="348">
        <v>38411.800000000003</v>
      </c>
      <c r="L126" s="348">
        <v>384261.45</v>
      </c>
      <c r="M126" s="349">
        <f t="shared" si="3"/>
        <v>5411314.7100000009</v>
      </c>
      <c r="N126" s="368">
        <v>109339.65</v>
      </c>
      <c r="O126" s="368">
        <v>3165.75</v>
      </c>
      <c r="P126" s="368">
        <v>226896.15</v>
      </c>
      <c r="Q126" s="368">
        <v>6312.7</v>
      </c>
      <c r="R126" s="368">
        <v>103978</v>
      </c>
      <c r="S126" s="368"/>
      <c r="T126" s="368">
        <v>3248</v>
      </c>
      <c r="U126" s="368">
        <v>22500</v>
      </c>
      <c r="V126" s="368">
        <v>270</v>
      </c>
      <c r="W126" s="368"/>
      <c r="X126" s="349">
        <f t="shared" si="4"/>
        <v>5887024.9600000018</v>
      </c>
      <c r="Y126" s="34">
        <v>51725.9</v>
      </c>
      <c r="Z126" s="353">
        <v>5985.6</v>
      </c>
      <c r="AA126" s="34">
        <v>377792.1</v>
      </c>
      <c r="AB126" s="353"/>
      <c r="AC126" s="34">
        <v>116403.3</v>
      </c>
      <c r="AD126" s="353">
        <v>68202.75</v>
      </c>
      <c r="AE126" s="34">
        <v>6045.6</v>
      </c>
      <c r="AF126" s="353"/>
      <c r="AG126" s="34">
        <v>11077.25</v>
      </c>
      <c r="AH126" s="353"/>
      <c r="AI126" s="34"/>
      <c r="AJ126" s="353"/>
      <c r="AK126" s="34"/>
      <c r="AL126" s="364">
        <f t="shared" si="5"/>
        <v>637232.5</v>
      </c>
      <c r="AM126" s="17">
        <f>VLOOKUP(B126,'[1]2018'!$A$7:$F$349,6,FALSE)</f>
        <v>70</v>
      </c>
      <c r="AN126" s="32">
        <f>VLOOKUP(A126,'[2]2018 (2)'!$B$1:$D$318,3,FALSE)</f>
        <v>2082</v>
      </c>
      <c r="AO126" s="15">
        <v>-68082.63</v>
      </c>
      <c r="AP126" s="34"/>
      <c r="AQ126" s="34">
        <v>-434</v>
      </c>
      <c r="AR126" s="455">
        <v>1</v>
      </c>
    </row>
    <row r="127" spans="1:44" x14ac:dyDescent="0.25">
      <c r="A127" s="356">
        <v>5606</v>
      </c>
      <c r="B127" s="348" t="s">
        <v>149</v>
      </c>
      <c r="C127" s="348">
        <v>31309142.469999999</v>
      </c>
      <c r="D127" s="348">
        <v>7190240.3099999996</v>
      </c>
      <c r="E127" s="348"/>
      <c r="F127" s="348"/>
      <c r="G127" s="348">
        <v>2785293.45</v>
      </c>
      <c r="H127" s="348">
        <v>50062.6</v>
      </c>
      <c r="I127" s="348">
        <v>1365123.92</v>
      </c>
      <c r="J127" s="348">
        <v>929717.18</v>
      </c>
      <c r="K127" s="348">
        <v>127717.5</v>
      </c>
      <c r="L127" s="348">
        <v>2027612.85</v>
      </c>
      <c r="M127" s="349">
        <f t="shared" si="3"/>
        <v>45784910.280000009</v>
      </c>
      <c r="N127" s="368">
        <v>114627.85</v>
      </c>
      <c r="O127" s="368">
        <v>2431335.0499999998</v>
      </c>
      <c r="P127" s="368">
        <v>3011601.35</v>
      </c>
      <c r="Q127" s="368">
        <v>146178.21</v>
      </c>
      <c r="R127" s="368">
        <v>2053751.5</v>
      </c>
      <c r="S127" s="368"/>
      <c r="T127" s="368"/>
      <c r="U127" s="368">
        <v>47100</v>
      </c>
      <c r="V127" s="368"/>
      <c r="W127" s="368"/>
      <c r="X127" s="349">
        <f t="shared" si="4"/>
        <v>53589504.24000001</v>
      </c>
      <c r="Y127" s="34">
        <v>1212698.3</v>
      </c>
      <c r="Z127" s="34" t="s">
        <v>649</v>
      </c>
      <c r="AA127" s="34">
        <v>1293408.74</v>
      </c>
      <c r="AB127" s="34" t="s">
        <v>649</v>
      </c>
      <c r="AC127" s="34">
        <v>1456085.84</v>
      </c>
      <c r="AD127" s="34">
        <v>837117.7</v>
      </c>
      <c r="AE127" s="34" t="s">
        <v>649</v>
      </c>
      <c r="AF127" s="34"/>
      <c r="AG127" s="34">
        <v>16571.400000000001</v>
      </c>
      <c r="AH127" s="34">
        <v>288211.09999999998</v>
      </c>
      <c r="AI127" s="34">
        <v>205865.1</v>
      </c>
      <c r="AJ127" s="34">
        <v>82346.05</v>
      </c>
      <c r="AK127" s="34"/>
      <c r="AL127" s="364">
        <f t="shared" si="5"/>
        <v>5392304.2299999995</v>
      </c>
      <c r="AM127" s="17">
        <f>VLOOKUP(B127,'[1]2018'!$A$7:$F$349,6,FALSE)</f>
        <v>55.5</v>
      </c>
      <c r="AN127" s="32">
        <f>VLOOKUP(A127,'[2]2018 (2)'!$B$1:$D$318,3,FALSE)</f>
        <v>10285</v>
      </c>
      <c r="AO127" s="15">
        <v>-484170.33</v>
      </c>
      <c r="AP127" s="34"/>
      <c r="AQ127" s="34">
        <v>-40494.660000000003</v>
      </c>
      <c r="AR127" s="455">
        <v>0.7</v>
      </c>
    </row>
    <row r="128" spans="1:44" x14ac:dyDescent="0.25">
      <c r="A128" s="356">
        <v>5607</v>
      </c>
      <c r="B128" s="348" t="s">
        <v>306</v>
      </c>
      <c r="C128" s="348">
        <v>4941696.42</v>
      </c>
      <c r="D128" s="348">
        <v>859074.28</v>
      </c>
      <c r="E128" s="348"/>
      <c r="F128" s="348"/>
      <c r="G128" s="348">
        <v>1005884.05</v>
      </c>
      <c r="H128" s="348">
        <v>90199.7</v>
      </c>
      <c r="I128" s="348">
        <v>65.599999999999994</v>
      </c>
      <c r="J128" s="348">
        <v>204634.95</v>
      </c>
      <c r="K128" s="348">
        <v>125396.65</v>
      </c>
      <c r="L128" s="348">
        <v>774668.55</v>
      </c>
      <c r="M128" s="349">
        <f t="shared" si="3"/>
        <v>8001620.2000000002</v>
      </c>
      <c r="N128" s="368">
        <v>226664.6</v>
      </c>
      <c r="O128" s="368">
        <v>359642.1</v>
      </c>
      <c r="P128" s="368">
        <v>271782.25</v>
      </c>
      <c r="Q128" s="368">
        <v>17458.849999999999</v>
      </c>
      <c r="R128" s="368">
        <v>82442.850000000006</v>
      </c>
      <c r="S128" s="368"/>
      <c r="T128" s="368"/>
      <c r="U128" s="368">
        <v>19350</v>
      </c>
      <c r="V128" s="368"/>
      <c r="W128" s="368"/>
      <c r="X128" s="349">
        <f t="shared" si="4"/>
        <v>8978960.8499999996</v>
      </c>
      <c r="Y128" s="34">
        <v>66635</v>
      </c>
      <c r="Z128" s="34" t="s">
        <v>649</v>
      </c>
      <c r="AA128" s="34">
        <v>182501.4</v>
      </c>
      <c r="AB128" s="34">
        <v>372259.55</v>
      </c>
      <c r="AC128" s="34">
        <v>154043.65</v>
      </c>
      <c r="AD128" s="34">
        <v>162860.95000000001</v>
      </c>
      <c r="AE128" s="34" t="s">
        <v>649</v>
      </c>
      <c r="AF128" s="34" t="s">
        <v>649</v>
      </c>
      <c r="AG128" s="34">
        <v>55148.4</v>
      </c>
      <c r="AH128" s="34">
        <v>154449.1</v>
      </c>
      <c r="AI128" s="34"/>
      <c r="AJ128" s="34"/>
      <c r="AK128" s="34"/>
      <c r="AL128" s="364">
        <f t="shared" si="5"/>
        <v>1147898.05</v>
      </c>
      <c r="AM128" s="17">
        <f>VLOOKUP(B128,'[1]2018'!$A$7:$F$349,6,FALSE)</f>
        <v>70</v>
      </c>
      <c r="AN128" s="32">
        <f>VLOOKUP(A128,'[2]2018 (2)'!$B$1:$D$318,3,FALSE)</f>
        <v>2880</v>
      </c>
      <c r="AO128" s="15">
        <v>-74970.100000000006</v>
      </c>
      <c r="AP128" s="34"/>
      <c r="AQ128" s="34">
        <v>-20484.18</v>
      </c>
      <c r="AR128" s="455">
        <v>1.1499999999999999</v>
      </c>
    </row>
    <row r="129" spans="1:44" x14ac:dyDescent="0.25">
      <c r="A129" s="356">
        <v>5609</v>
      </c>
      <c r="B129" s="348" t="s">
        <v>133</v>
      </c>
      <c r="C129" s="348">
        <v>636146.44999999995</v>
      </c>
      <c r="D129" s="348">
        <v>146281.79999999999</v>
      </c>
      <c r="E129" s="348"/>
      <c r="F129" s="348"/>
      <c r="G129" s="348">
        <v>6836.9</v>
      </c>
      <c r="H129" s="348">
        <v>260.35000000000002</v>
      </c>
      <c r="I129" s="348"/>
      <c r="J129" s="348">
        <v>28690.19</v>
      </c>
      <c r="K129" s="348">
        <v>1268.4000000000001</v>
      </c>
      <c r="L129" s="348">
        <v>54950.5</v>
      </c>
      <c r="M129" s="349">
        <f t="shared" si="3"/>
        <v>874434.59</v>
      </c>
      <c r="N129" s="368"/>
      <c r="O129" s="368"/>
      <c r="P129" s="368">
        <v>19580</v>
      </c>
      <c r="Q129" s="368"/>
      <c r="R129" s="368"/>
      <c r="S129" s="368"/>
      <c r="T129" s="368"/>
      <c r="U129" s="368">
        <v>1100</v>
      </c>
      <c r="V129" s="368"/>
      <c r="W129" s="368"/>
      <c r="X129" s="349">
        <f t="shared" si="4"/>
        <v>895114.59</v>
      </c>
      <c r="Y129" s="34"/>
      <c r="Z129" s="353">
        <v>660</v>
      </c>
      <c r="AA129" s="34">
        <v>33751</v>
      </c>
      <c r="AB129" s="353">
        <v>37173.4</v>
      </c>
      <c r="AC129" s="34">
        <v>21493.25</v>
      </c>
      <c r="AD129" s="353"/>
      <c r="AE129" s="34">
        <v>1100</v>
      </c>
      <c r="AF129" s="353"/>
      <c r="AG129" s="34">
        <v>8480</v>
      </c>
      <c r="AH129" s="353">
        <v>6459.55</v>
      </c>
      <c r="AI129" s="34"/>
      <c r="AJ129" s="353"/>
      <c r="AK129" s="34"/>
      <c r="AL129" s="364">
        <f t="shared" si="5"/>
        <v>109117.2</v>
      </c>
      <c r="AM129" s="17">
        <f>VLOOKUP(B129,'[1]2018'!$A$7:$F$349,6,FALSE)</f>
        <v>63.5</v>
      </c>
      <c r="AN129" s="32">
        <f>VLOOKUP(A129,'[2]2018 (2)'!$B$1:$D$318,3,FALSE)</f>
        <v>358</v>
      </c>
      <c r="AO129" s="15">
        <v>-15942.23</v>
      </c>
      <c r="AP129" s="34"/>
      <c r="AQ129" s="34">
        <v>-41.66</v>
      </c>
      <c r="AR129" s="455">
        <v>1</v>
      </c>
    </row>
    <row r="130" spans="1:44" x14ac:dyDescent="0.25">
      <c r="A130" s="356">
        <v>5610</v>
      </c>
      <c r="B130" s="348" t="s">
        <v>134</v>
      </c>
      <c r="C130" s="348">
        <v>1605303.77</v>
      </c>
      <c r="D130" s="348">
        <v>677942.9</v>
      </c>
      <c r="E130" s="348"/>
      <c r="F130" s="348"/>
      <c r="G130" s="348">
        <v>2935.45</v>
      </c>
      <c r="H130" s="348">
        <v>3329.75</v>
      </c>
      <c r="I130" s="348">
        <v>-2463.1500000000101</v>
      </c>
      <c r="J130" s="348">
        <v>26056.06</v>
      </c>
      <c r="K130" s="348">
        <v>7065.8</v>
      </c>
      <c r="L130" s="348">
        <v>93841.55</v>
      </c>
      <c r="M130" s="349">
        <f t="shared" si="3"/>
        <v>2414012.13</v>
      </c>
      <c r="N130" s="368"/>
      <c r="O130" s="368">
        <v>6564.4</v>
      </c>
      <c r="P130" s="368">
        <v>14069</v>
      </c>
      <c r="Q130" s="368">
        <v>1063.29</v>
      </c>
      <c r="R130" s="368">
        <v>17289.25</v>
      </c>
      <c r="S130" s="368"/>
      <c r="T130" s="368"/>
      <c r="U130" s="368">
        <v>4950</v>
      </c>
      <c r="V130" s="368"/>
      <c r="W130" s="368"/>
      <c r="X130" s="349">
        <f t="shared" si="4"/>
        <v>2457948.0699999998</v>
      </c>
      <c r="Y130" s="34"/>
      <c r="Z130" s="353"/>
      <c r="AA130" s="34">
        <v>59099</v>
      </c>
      <c r="AB130" s="353"/>
      <c r="AC130" s="34"/>
      <c r="AD130" s="353">
        <v>29600</v>
      </c>
      <c r="AE130" s="34">
        <v>47910.7</v>
      </c>
      <c r="AF130" s="353"/>
      <c r="AG130" s="34"/>
      <c r="AH130" s="353"/>
      <c r="AI130" s="34"/>
      <c r="AJ130" s="353"/>
      <c r="AK130" s="34"/>
      <c r="AL130" s="364">
        <f t="shared" si="5"/>
        <v>136609.70000000001</v>
      </c>
      <c r="AM130" s="17">
        <v>70</v>
      </c>
      <c r="AN130" s="32">
        <f>VLOOKUP(A130,'[2]2018 (2)'!$B$1:$D$318,3,FALSE)</f>
        <v>391</v>
      </c>
      <c r="AO130" s="15">
        <v>-2845.55</v>
      </c>
      <c r="AP130" s="34">
        <v>-906774.4</v>
      </c>
      <c r="AQ130" s="34">
        <v>-870.54</v>
      </c>
      <c r="AR130" s="455">
        <v>1</v>
      </c>
    </row>
    <row r="131" spans="1:44" x14ac:dyDescent="0.25">
      <c r="A131" s="356">
        <v>5611</v>
      </c>
      <c r="B131" s="348" t="s">
        <v>303</v>
      </c>
      <c r="C131" s="348">
        <v>7316448.3399999999</v>
      </c>
      <c r="D131" s="348">
        <v>1003708.96</v>
      </c>
      <c r="E131" s="348"/>
      <c r="F131" s="348"/>
      <c r="G131" s="348">
        <v>443140.2</v>
      </c>
      <c r="H131" s="348">
        <v>16709.05</v>
      </c>
      <c r="I131" s="348">
        <v>49142.5</v>
      </c>
      <c r="J131" s="348">
        <v>139098.85</v>
      </c>
      <c r="K131" s="348">
        <v>25088.65</v>
      </c>
      <c r="L131" s="348">
        <v>769865.3</v>
      </c>
      <c r="M131" s="349">
        <f t="shared" si="3"/>
        <v>9763201.8500000015</v>
      </c>
      <c r="N131" s="368">
        <v>152991.25</v>
      </c>
      <c r="O131" s="368">
        <v>1085711.8</v>
      </c>
      <c r="P131" s="368">
        <v>299437.45</v>
      </c>
      <c r="Q131" s="368">
        <v>8701.4599999999991</v>
      </c>
      <c r="R131" s="368">
        <v>205682</v>
      </c>
      <c r="S131" s="368">
        <v>800</v>
      </c>
      <c r="T131" s="368">
        <v>16873.349999999999</v>
      </c>
      <c r="U131" s="368">
        <v>21000</v>
      </c>
      <c r="V131" s="368">
        <v>5906.7</v>
      </c>
      <c r="W131" s="368"/>
      <c r="X131" s="349">
        <f t="shared" si="4"/>
        <v>11560305.860000001</v>
      </c>
      <c r="Y131" s="34">
        <v>9930.61</v>
      </c>
      <c r="Z131" s="353">
        <v>8477.7999999999993</v>
      </c>
      <c r="AA131" s="34"/>
      <c r="AB131" s="353"/>
      <c r="AC131" s="34">
        <v>320555.88</v>
      </c>
      <c r="AD131" s="353">
        <v>6631.01</v>
      </c>
      <c r="AE131" s="34">
        <v>2828.5</v>
      </c>
      <c r="AF131" s="353"/>
      <c r="AG131" s="34"/>
      <c r="AH131" s="353"/>
      <c r="AI131" s="34"/>
      <c r="AJ131" s="353"/>
      <c r="AK131" s="34"/>
      <c r="AL131" s="364">
        <f t="shared" si="5"/>
        <v>348423.8</v>
      </c>
      <c r="AM131" s="17">
        <f>VLOOKUP(B131,'[1]2018'!$A$7:$F$349,6,FALSE)</f>
        <v>69</v>
      </c>
      <c r="AN131" s="32">
        <f>VLOOKUP(A131,'[2]2018 (2)'!$B$1:$D$318,3,FALSE)</f>
        <v>3353</v>
      </c>
      <c r="AO131" s="15">
        <v>-136858.85999999999</v>
      </c>
      <c r="AP131" s="34"/>
      <c r="AQ131" s="34">
        <v>-2155.73</v>
      </c>
      <c r="AR131" s="455">
        <v>1.2</v>
      </c>
    </row>
    <row r="132" spans="1:44" x14ac:dyDescent="0.25">
      <c r="A132" s="356">
        <v>5613</v>
      </c>
      <c r="B132" s="348" t="s">
        <v>437</v>
      </c>
      <c r="C132" s="348">
        <v>13680507.68</v>
      </c>
      <c r="D132" s="348">
        <v>2254705.79</v>
      </c>
      <c r="E132" s="348"/>
      <c r="F132" s="348"/>
      <c r="G132" s="348">
        <v>177081.5</v>
      </c>
      <c r="H132" s="348">
        <v>20900.900000000001</v>
      </c>
      <c r="I132" s="348">
        <v>278712.84999999998</v>
      </c>
      <c r="J132" s="348">
        <v>411516.68</v>
      </c>
      <c r="K132" s="348">
        <v>28193.1</v>
      </c>
      <c r="L132" s="348">
        <v>2065137.6</v>
      </c>
      <c r="M132" s="349">
        <f t="shared" si="3"/>
        <v>18916756.100000001</v>
      </c>
      <c r="N132" s="368">
        <v>27565.8</v>
      </c>
      <c r="O132" s="368">
        <v>433812.8</v>
      </c>
      <c r="P132" s="368">
        <v>767572.65</v>
      </c>
      <c r="Q132" s="368">
        <v>2632.23</v>
      </c>
      <c r="R132" s="368">
        <v>964241.35</v>
      </c>
      <c r="S132" s="368"/>
      <c r="T132" s="368"/>
      <c r="U132" s="368">
        <v>24200</v>
      </c>
      <c r="V132" s="368"/>
      <c r="W132" s="368"/>
      <c r="X132" s="349">
        <f t="shared" si="4"/>
        <v>21136780.930000003</v>
      </c>
      <c r="Y132" s="34">
        <v>16842.78</v>
      </c>
      <c r="Z132" s="34" t="s">
        <v>649</v>
      </c>
      <c r="AA132" s="34">
        <v>659014.36</v>
      </c>
      <c r="AB132" s="34" t="s">
        <v>649</v>
      </c>
      <c r="AC132" s="34">
        <v>355490.25</v>
      </c>
      <c r="AD132" s="34">
        <v>142308.29</v>
      </c>
      <c r="AE132" s="34" t="s">
        <v>649</v>
      </c>
      <c r="AF132" s="34" t="s">
        <v>649</v>
      </c>
      <c r="AG132" s="34">
        <v>146350.9</v>
      </c>
      <c r="AH132" s="34">
        <v>173706.5</v>
      </c>
      <c r="AI132" s="34"/>
      <c r="AJ132" s="34"/>
      <c r="AK132" s="34"/>
      <c r="AL132" s="364">
        <f t="shared" si="5"/>
        <v>1493713.0799999998</v>
      </c>
      <c r="AM132" s="17">
        <f>VLOOKUP(B132,'[1]2018'!$A$7:$F$349,6,FALSE)</f>
        <v>61</v>
      </c>
      <c r="AN132" s="32">
        <f>VLOOKUP(A132,'[2]2018 (2)'!$B$1:$D$318,3,FALSE)</f>
        <v>5367</v>
      </c>
      <c r="AO132" s="15">
        <v>-289203.40000000002</v>
      </c>
      <c r="AP132" s="34"/>
      <c r="AQ132" s="34">
        <v>-8321.73</v>
      </c>
      <c r="AR132" s="455">
        <v>1.5</v>
      </c>
    </row>
    <row r="133" spans="1:44" x14ac:dyDescent="0.25">
      <c r="A133" s="356">
        <v>5621</v>
      </c>
      <c r="B133" s="348" t="s">
        <v>410</v>
      </c>
      <c r="C133" s="348">
        <v>1233424.02</v>
      </c>
      <c r="D133" s="348">
        <v>113046.76</v>
      </c>
      <c r="E133" s="348"/>
      <c r="F133" s="348"/>
      <c r="G133" s="348">
        <v>786466.45</v>
      </c>
      <c r="H133" s="348">
        <v>4101.95</v>
      </c>
      <c r="I133" s="348"/>
      <c r="J133" s="348">
        <v>70297.41</v>
      </c>
      <c r="K133" s="348">
        <v>15614.15</v>
      </c>
      <c r="L133" s="348">
        <v>309955.84999999998</v>
      </c>
      <c r="M133" s="349">
        <f t="shared" si="3"/>
        <v>2532906.5900000003</v>
      </c>
      <c r="N133" s="368">
        <v>216714.35</v>
      </c>
      <c r="O133" s="368">
        <v>269761.5</v>
      </c>
      <c r="P133" s="368">
        <v>36952.85</v>
      </c>
      <c r="Q133" s="368">
        <v>1879.28</v>
      </c>
      <c r="R133" s="368">
        <v>64359.5</v>
      </c>
      <c r="S133" s="368"/>
      <c r="T133" s="368">
        <v>1414.9</v>
      </c>
      <c r="U133" s="368">
        <v>2800</v>
      </c>
      <c r="V133" s="368"/>
      <c r="W133" s="368"/>
      <c r="X133" s="349">
        <f t="shared" si="4"/>
        <v>3126788.97</v>
      </c>
      <c r="Y133" s="34">
        <v>13669.3</v>
      </c>
      <c r="Z133" s="353"/>
      <c r="AA133" s="34">
        <v>197463.75</v>
      </c>
      <c r="AB133" s="353"/>
      <c r="AC133" s="34">
        <v>44081.65</v>
      </c>
      <c r="AD133" s="353">
        <v>13669.3</v>
      </c>
      <c r="AE133" s="34"/>
      <c r="AF133" s="353"/>
      <c r="AG133" s="34"/>
      <c r="AH133" s="353">
        <v>109669.25</v>
      </c>
      <c r="AI133" s="34"/>
      <c r="AJ133" s="353"/>
      <c r="AK133" s="34"/>
      <c r="AL133" s="364">
        <f t="shared" si="5"/>
        <v>378553.25</v>
      </c>
      <c r="AM133" s="17">
        <f>VLOOKUP(B133,'[1]2018'!$A$7:$F$349,6,FALSE)</f>
        <v>62</v>
      </c>
      <c r="AN133" s="32">
        <f>VLOOKUP(A133,'[2]2018 (2)'!$B$1:$D$318,3,FALSE)</f>
        <v>535</v>
      </c>
      <c r="AO133" s="15">
        <v>-51717.16</v>
      </c>
      <c r="AP133" s="34"/>
      <c r="AQ133" s="34">
        <v>-16.71</v>
      </c>
      <c r="AR133" s="455">
        <v>1.1000000000000001</v>
      </c>
    </row>
    <row r="134" spans="1:44" x14ac:dyDescent="0.25">
      <c r="A134" s="356">
        <v>5622</v>
      </c>
      <c r="B134" s="348" t="s">
        <v>152</v>
      </c>
      <c r="C134" s="348">
        <v>1356758.83</v>
      </c>
      <c r="D134" s="348">
        <v>239019.68</v>
      </c>
      <c r="E134" s="348"/>
      <c r="F134" s="348"/>
      <c r="G134" s="348">
        <v>-49170.35</v>
      </c>
      <c r="H134" s="348">
        <v>1674.3</v>
      </c>
      <c r="I134" s="348"/>
      <c r="J134" s="348">
        <v>-16188.79</v>
      </c>
      <c r="K134" s="348">
        <v>5357</v>
      </c>
      <c r="L134" s="348">
        <v>139012.4</v>
      </c>
      <c r="M134" s="349">
        <f t="shared" si="3"/>
        <v>1676463.0699999998</v>
      </c>
      <c r="N134" s="368">
        <v>22635.8</v>
      </c>
      <c r="O134" s="368"/>
      <c r="P134" s="368">
        <v>147249.1</v>
      </c>
      <c r="Q134" s="368">
        <v>5642.52</v>
      </c>
      <c r="R134" s="368">
        <v>104349.6</v>
      </c>
      <c r="S134" s="368"/>
      <c r="T134" s="368"/>
      <c r="U134" s="368">
        <v>2160</v>
      </c>
      <c r="V134" s="368"/>
      <c r="W134" s="368"/>
      <c r="X134" s="349">
        <f t="shared" si="4"/>
        <v>1958500.09</v>
      </c>
      <c r="Y134" s="34">
        <v>62724.5</v>
      </c>
      <c r="Z134" s="34" t="s">
        <v>649</v>
      </c>
      <c r="AA134" s="34">
        <v>187285.35</v>
      </c>
      <c r="AB134" s="34" t="s">
        <v>649</v>
      </c>
      <c r="AC134" s="34">
        <v>70465.5</v>
      </c>
      <c r="AD134" s="34">
        <v>101720</v>
      </c>
      <c r="AE134" s="34" t="s">
        <v>649</v>
      </c>
      <c r="AF134" s="34" t="s">
        <v>649</v>
      </c>
      <c r="AG134" s="34" t="s">
        <v>649</v>
      </c>
      <c r="AH134" s="34"/>
      <c r="AI134" s="34"/>
      <c r="AJ134" s="34"/>
      <c r="AK134" s="34"/>
      <c r="AL134" s="364">
        <f t="shared" si="5"/>
        <v>422195.35</v>
      </c>
      <c r="AM134" s="17">
        <f>VLOOKUP(B134,'[1]2018'!$A$7:$F$349,6,FALSE)</f>
        <v>66</v>
      </c>
      <c r="AN134" s="32">
        <f>VLOOKUP(A134,'[2]2018 (2)'!$B$1:$D$318,3,FALSE)</f>
        <v>548</v>
      </c>
      <c r="AO134" s="15">
        <v>-8919.76</v>
      </c>
      <c r="AP134" s="34"/>
      <c r="AQ134" s="34">
        <v>-67.260000000000005</v>
      </c>
      <c r="AR134" s="455">
        <v>1</v>
      </c>
    </row>
    <row r="135" spans="1:44" x14ac:dyDescent="0.25">
      <c r="A135" s="356">
        <v>5623</v>
      </c>
      <c r="B135" s="348" t="s">
        <v>153</v>
      </c>
      <c r="C135" s="348">
        <v>4311610.87</v>
      </c>
      <c r="D135" s="348">
        <v>1217502.6000000001</v>
      </c>
      <c r="E135" s="348"/>
      <c r="F135" s="348"/>
      <c r="G135" s="348">
        <v>196070.39999999999</v>
      </c>
      <c r="H135" s="348">
        <v>48005.7</v>
      </c>
      <c r="I135" s="348">
        <v>172396.45</v>
      </c>
      <c r="J135" s="348">
        <v>8984.08</v>
      </c>
      <c r="K135" s="348">
        <v>3141.7</v>
      </c>
      <c r="L135" s="348">
        <v>336348.6</v>
      </c>
      <c r="M135" s="349">
        <f t="shared" si="3"/>
        <v>6294060.4000000013</v>
      </c>
      <c r="N135" s="368">
        <v>2113.4499999999998</v>
      </c>
      <c r="O135" s="368">
        <v>103319.7</v>
      </c>
      <c r="P135" s="368">
        <v>134400.9</v>
      </c>
      <c r="Q135" s="368">
        <v>1038.72</v>
      </c>
      <c r="R135" s="368">
        <v>32810.1</v>
      </c>
      <c r="S135" s="368"/>
      <c r="T135" s="368">
        <v>700</v>
      </c>
      <c r="U135" s="368">
        <v>1512.5</v>
      </c>
      <c r="V135" s="368"/>
      <c r="W135" s="368"/>
      <c r="X135" s="349">
        <f t="shared" si="4"/>
        <v>6569955.7700000014</v>
      </c>
      <c r="Y135" s="34">
        <v>5325.7</v>
      </c>
      <c r="Z135" s="353"/>
      <c r="AA135" s="34">
        <v>140635.4</v>
      </c>
      <c r="AB135" s="353"/>
      <c r="AC135" s="34">
        <v>59633.1</v>
      </c>
      <c r="AD135" s="353">
        <v>1693.3</v>
      </c>
      <c r="AE135" s="34"/>
      <c r="AF135" s="353"/>
      <c r="AG135" s="34"/>
      <c r="AH135" s="353"/>
      <c r="AI135" s="34"/>
      <c r="AJ135" s="353"/>
      <c r="AK135" s="34"/>
      <c r="AL135" s="364">
        <f t="shared" si="5"/>
        <v>207287.5</v>
      </c>
      <c r="AM135" s="17">
        <f>VLOOKUP(B135,'[1]2018'!$A$7:$F$349,6,FALSE)</f>
        <v>53</v>
      </c>
      <c r="AN135" s="32">
        <f>VLOOKUP(A135,'[2]2018 (2)'!$B$1:$D$318,3,FALSE)</f>
        <v>650</v>
      </c>
      <c r="AO135" s="15">
        <v>-3950.78</v>
      </c>
      <c r="AP135" s="34"/>
      <c r="AQ135" s="34">
        <v>-19195.86</v>
      </c>
      <c r="AR135" s="455">
        <v>1</v>
      </c>
    </row>
    <row r="136" spans="1:44" x14ac:dyDescent="0.25">
      <c r="A136" s="356">
        <v>5624</v>
      </c>
      <c r="B136" s="348" t="s">
        <v>452</v>
      </c>
      <c r="C136" s="348">
        <v>13138951.9</v>
      </c>
      <c r="D136" s="348">
        <v>1301144.3500000001</v>
      </c>
      <c r="E136" s="348"/>
      <c r="F136" s="348"/>
      <c r="G136" s="348">
        <v>6903897.0800000001</v>
      </c>
      <c r="H136" s="348">
        <v>35750.050000000003</v>
      </c>
      <c r="I136" s="348"/>
      <c r="J136" s="348">
        <v>746259.86</v>
      </c>
      <c r="K136" s="348">
        <v>440469.85</v>
      </c>
      <c r="L136" s="348">
        <v>2347231.35</v>
      </c>
      <c r="M136" s="349">
        <f t="shared" ref="M136:M194" si="6">SUM(C136:L136)</f>
        <v>24913704.440000001</v>
      </c>
      <c r="N136" s="368">
        <v>1436741.85</v>
      </c>
      <c r="O136" s="368">
        <v>150118.70000000001</v>
      </c>
      <c r="P136" s="368">
        <v>1221353.6000000001</v>
      </c>
      <c r="Q136" s="368">
        <v>55808.66</v>
      </c>
      <c r="R136" s="368">
        <v>1041326.9</v>
      </c>
      <c r="S136" s="368">
        <v>28069.5</v>
      </c>
      <c r="T136" s="368"/>
      <c r="U136" s="368">
        <v>31680</v>
      </c>
      <c r="V136" s="368"/>
      <c r="W136" s="368"/>
      <c r="X136" s="349">
        <f t="shared" ref="X136:X199" si="7">SUM(M136:W136)</f>
        <v>28878803.650000002</v>
      </c>
      <c r="Y136" s="34">
        <v>2194076</v>
      </c>
      <c r="Z136" s="353"/>
      <c r="AA136" s="34">
        <v>1715921.71</v>
      </c>
      <c r="AB136" s="353"/>
      <c r="AC136" s="34">
        <v>996152.18</v>
      </c>
      <c r="AD136" s="353">
        <v>1355987.8</v>
      </c>
      <c r="AE136" s="34"/>
      <c r="AF136" s="353"/>
      <c r="AG136" s="34">
        <v>319049</v>
      </c>
      <c r="AH136" s="353">
        <v>491094.47</v>
      </c>
      <c r="AI136" s="34"/>
      <c r="AJ136" s="353"/>
      <c r="AK136" s="34">
        <v>491083.26</v>
      </c>
      <c r="AL136" s="364">
        <f t="shared" ref="AL136:AL199" si="8">SUM(Y136:AK136)</f>
        <v>7563364.419999999</v>
      </c>
      <c r="AM136" s="17">
        <f>VLOOKUP(B136,'[1]2018'!$A$7:$F$349,6,FALSE)</f>
        <v>63</v>
      </c>
      <c r="AN136" s="32">
        <f>VLOOKUP(A136,'[2]2018 (2)'!$B$1:$D$318,3,FALSE)</f>
        <v>8759</v>
      </c>
      <c r="AO136" s="15">
        <v>-321660.27</v>
      </c>
      <c r="AP136" s="34"/>
      <c r="AQ136" s="34">
        <v>0</v>
      </c>
      <c r="AR136" s="455">
        <v>1.25</v>
      </c>
    </row>
    <row r="137" spans="1:44" x14ac:dyDescent="0.25">
      <c r="A137" s="356">
        <v>5625</v>
      </c>
      <c r="B137" s="348" t="s">
        <v>307</v>
      </c>
      <c r="C137" s="348">
        <v>773043.29</v>
      </c>
      <c r="D137" s="348">
        <v>134922.35</v>
      </c>
      <c r="E137" s="348"/>
      <c r="F137" s="348"/>
      <c r="G137" s="348">
        <v>24811.3</v>
      </c>
      <c r="H137" s="348">
        <v>158</v>
      </c>
      <c r="I137" s="348">
        <v>49537.55</v>
      </c>
      <c r="J137" s="348">
        <v>-19036.05</v>
      </c>
      <c r="K137" s="348">
        <v>7737</v>
      </c>
      <c r="L137" s="348">
        <v>109989.85</v>
      </c>
      <c r="M137" s="349">
        <f t="shared" si="6"/>
        <v>1081163.29</v>
      </c>
      <c r="N137" s="368"/>
      <c r="O137" s="368"/>
      <c r="P137" s="368">
        <v>81248.3</v>
      </c>
      <c r="Q137" s="368"/>
      <c r="R137" s="368">
        <v>50382.55</v>
      </c>
      <c r="S137" s="368"/>
      <c r="T137" s="368">
        <v>6004.95</v>
      </c>
      <c r="U137" s="368">
        <v>796.65</v>
      </c>
      <c r="V137" s="368"/>
      <c r="W137" s="368"/>
      <c r="X137" s="349">
        <f t="shared" si="7"/>
        <v>1219595.74</v>
      </c>
      <c r="Y137" s="34"/>
      <c r="Z137" s="353"/>
      <c r="AA137" s="34">
        <v>91926.399999999994</v>
      </c>
      <c r="AB137" s="353"/>
      <c r="AC137" s="34">
        <v>35049.199999999997</v>
      </c>
      <c r="AD137" s="353"/>
      <c r="AE137" s="34"/>
      <c r="AF137" s="353"/>
      <c r="AG137" s="34"/>
      <c r="AH137" s="353"/>
      <c r="AI137" s="34"/>
      <c r="AJ137" s="353"/>
      <c r="AK137" s="34"/>
      <c r="AL137" s="364">
        <f t="shared" si="8"/>
        <v>126975.59999999999</v>
      </c>
      <c r="AM137" s="17">
        <f>VLOOKUP(B137,'[1]2018'!$A$7:$F$349,6,FALSE)</f>
        <v>78</v>
      </c>
      <c r="AN137" s="32">
        <f>VLOOKUP(A137,'[2]2018 (2)'!$B$1:$D$318,3,FALSE)</f>
        <v>376</v>
      </c>
      <c r="AO137" s="15">
        <v>-8556.2900000000009</v>
      </c>
      <c r="AP137" s="34"/>
      <c r="AQ137" s="34">
        <v>0</v>
      </c>
      <c r="AR137" s="455">
        <v>1.2</v>
      </c>
    </row>
    <row r="138" spans="1:44" x14ac:dyDescent="0.25">
      <c r="A138" s="356">
        <v>5627</v>
      </c>
      <c r="B138" s="348" t="s">
        <v>260</v>
      </c>
      <c r="C138" s="348">
        <v>9754607.5700000003</v>
      </c>
      <c r="D138" s="348">
        <v>700219.92</v>
      </c>
      <c r="E138" s="348"/>
      <c r="F138" s="348"/>
      <c r="G138" s="348">
        <v>1997940.1</v>
      </c>
      <c r="H138" s="348">
        <v>181037.25</v>
      </c>
      <c r="I138" s="348"/>
      <c r="J138" s="348">
        <v>721488.67</v>
      </c>
      <c r="K138" s="348">
        <v>330766.25</v>
      </c>
      <c r="L138" s="348">
        <v>1471953.2</v>
      </c>
      <c r="M138" s="349">
        <f t="shared" si="6"/>
        <v>15158012.959999999</v>
      </c>
      <c r="N138" s="368">
        <v>405212</v>
      </c>
      <c r="O138" s="368">
        <v>10168.799999999999</v>
      </c>
      <c r="P138" s="368">
        <v>948362.35</v>
      </c>
      <c r="Q138" s="368">
        <v>116989.72</v>
      </c>
      <c r="R138" s="368">
        <v>88797.2</v>
      </c>
      <c r="S138" s="368"/>
      <c r="T138" s="368">
        <v>61290.5</v>
      </c>
      <c r="U138" s="368">
        <v>31500</v>
      </c>
      <c r="V138" s="368"/>
      <c r="W138" s="368">
        <v>891.8</v>
      </c>
      <c r="X138" s="349">
        <f t="shared" si="7"/>
        <v>16821225.330000002</v>
      </c>
      <c r="Y138" s="34">
        <v>269802.95</v>
      </c>
      <c r="Z138" s="353"/>
      <c r="AA138" s="34">
        <v>586965.80000000005</v>
      </c>
      <c r="AB138" s="353"/>
      <c r="AC138" s="34">
        <v>358435.7</v>
      </c>
      <c r="AD138" s="353"/>
      <c r="AE138" s="34"/>
      <c r="AF138" s="353"/>
      <c r="AG138" s="34">
        <v>29343.97</v>
      </c>
      <c r="AH138" s="353"/>
      <c r="AI138" s="34"/>
      <c r="AJ138" s="353"/>
      <c r="AK138" s="34"/>
      <c r="AL138" s="364">
        <f t="shared" si="8"/>
        <v>1244548.42</v>
      </c>
      <c r="AM138" s="17">
        <f>VLOOKUP(B138,'[1]2018'!$A$7:$F$349,6,FALSE)</f>
        <v>79</v>
      </c>
      <c r="AN138" s="32">
        <f>VLOOKUP(A138,'[2]2018 (2)'!$B$1:$D$318,3,FALSE)</f>
        <v>7741</v>
      </c>
      <c r="AO138" s="15">
        <v>-393848.73</v>
      </c>
      <c r="AP138" s="34"/>
      <c r="AQ138" s="34">
        <v>-144.16</v>
      </c>
      <c r="AR138" s="455">
        <v>1.5</v>
      </c>
    </row>
    <row r="139" spans="1:44" x14ac:dyDescent="0.25">
      <c r="A139" s="356">
        <v>5628</v>
      </c>
      <c r="B139" s="348" t="s">
        <v>261</v>
      </c>
      <c r="C139" s="348">
        <v>1524487.22</v>
      </c>
      <c r="D139" s="348"/>
      <c r="E139" s="348"/>
      <c r="F139" s="348"/>
      <c r="G139" s="348">
        <v>2426.35</v>
      </c>
      <c r="H139" s="348">
        <v>328.9</v>
      </c>
      <c r="I139" s="348"/>
      <c r="J139" s="348">
        <v>74034.39</v>
      </c>
      <c r="K139" s="348">
        <v>859.5</v>
      </c>
      <c r="L139" s="348">
        <v>87712.7</v>
      </c>
      <c r="M139" s="349">
        <f t="shared" si="6"/>
        <v>1689849.0599999998</v>
      </c>
      <c r="N139" s="368">
        <v>26499.05</v>
      </c>
      <c r="O139" s="368"/>
      <c r="P139" s="368">
        <v>41155.550000000003</v>
      </c>
      <c r="Q139" s="368"/>
      <c r="R139" s="368">
        <v>109828.3</v>
      </c>
      <c r="S139" s="368"/>
      <c r="T139" s="368"/>
      <c r="U139" s="368"/>
      <c r="V139" s="368"/>
      <c r="W139" s="368"/>
      <c r="X139" s="349">
        <f t="shared" si="7"/>
        <v>1867331.96</v>
      </c>
      <c r="Y139" s="34">
        <v>118500</v>
      </c>
      <c r="Z139" s="353"/>
      <c r="AA139" s="34">
        <v>70998.149999999994</v>
      </c>
      <c r="AB139" s="353"/>
      <c r="AC139" s="34">
        <v>25825.15</v>
      </c>
      <c r="AD139" s="353"/>
      <c r="AE139" s="34"/>
      <c r="AF139" s="353"/>
      <c r="AG139" s="34"/>
      <c r="AH139" s="353">
        <v>9004.6</v>
      </c>
      <c r="AI139" s="34"/>
      <c r="AJ139" s="353"/>
      <c r="AK139" s="34"/>
      <c r="AL139" s="364">
        <f t="shared" si="8"/>
        <v>224327.9</v>
      </c>
      <c r="AM139" s="17">
        <f>VLOOKUP(B139,'[1]2018'!$A$7:$F$349,6,FALSE)</f>
        <v>62</v>
      </c>
      <c r="AN139" s="32">
        <f>VLOOKUP(A139,'[2]2018 (2)'!$B$1:$D$318,3,FALSE)</f>
        <v>358</v>
      </c>
      <c r="AO139" s="15">
        <v>-7210.51</v>
      </c>
      <c r="AP139" s="34"/>
      <c r="AQ139" s="34">
        <v>0</v>
      </c>
      <c r="AR139" s="455">
        <v>1</v>
      </c>
    </row>
    <row r="140" spans="1:44" x14ac:dyDescent="0.25">
      <c r="A140" s="356">
        <v>5629</v>
      </c>
      <c r="B140" s="348" t="s">
        <v>156</v>
      </c>
      <c r="C140" s="348">
        <v>426824.55</v>
      </c>
      <c r="D140" s="348">
        <v>44101.25</v>
      </c>
      <c r="E140" s="348"/>
      <c r="F140" s="348"/>
      <c r="G140" s="348">
        <v>8011.2</v>
      </c>
      <c r="H140" s="348">
        <v>344.3</v>
      </c>
      <c r="I140" s="348"/>
      <c r="J140" s="348">
        <v>12063.23</v>
      </c>
      <c r="K140" s="348">
        <v>-3366.95</v>
      </c>
      <c r="L140" s="348">
        <v>34805.1</v>
      </c>
      <c r="M140" s="349">
        <f t="shared" si="6"/>
        <v>522782.67999999993</v>
      </c>
      <c r="N140" s="368"/>
      <c r="O140" s="368"/>
      <c r="P140" s="368">
        <v>48317.5</v>
      </c>
      <c r="Q140" s="368"/>
      <c r="R140" s="368">
        <v>11646.4</v>
      </c>
      <c r="S140" s="368"/>
      <c r="T140" s="368"/>
      <c r="U140" s="368">
        <v>775</v>
      </c>
      <c r="V140" s="368"/>
      <c r="W140" s="368"/>
      <c r="X140" s="349">
        <f t="shared" si="7"/>
        <v>583521.57999999996</v>
      </c>
      <c r="Y140" s="34">
        <v>51560</v>
      </c>
      <c r="Z140" s="353"/>
      <c r="AA140" s="34">
        <v>40275.800000000003</v>
      </c>
      <c r="AB140" s="353"/>
      <c r="AC140" s="34">
        <v>15597.1</v>
      </c>
      <c r="AD140" s="353">
        <v>49065</v>
      </c>
      <c r="AE140" s="34"/>
      <c r="AF140" s="353"/>
      <c r="AG140" s="34"/>
      <c r="AH140" s="353"/>
      <c r="AI140" s="34"/>
      <c r="AJ140" s="353"/>
      <c r="AK140" s="34"/>
      <c r="AL140" s="364">
        <f t="shared" si="8"/>
        <v>156497.90000000002</v>
      </c>
      <c r="AM140" s="17">
        <f>VLOOKUP(B140,'[1]2018'!$A$7:$F$349,6,FALSE)</f>
        <v>75</v>
      </c>
      <c r="AN140" s="32">
        <f>VLOOKUP(A140,'[2]2018 (2)'!$B$1:$D$318,3,FALSE)</f>
        <v>190</v>
      </c>
      <c r="AO140" s="15">
        <v>-775.78</v>
      </c>
      <c r="AP140" s="34"/>
      <c r="AQ140" s="34">
        <v>0</v>
      </c>
      <c r="AR140" s="455">
        <v>1</v>
      </c>
    </row>
    <row r="141" spans="1:44" x14ac:dyDescent="0.25">
      <c r="A141" s="356">
        <v>5631</v>
      </c>
      <c r="B141" s="348" t="s">
        <v>157</v>
      </c>
      <c r="C141" s="348">
        <v>2090425.52</v>
      </c>
      <c r="D141" s="348">
        <v>684578.41</v>
      </c>
      <c r="E141" s="348"/>
      <c r="F141" s="348"/>
      <c r="G141" s="348">
        <v>14800.75</v>
      </c>
      <c r="H141" s="348">
        <v>322.5</v>
      </c>
      <c r="I141" s="348">
        <v>72375.5</v>
      </c>
      <c r="J141" s="348">
        <v>33866.53</v>
      </c>
      <c r="K141" s="348">
        <v>3627.4</v>
      </c>
      <c r="L141" s="348">
        <v>199730.45</v>
      </c>
      <c r="M141" s="349">
        <f t="shared" si="6"/>
        <v>3099727.06</v>
      </c>
      <c r="N141" s="368"/>
      <c r="O141" s="368">
        <v>109428.9</v>
      </c>
      <c r="P141" s="368">
        <v>110929.5</v>
      </c>
      <c r="Q141" s="368">
        <v>3058.48</v>
      </c>
      <c r="R141" s="368"/>
      <c r="S141" s="368"/>
      <c r="T141" s="368"/>
      <c r="U141" s="368">
        <v>1737.5</v>
      </c>
      <c r="V141" s="368"/>
      <c r="W141" s="368"/>
      <c r="X141" s="349">
        <f t="shared" si="7"/>
        <v>3324881.44</v>
      </c>
      <c r="Y141" s="34">
        <v>1390.7</v>
      </c>
      <c r="Z141" s="353"/>
      <c r="AA141" s="34">
        <v>132684.20000000001</v>
      </c>
      <c r="AB141" s="353"/>
      <c r="AC141" s="34">
        <v>48756.25</v>
      </c>
      <c r="AD141" s="353"/>
      <c r="AE141" s="34"/>
      <c r="AF141" s="353"/>
      <c r="AG141" s="34"/>
      <c r="AH141" s="353"/>
      <c r="AI141" s="34"/>
      <c r="AJ141" s="353"/>
      <c r="AK141" s="34"/>
      <c r="AL141" s="364">
        <f t="shared" si="8"/>
        <v>182831.15000000002</v>
      </c>
      <c r="AM141" s="17">
        <f>VLOOKUP(B141,'[1]2018'!$A$7:$F$349,6,FALSE)</f>
        <v>70</v>
      </c>
      <c r="AN141" s="32">
        <f>VLOOKUP(A141,'[2]2018 (2)'!$B$1:$D$318,3,FALSE)</f>
        <v>747</v>
      </c>
      <c r="AO141" s="15">
        <v>-22390.71</v>
      </c>
      <c r="AP141" s="34"/>
      <c r="AQ141" s="34">
        <v>-6769.18</v>
      </c>
      <c r="AR141" s="455">
        <v>1</v>
      </c>
    </row>
    <row r="142" spans="1:44" x14ac:dyDescent="0.25">
      <c r="A142" s="356">
        <v>5632</v>
      </c>
      <c r="B142" s="348" t="s">
        <v>158</v>
      </c>
      <c r="C142" s="348">
        <v>3195118.2</v>
      </c>
      <c r="D142" s="348">
        <v>424599.22</v>
      </c>
      <c r="E142" s="348"/>
      <c r="F142" s="348"/>
      <c r="G142" s="348">
        <v>199166.9</v>
      </c>
      <c r="H142" s="348">
        <v>9168.6</v>
      </c>
      <c r="I142" s="348"/>
      <c r="J142" s="348">
        <v>215618.73</v>
      </c>
      <c r="K142" s="348">
        <v>-74047.149999999994</v>
      </c>
      <c r="L142" s="348">
        <v>336622.1</v>
      </c>
      <c r="M142" s="349">
        <f t="shared" si="6"/>
        <v>4306246.5999999996</v>
      </c>
      <c r="N142" s="368">
        <v>73867.05</v>
      </c>
      <c r="O142" s="368">
        <v>-961</v>
      </c>
      <c r="P142" s="368">
        <v>406553.45</v>
      </c>
      <c r="Q142" s="368">
        <v>16539.38</v>
      </c>
      <c r="R142" s="368">
        <v>63205.3</v>
      </c>
      <c r="S142" s="368"/>
      <c r="T142" s="368">
        <v>550</v>
      </c>
      <c r="U142" s="368">
        <v>4425</v>
      </c>
      <c r="V142" s="368"/>
      <c r="W142" s="368"/>
      <c r="X142" s="349">
        <f t="shared" si="7"/>
        <v>4870425.7799999993</v>
      </c>
      <c r="Y142" s="34">
        <v>15281.7</v>
      </c>
      <c r="Z142" s="353"/>
      <c r="AA142" s="34">
        <v>225471.55</v>
      </c>
      <c r="AB142" s="353">
        <v>68211.75</v>
      </c>
      <c r="AC142" s="34">
        <v>110925</v>
      </c>
      <c r="AD142" s="353"/>
      <c r="AE142" s="34"/>
      <c r="AF142" s="353"/>
      <c r="AG142" s="34"/>
      <c r="AH142" s="353">
        <v>52544.3</v>
      </c>
      <c r="AI142" s="34"/>
      <c r="AJ142" s="353"/>
      <c r="AK142" s="34"/>
      <c r="AL142" s="364">
        <f t="shared" si="8"/>
        <v>472434.3</v>
      </c>
      <c r="AM142" s="17">
        <f>VLOOKUP(B142,'[1]2018'!$A$7:$F$349,6,FALSE)</f>
        <v>62</v>
      </c>
      <c r="AN142" s="32">
        <f>VLOOKUP(A142,'[2]2018 (2)'!$B$1:$D$318,3,FALSE)</f>
        <v>1610</v>
      </c>
      <c r="AO142" s="15">
        <v>-43827.67</v>
      </c>
      <c r="AP142" s="34"/>
      <c r="AQ142" s="34">
        <v>-326.20999999999998</v>
      </c>
      <c r="AR142" s="455">
        <v>1</v>
      </c>
    </row>
    <row r="143" spans="1:44" x14ac:dyDescent="0.25">
      <c r="A143" s="356">
        <v>5633</v>
      </c>
      <c r="B143" s="348" t="s">
        <v>159</v>
      </c>
      <c r="C143" s="348">
        <v>5952005.2999999998</v>
      </c>
      <c r="D143" s="348">
        <v>1273177.55</v>
      </c>
      <c r="E143" s="348"/>
      <c r="F143" s="348"/>
      <c r="G143" s="348">
        <v>542943.36</v>
      </c>
      <c r="H143" s="348">
        <v>94441.9</v>
      </c>
      <c r="I143" s="348"/>
      <c r="J143" s="348">
        <v>217439.81</v>
      </c>
      <c r="K143" s="348">
        <v>23551.35</v>
      </c>
      <c r="L143" s="348">
        <v>610573.4</v>
      </c>
      <c r="M143" s="349">
        <f t="shared" si="6"/>
        <v>8714132.6699999999</v>
      </c>
      <c r="N143" s="368">
        <v>224978.2</v>
      </c>
      <c r="O143" s="368">
        <v>13819.8</v>
      </c>
      <c r="P143" s="368">
        <v>201601.65</v>
      </c>
      <c r="Q143" s="368">
        <v>3139.94</v>
      </c>
      <c r="R143" s="368">
        <v>50168.74</v>
      </c>
      <c r="S143" s="368"/>
      <c r="T143" s="368">
        <v>9960</v>
      </c>
      <c r="U143" s="368">
        <v>9447</v>
      </c>
      <c r="V143" s="368"/>
      <c r="W143" s="368"/>
      <c r="X143" s="349">
        <f t="shared" si="7"/>
        <v>9227248</v>
      </c>
      <c r="Y143" s="34">
        <v>14182.48</v>
      </c>
      <c r="Z143" s="353"/>
      <c r="AA143" s="34">
        <v>472595.49</v>
      </c>
      <c r="AB143" s="353"/>
      <c r="AC143" s="34">
        <v>170093.84</v>
      </c>
      <c r="AD143" s="353"/>
      <c r="AE143" s="34"/>
      <c r="AF143" s="353"/>
      <c r="AG143" s="34"/>
      <c r="AH143" s="353"/>
      <c r="AI143" s="34"/>
      <c r="AJ143" s="353"/>
      <c r="AK143" s="34"/>
      <c r="AL143" s="364">
        <f t="shared" si="8"/>
        <v>656871.80999999994</v>
      </c>
      <c r="AM143" s="17">
        <f>VLOOKUP(B143,'[1]2018'!$A$7:$F$349,6,FALSE)</f>
        <v>62</v>
      </c>
      <c r="AN143" s="32">
        <f>VLOOKUP(A143,'[2]2018 (2)'!$B$1:$D$318,3,FALSE)</f>
        <v>2789</v>
      </c>
      <c r="AO143" s="15">
        <v>-100590.22</v>
      </c>
      <c r="AP143" s="34"/>
      <c r="AQ143" s="34">
        <v>0</v>
      </c>
      <c r="AR143" s="455">
        <v>1</v>
      </c>
    </row>
    <row r="144" spans="1:44" x14ac:dyDescent="0.25">
      <c r="A144" s="356">
        <v>5634</v>
      </c>
      <c r="B144" s="348" t="s">
        <v>160</v>
      </c>
      <c r="C144" s="348">
        <v>9332970.0800000001</v>
      </c>
      <c r="D144" s="348">
        <v>1513750.94</v>
      </c>
      <c r="E144" s="348"/>
      <c r="F144" s="348"/>
      <c r="G144" s="348">
        <v>108536.6</v>
      </c>
      <c r="H144" s="348">
        <v>6546</v>
      </c>
      <c r="I144" s="348">
        <v>91478.55</v>
      </c>
      <c r="J144" s="348">
        <v>138112.54999999999</v>
      </c>
      <c r="K144" s="348">
        <v>19369.55</v>
      </c>
      <c r="L144" s="348">
        <v>596610.80000000005</v>
      </c>
      <c r="M144" s="349">
        <f t="shared" si="6"/>
        <v>11807375.070000002</v>
      </c>
      <c r="N144" s="368">
        <v>36676.85</v>
      </c>
      <c r="O144" s="368">
        <v>273399.90000000002</v>
      </c>
      <c r="P144" s="368">
        <v>421631.95</v>
      </c>
      <c r="Q144" s="368">
        <v>7614.14</v>
      </c>
      <c r="R144" s="368">
        <v>283723.59999999998</v>
      </c>
      <c r="S144" s="368"/>
      <c r="T144" s="368">
        <v>1912.7</v>
      </c>
      <c r="U144" s="368">
        <v>7375</v>
      </c>
      <c r="V144" s="368"/>
      <c r="W144" s="368"/>
      <c r="X144" s="349">
        <f t="shared" si="7"/>
        <v>12839709.210000001</v>
      </c>
      <c r="Y144" s="34">
        <v>79430.5</v>
      </c>
      <c r="Z144" s="353"/>
      <c r="AA144" s="34">
        <v>583453.19999999995</v>
      </c>
      <c r="AB144" s="353"/>
      <c r="AC144" s="34">
        <v>193629.3</v>
      </c>
      <c r="AD144" s="353">
        <v>6345.05</v>
      </c>
      <c r="AE144" s="34"/>
      <c r="AF144" s="353"/>
      <c r="AG144" s="34"/>
      <c r="AH144" s="353"/>
      <c r="AI144" s="34"/>
      <c r="AJ144" s="353"/>
      <c r="AK144" s="34"/>
      <c r="AL144" s="364">
        <f t="shared" si="8"/>
        <v>862858.05</v>
      </c>
      <c r="AM144" s="17">
        <f>VLOOKUP(B144,'[1]2018'!$A$7:$F$349,6,FALSE)</f>
        <v>68</v>
      </c>
      <c r="AN144" s="32">
        <f>VLOOKUP(A144,'[2]2018 (2)'!$B$1:$D$318,3,FALSE)</f>
        <v>3050</v>
      </c>
      <c r="AO144" s="15">
        <v>-27148.32</v>
      </c>
      <c r="AP144" s="34"/>
      <c r="AQ144" s="34">
        <v>-1552.98</v>
      </c>
      <c r="AR144" s="455">
        <v>1</v>
      </c>
    </row>
    <row r="145" spans="1:44" x14ac:dyDescent="0.25">
      <c r="A145" s="356">
        <v>5635</v>
      </c>
      <c r="B145" s="348" t="s">
        <v>161</v>
      </c>
      <c r="C145" s="348">
        <v>18358331.41</v>
      </c>
      <c r="D145" s="348">
        <v>2334914.8199999998</v>
      </c>
      <c r="E145" s="348"/>
      <c r="F145" s="348"/>
      <c r="G145" s="348">
        <v>3031893.75</v>
      </c>
      <c r="H145" s="348">
        <v>767892.6</v>
      </c>
      <c r="I145" s="348"/>
      <c r="J145" s="348">
        <v>1713930.23</v>
      </c>
      <c r="K145" s="348">
        <v>442102.35</v>
      </c>
      <c r="L145" s="348">
        <v>2757082.85</v>
      </c>
      <c r="M145" s="349">
        <f t="shared" si="6"/>
        <v>29406148.010000005</v>
      </c>
      <c r="N145" s="368">
        <v>2525188.4</v>
      </c>
      <c r="O145" s="368">
        <v>418222.2</v>
      </c>
      <c r="P145" s="368">
        <v>411660.05</v>
      </c>
      <c r="Q145" s="368">
        <v>669347.78</v>
      </c>
      <c r="R145" s="368">
        <v>402836.25</v>
      </c>
      <c r="S145" s="368"/>
      <c r="T145" s="368">
        <v>67115.95</v>
      </c>
      <c r="U145" s="368">
        <v>44900</v>
      </c>
      <c r="V145" s="368">
        <v>148387.45000000001</v>
      </c>
      <c r="W145" s="368"/>
      <c r="X145" s="349">
        <f t="shared" si="7"/>
        <v>34093806.090000011</v>
      </c>
      <c r="Y145" s="34">
        <v>9820</v>
      </c>
      <c r="Z145" s="34" t="s">
        <v>649</v>
      </c>
      <c r="AA145" s="34">
        <v>1412050.04</v>
      </c>
      <c r="AB145" s="34" t="s">
        <v>649</v>
      </c>
      <c r="AC145" s="34">
        <v>1242691.55</v>
      </c>
      <c r="AD145" s="34" t="s">
        <v>649</v>
      </c>
      <c r="AE145" s="34" t="s">
        <v>649</v>
      </c>
      <c r="AF145" s="34" t="s">
        <v>649</v>
      </c>
      <c r="AG145" s="34">
        <v>476784</v>
      </c>
      <c r="AH145" s="34">
        <v>1121544.1499999999</v>
      </c>
      <c r="AI145" s="34">
        <v>400551.4</v>
      </c>
      <c r="AJ145" s="34"/>
      <c r="AK145" s="34">
        <v>160220.6</v>
      </c>
      <c r="AL145" s="364">
        <f t="shared" si="8"/>
        <v>4823661.74</v>
      </c>
      <c r="AM145" s="17">
        <f>VLOOKUP(B145,'[1]2018'!$A$7:$F$349,6,FALSE)</f>
        <v>64</v>
      </c>
      <c r="AN145" s="32">
        <f>VLOOKUP(A145,'[2]2018 (2)'!$B$1:$D$318,3,FALSE)</f>
        <v>12939</v>
      </c>
      <c r="AO145" s="15">
        <v>-1626401.57</v>
      </c>
      <c r="AP145" s="34"/>
      <c r="AQ145" s="34">
        <v>-14777.81</v>
      </c>
      <c r="AR145" s="455">
        <v>1.2</v>
      </c>
    </row>
    <row r="146" spans="1:44" x14ac:dyDescent="0.25">
      <c r="A146" s="356">
        <v>5636</v>
      </c>
      <c r="B146" s="348" t="s">
        <v>162</v>
      </c>
      <c r="C146" s="348">
        <v>5917950.9000000004</v>
      </c>
      <c r="D146" s="348">
        <v>844575.22</v>
      </c>
      <c r="E146" s="348"/>
      <c r="F146" s="348"/>
      <c r="G146" s="348">
        <v>2552666.65</v>
      </c>
      <c r="H146" s="348">
        <v>136573.1</v>
      </c>
      <c r="I146" s="348">
        <v>-6421.6</v>
      </c>
      <c r="J146" s="348">
        <v>610638.53</v>
      </c>
      <c r="K146" s="348">
        <v>226954.7</v>
      </c>
      <c r="L146" s="348">
        <v>1273147.3500000001</v>
      </c>
      <c r="M146" s="349">
        <f t="shared" si="6"/>
        <v>11556084.849999998</v>
      </c>
      <c r="N146" s="368">
        <v>567263.44999999995</v>
      </c>
      <c r="O146" s="368">
        <v>-181972.6</v>
      </c>
      <c r="P146" s="368">
        <v>1530810.65</v>
      </c>
      <c r="Q146" s="368">
        <v>7459.88</v>
      </c>
      <c r="R146" s="368">
        <v>414787.15</v>
      </c>
      <c r="S146" s="368"/>
      <c r="T146" s="368">
        <v>36650.800000000003</v>
      </c>
      <c r="U146" s="368">
        <v>7200</v>
      </c>
      <c r="V146" s="368"/>
      <c r="W146" s="368"/>
      <c r="X146" s="349">
        <f t="shared" si="7"/>
        <v>13938284.18</v>
      </c>
      <c r="Y146" s="34">
        <v>253456.65</v>
      </c>
      <c r="Z146" s="34">
        <v>575467.85</v>
      </c>
      <c r="AA146" s="34"/>
      <c r="AB146" s="34" t="s">
        <v>649</v>
      </c>
      <c r="AC146" s="34">
        <v>119435.85</v>
      </c>
      <c r="AD146" s="34">
        <v>340133.1</v>
      </c>
      <c r="AE146" s="34" t="s">
        <v>649</v>
      </c>
      <c r="AF146" s="34" t="s">
        <v>649</v>
      </c>
      <c r="AG146" s="34" t="s">
        <v>649</v>
      </c>
      <c r="AH146" s="34">
        <v>167810.8</v>
      </c>
      <c r="AI146" s="34"/>
      <c r="AJ146" s="34"/>
      <c r="AK146" s="34"/>
      <c r="AL146" s="364">
        <f t="shared" si="8"/>
        <v>1456304.25</v>
      </c>
      <c r="AM146" s="17">
        <f>VLOOKUP(B146,'[1]2018'!$A$7:$F$349,6,FALSE)</f>
        <v>61</v>
      </c>
      <c r="AN146" s="32">
        <f>VLOOKUP(A146,'[2]2018 (2)'!$B$1:$D$318,3,FALSE)</f>
        <v>2905</v>
      </c>
      <c r="AO146" s="15">
        <v>-64750.33</v>
      </c>
      <c r="AP146" s="34">
        <v>-37638.5</v>
      </c>
      <c r="AQ146" s="34">
        <v>-968.43</v>
      </c>
      <c r="AR146" s="455">
        <v>1</v>
      </c>
    </row>
    <row r="147" spans="1:44" x14ac:dyDescent="0.25">
      <c r="A147" s="356">
        <v>5637</v>
      </c>
      <c r="B147" s="348" t="s">
        <v>163</v>
      </c>
      <c r="C147" s="348">
        <v>2178551.58</v>
      </c>
      <c r="D147" s="348">
        <v>240935.76</v>
      </c>
      <c r="E147" s="348"/>
      <c r="F147" s="348"/>
      <c r="G147" s="348">
        <v>53663.6</v>
      </c>
      <c r="H147" s="348">
        <v>440.7</v>
      </c>
      <c r="I147" s="348"/>
      <c r="J147" s="348">
        <v>32808.68</v>
      </c>
      <c r="K147" s="348">
        <v>5470.65</v>
      </c>
      <c r="L147" s="348">
        <v>281209.40000000002</v>
      </c>
      <c r="M147" s="349">
        <f t="shared" si="6"/>
        <v>2793080.37</v>
      </c>
      <c r="N147" s="368">
        <v>222794.7</v>
      </c>
      <c r="O147" s="368">
        <v>5758.1</v>
      </c>
      <c r="P147" s="368">
        <v>70010.25</v>
      </c>
      <c r="Q147" s="368">
        <v>596.30999999999995</v>
      </c>
      <c r="R147" s="368">
        <v>62744.55</v>
      </c>
      <c r="S147" s="368"/>
      <c r="T147" s="368">
        <v>1178.7</v>
      </c>
      <c r="U147" s="368">
        <v>3360</v>
      </c>
      <c r="V147" s="368"/>
      <c r="W147" s="368"/>
      <c r="X147" s="349">
        <f t="shared" si="7"/>
        <v>3159522.9800000004</v>
      </c>
      <c r="Y147" s="34">
        <v>13806.55</v>
      </c>
      <c r="Z147" s="353"/>
      <c r="AA147" s="34">
        <v>181276.2</v>
      </c>
      <c r="AB147" s="353"/>
      <c r="AC147" s="34">
        <v>103954.7</v>
      </c>
      <c r="AD147" s="353">
        <v>14607.3</v>
      </c>
      <c r="AE147" s="34"/>
      <c r="AF147" s="353"/>
      <c r="AG147" s="34"/>
      <c r="AH147" s="353">
        <v>39453.949999999997</v>
      </c>
      <c r="AI147" s="34"/>
      <c r="AJ147" s="353"/>
      <c r="AK147" s="34"/>
      <c r="AL147" s="364">
        <f t="shared" si="8"/>
        <v>353098.7</v>
      </c>
      <c r="AM147" s="17">
        <f>VLOOKUP(B147,'[1]2018'!$A$7:$F$349,6,FALSE)</f>
        <v>74.5</v>
      </c>
      <c r="AN147" s="32">
        <f>VLOOKUP(A147,'[2]2018 (2)'!$B$1:$D$318,3,FALSE)</f>
        <v>999</v>
      </c>
      <c r="AO147" s="15">
        <v>-28405.82</v>
      </c>
      <c r="AP147" s="34"/>
      <c r="AQ147" s="34">
        <v>-186.53</v>
      </c>
      <c r="AR147" s="455">
        <v>1.5</v>
      </c>
    </row>
    <row r="148" spans="1:44" x14ac:dyDescent="0.25">
      <c r="A148" s="356">
        <v>5638</v>
      </c>
      <c r="B148" s="348" t="s">
        <v>164</v>
      </c>
      <c r="C148" s="348">
        <v>5596754.79</v>
      </c>
      <c r="D148" s="348">
        <v>1145959.55</v>
      </c>
      <c r="E148" s="348"/>
      <c r="F148" s="348"/>
      <c r="G148" s="348">
        <v>1516124.85</v>
      </c>
      <c r="H148" s="348">
        <v>72219.8</v>
      </c>
      <c r="I148" s="348">
        <v>225384.35</v>
      </c>
      <c r="J148" s="348">
        <v>149354.20000000001</v>
      </c>
      <c r="K148" s="348">
        <v>36732.400000000001</v>
      </c>
      <c r="L148" s="348">
        <v>631786.6</v>
      </c>
      <c r="M148" s="349">
        <f t="shared" si="6"/>
        <v>9374316.5399999991</v>
      </c>
      <c r="N148" s="368">
        <v>215283.05</v>
      </c>
      <c r="O148" s="368">
        <v>1560571.3</v>
      </c>
      <c r="P148" s="368">
        <v>500825.9</v>
      </c>
      <c r="Q148" s="368">
        <v>18911.27</v>
      </c>
      <c r="R148" s="368">
        <v>300446.09999999998</v>
      </c>
      <c r="S148" s="368"/>
      <c r="T148" s="368">
        <v>9154.0499999999993</v>
      </c>
      <c r="U148" s="368">
        <v>15150</v>
      </c>
      <c r="V148" s="368"/>
      <c r="W148" s="368"/>
      <c r="X148" s="349">
        <f t="shared" si="7"/>
        <v>11994658.210000001</v>
      </c>
      <c r="Y148" s="34">
        <v>4500</v>
      </c>
      <c r="Z148" s="353"/>
      <c r="AA148" s="34">
        <v>494236</v>
      </c>
      <c r="AB148" s="353"/>
      <c r="AC148" s="34">
        <v>293068</v>
      </c>
      <c r="AD148" s="353"/>
      <c r="AE148" s="34"/>
      <c r="AF148" s="353"/>
      <c r="AG148" s="34"/>
      <c r="AH148" s="353"/>
      <c r="AI148" s="34"/>
      <c r="AJ148" s="353"/>
      <c r="AK148" s="34"/>
      <c r="AL148" s="364">
        <f t="shared" si="8"/>
        <v>791804</v>
      </c>
      <c r="AM148" s="17">
        <f>VLOOKUP(B148,'[1]2018'!$A$7:$F$349,6,FALSE)</f>
        <v>55</v>
      </c>
      <c r="AN148" s="32">
        <f>VLOOKUP(A148,'[2]2018 (2)'!$B$1:$D$318,3,FALSE)</f>
        <v>2593</v>
      </c>
      <c r="AO148" s="15">
        <v>-142088.24</v>
      </c>
      <c r="AP148" s="34"/>
      <c r="AQ148" s="34">
        <v>-1258.58</v>
      </c>
      <c r="AR148" s="455">
        <v>1</v>
      </c>
    </row>
    <row r="149" spans="1:44" x14ac:dyDescent="0.25">
      <c r="A149" s="356">
        <v>5639</v>
      </c>
      <c r="B149" s="348" t="s">
        <v>165</v>
      </c>
      <c r="C149" s="348">
        <v>1938318.08</v>
      </c>
      <c r="D149" s="348">
        <v>444432.25</v>
      </c>
      <c r="E149" s="348"/>
      <c r="F149" s="348"/>
      <c r="G149" s="348">
        <v>272964.45</v>
      </c>
      <c r="H149" s="348">
        <v>2397.5500000000002</v>
      </c>
      <c r="I149" s="348"/>
      <c r="J149" s="348">
        <v>7882.32</v>
      </c>
      <c r="K149" s="348">
        <v>5943.85</v>
      </c>
      <c r="L149" s="348">
        <v>242203.65</v>
      </c>
      <c r="M149" s="349">
        <f t="shared" si="6"/>
        <v>2914142.15</v>
      </c>
      <c r="N149" s="368">
        <v>12986.35</v>
      </c>
      <c r="O149" s="368">
        <v>7603.1</v>
      </c>
      <c r="P149" s="368">
        <v>90302.25</v>
      </c>
      <c r="Q149" s="368"/>
      <c r="R149" s="368">
        <v>100765.6</v>
      </c>
      <c r="S149" s="368"/>
      <c r="T149" s="368">
        <v>97.25</v>
      </c>
      <c r="U149" s="368">
        <v>2520</v>
      </c>
      <c r="V149" s="368"/>
      <c r="W149" s="368"/>
      <c r="X149" s="349">
        <f t="shared" si="7"/>
        <v>3128416.7</v>
      </c>
      <c r="Y149" s="34">
        <v>29428.85</v>
      </c>
      <c r="Z149" s="353"/>
      <c r="AA149" s="34">
        <v>112893.6</v>
      </c>
      <c r="AB149" s="353"/>
      <c r="AC149" s="34">
        <v>66229.25</v>
      </c>
      <c r="AD149" s="353"/>
      <c r="AE149" s="34"/>
      <c r="AF149" s="353"/>
      <c r="AG149" s="34"/>
      <c r="AH149" s="353"/>
      <c r="AI149" s="34"/>
      <c r="AJ149" s="353"/>
      <c r="AK149" s="34"/>
      <c r="AL149" s="364">
        <f t="shared" si="8"/>
        <v>208551.7</v>
      </c>
      <c r="AM149" s="17">
        <f>VLOOKUP(B149,'[1]2018'!$A$7:$F$349,6,FALSE)</f>
        <v>61</v>
      </c>
      <c r="AN149" s="32">
        <f>VLOOKUP(A149,'[2]2018 (2)'!$B$1:$D$318,3,FALSE)</f>
        <v>790</v>
      </c>
      <c r="AO149" s="15">
        <v>-13263.69</v>
      </c>
      <c r="AP149" s="34"/>
      <c r="AQ149" s="34">
        <v>0</v>
      </c>
      <c r="AR149" s="455">
        <v>1.25</v>
      </c>
    </row>
    <row r="150" spans="1:44" x14ac:dyDescent="0.25">
      <c r="A150" s="356">
        <v>5640</v>
      </c>
      <c r="B150" s="348" t="s">
        <v>166</v>
      </c>
      <c r="C150" s="348">
        <v>2702132.25</v>
      </c>
      <c r="D150" s="348">
        <v>501364.3</v>
      </c>
      <c r="E150" s="348"/>
      <c r="F150" s="348"/>
      <c r="G150" s="348">
        <v>-18260.5</v>
      </c>
      <c r="H150" s="348">
        <v>4646.8500000000004</v>
      </c>
      <c r="I150" s="348">
        <v>113236.15</v>
      </c>
      <c r="J150" s="348">
        <v>11138.93</v>
      </c>
      <c r="K150" s="348">
        <v>4735.55</v>
      </c>
      <c r="L150" s="348">
        <v>188872.65</v>
      </c>
      <c r="M150" s="349">
        <f t="shared" si="6"/>
        <v>3507866.1799999997</v>
      </c>
      <c r="N150" s="368">
        <v>18606.95</v>
      </c>
      <c r="O150" s="368">
        <v>133563.5</v>
      </c>
      <c r="P150" s="368">
        <v>125353.1</v>
      </c>
      <c r="Q150" s="368"/>
      <c r="R150" s="368">
        <v>66303.149999999994</v>
      </c>
      <c r="S150" s="368"/>
      <c r="T150" s="368"/>
      <c r="U150" s="368">
        <v>3500</v>
      </c>
      <c r="V150" s="368"/>
      <c r="W150" s="368"/>
      <c r="X150" s="349">
        <f t="shared" si="7"/>
        <v>3855192.88</v>
      </c>
      <c r="Y150" s="34">
        <v>44013.5</v>
      </c>
      <c r="Z150" s="34" t="s">
        <v>649</v>
      </c>
      <c r="AA150" s="34">
        <v>68899.7</v>
      </c>
      <c r="AB150" s="34" t="s">
        <v>649</v>
      </c>
      <c r="AC150" s="34">
        <v>39936</v>
      </c>
      <c r="AD150" s="34" t="s">
        <v>649</v>
      </c>
      <c r="AE150" s="34" t="s">
        <v>649</v>
      </c>
      <c r="AF150" s="34" t="s">
        <v>649</v>
      </c>
      <c r="AG150" s="34" t="s">
        <v>649</v>
      </c>
      <c r="AH150" s="34"/>
      <c r="AI150" s="34"/>
      <c r="AJ150" s="34"/>
      <c r="AK150" s="34"/>
      <c r="AL150" s="364">
        <f t="shared" si="8"/>
        <v>152849.20000000001</v>
      </c>
      <c r="AM150" s="17">
        <f>VLOOKUP(B150,'[1]2018'!$A$7:$F$349,6,FALSE)</f>
        <v>66</v>
      </c>
      <c r="AN150" s="32">
        <f>VLOOKUP(A150,'[2]2018 (2)'!$B$1:$D$318,3,FALSE)</f>
        <v>687</v>
      </c>
      <c r="AO150" s="15">
        <v>-4864.45</v>
      </c>
      <c r="AP150" s="34"/>
      <c r="AQ150" s="34">
        <v>-3127.93</v>
      </c>
      <c r="AR150" s="455">
        <v>1</v>
      </c>
    </row>
    <row r="151" spans="1:44" x14ac:dyDescent="0.25">
      <c r="A151" s="356">
        <v>5642</v>
      </c>
      <c r="B151" s="348" t="s">
        <v>167</v>
      </c>
      <c r="C151" s="348">
        <v>35772364.969999999</v>
      </c>
      <c r="D151" s="348">
        <v>5477728.5999999996</v>
      </c>
      <c r="E151" s="348"/>
      <c r="F151" s="348"/>
      <c r="G151" s="348">
        <v>4901094.6500000004</v>
      </c>
      <c r="H151" s="348">
        <v>694805.05</v>
      </c>
      <c r="I151" s="348">
        <v>604468.26</v>
      </c>
      <c r="J151" s="348">
        <v>1431185.21</v>
      </c>
      <c r="K151" s="348">
        <v>468773.55</v>
      </c>
      <c r="L151" s="348">
        <v>3132574.3</v>
      </c>
      <c r="M151" s="349">
        <f t="shared" si="6"/>
        <v>52482994.589999989</v>
      </c>
      <c r="N151" s="368">
        <v>1405238.4</v>
      </c>
      <c r="O151" s="368">
        <v>2366669.2999999998</v>
      </c>
      <c r="P151" s="368">
        <v>1795662.85</v>
      </c>
      <c r="Q151" s="368">
        <v>82660.7</v>
      </c>
      <c r="R151" s="368">
        <v>2406947.0499999998</v>
      </c>
      <c r="S151" s="368">
        <v>85151.55</v>
      </c>
      <c r="T151" s="368"/>
      <c r="U151" s="368">
        <v>46560</v>
      </c>
      <c r="V151" s="368"/>
      <c r="W151" s="368">
        <v>3419550</v>
      </c>
      <c r="X151" s="349">
        <f t="shared" si="7"/>
        <v>64091434.439999983</v>
      </c>
      <c r="Y151" s="34">
        <v>314269.45</v>
      </c>
      <c r="Z151" s="353"/>
      <c r="AA151" s="34">
        <v>4404675</v>
      </c>
      <c r="AB151" s="353"/>
      <c r="AC151" s="34">
        <v>1070821.97</v>
      </c>
      <c r="AD151" s="353">
        <v>766006.66</v>
      </c>
      <c r="AE151" s="34"/>
      <c r="AF151" s="353"/>
      <c r="AG151" s="34">
        <v>221255.5</v>
      </c>
      <c r="AH151" s="353"/>
      <c r="AI151" s="34"/>
      <c r="AJ151" s="353"/>
      <c r="AK151" s="34"/>
      <c r="AL151" s="364">
        <f t="shared" si="8"/>
        <v>6777028.5800000001</v>
      </c>
      <c r="AM151" s="17">
        <f>VLOOKUP(B151,'[1]2018'!$A$7:$F$349,6,FALSE)</f>
        <v>68.5</v>
      </c>
      <c r="AN151" s="32">
        <f>VLOOKUP(A151,'[2]2018 (2)'!$B$1:$D$318,3,FALSE)</f>
        <v>15725</v>
      </c>
      <c r="AO151" s="15">
        <v>-540768.64</v>
      </c>
      <c r="AP151" s="34"/>
      <c r="AQ151" s="34">
        <v>-18138.919999999998</v>
      </c>
      <c r="AR151" s="455">
        <v>1</v>
      </c>
    </row>
    <row r="152" spans="1:44" x14ac:dyDescent="0.25">
      <c r="A152" s="356">
        <v>5643</v>
      </c>
      <c r="B152" s="348" t="s">
        <v>168</v>
      </c>
      <c r="C152" s="348">
        <v>11897665.720000001</v>
      </c>
      <c r="D152" s="348">
        <v>2343715.91</v>
      </c>
      <c r="E152" s="348"/>
      <c r="F152" s="348"/>
      <c r="G152" s="348">
        <v>549615.05000000005</v>
      </c>
      <c r="H152" s="348">
        <v>36950.65</v>
      </c>
      <c r="I152" s="348">
        <v>351745.75</v>
      </c>
      <c r="J152" s="348">
        <v>399868.24</v>
      </c>
      <c r="K152" s="348">
        <v>117739.75</v>
      </c>
      <c r="L152" s="348">
        <v>1096286.05</v>
      </c>
      <c r="M152" s="349">
        <f t="shared" si="6"/>
        <v>16793587.120000001</v>
      </c>
      <c r="N152" s="368">
        <v>178198.39999999999</v>
      </c>
      <c r="O152" s="368">
        <v>22241.9</v>
      </c>
      <c r="P152" s="368">
        <v>286824.65000000002</v>
      </c>
      <c r="Q152" s="368">
        <v>17812.11</v>
      </c>
      <c r="R152" s="368">
        <v>121437.6</v>
      </c>
      <c r="S152" s="368">
        <v>575</v>
      </c>
      <c r="T152" s="368">
        <v>3262.25</v>
      </c>
      <c r="U152" s="368">
        <v>18270</v>
      </c>
      <c r="V152" s="368"/>
      <c r="W152" s="368"/>
      <c r="X152" s="349">
        <f t="shared" si="7"/>
        <v>17442209.029999997</v>
      </c>
      <c r="Y152" s="34">
        <v>20964.25</v>
      </c>
      <c r="Z152" s="34" t="s">
        <v>649</v>
      </c>
      <c r="AA152" s="34">
        <v>886344.78</v>
      </c>
      <c r="AB152" s="34" t="s">
        <v>649</v>
      </c>
      <c r="AC152" s="34">
        <v>388108.35</v>
      </c>
      <c r="AD152" s="34" t="s">
        <v>649</v>
      </c>
      <c r="AE152" s="34" t="s">
        <v>649</v>
      </c>
      <c r="AF152" s="34" t="s">
        <v>649</v>
      </c>
      <c r="AG152" s="34" t="s">
        <v>649</v>
      </c>
      <c r="AH152" s="34">
        <v>118880.65</v>
      </c>
      <c r="AI152" s="34"/>
      <c r="AJ152" s="34"/>
      <c r="AK152" s="34"/>
      <c r="AL152" s="364">
        <f t="shared" si="8"/>
        <v>1414298.0299999998</v>
      </c>
      <c r="AM152" s="17">
        <f>VLOOKUP(B152,'[1]2018'!$A$7:$F$349,6,FALSE)</f>
        <v>64</v>
      </c>
      <c r="AN152" s="32">
        <f>VLOOKUP(A152,'[2]2018 (2)'!$B$1:$D$318,3,FALSE)</f>
        <v>5298</v>
      </c>
      <c r="AO152" s="15">
        <v>-162802.89000000001</v>
      </c>
      <c r="AP152" s="34"/>
      <c r="AQ152" s="34">
        <v>-5165.0200000000004</v>
      </c>
      <c r="AR152" s="455">
        <v>1</v>
      </c>
    </row>
    <row r="153" spans="1:44" x14ac:dyDescent="0.25">
      <c r="A153" s="356">
        <v>5644</v>
      </c>
      <c r="B153" s="348" t="s">
        <v>318</v>
      </c>
      <c r="C153" s="348">
        <v>842774.43</v>
      </c>
      <c r="D153" s="348">
        <v>86498.87</v>
      </c>
      <c r="E153" s="348"/>
      <c r="F153" s="348"/>
      <c r="G153" s="348">
        <v>-10510.1</v>
      </c>
      <c r="H153" s="348">
        <v>628.15</v>
      </c>
      <c r="I153" s="348"/>
      <c r="J153" s="348">
        <v>20184.61</v>
      </c>
      <c r="K153" s="348"/>
      <c r="L153" s="348">
        <v>76902.45</v>
      </c>
      <c r="M153" s="349">
        <f t="shared" si="6"/>
        <v>1016478.41</v>
      </c>
      <c r="N153" s="368">
        <v>4010.65</v>
      </c>
      <c r="O153" s="368"/>
      <c r="P153" s="368">
        <v>46387</v>
      </c>
      <c r="Q153" s="368">
        <v>20681.240000000002</v>
      </c>
      <c r="R153" s="368">
        <v>37549.15</v>
      </c>
      <c r="S153" s="368"/>
      <c r="T153" s="368">
        <v>600</v>
      </c>
      <c r="U153" s="368">
        <v>3150</v>
      </c>
      <c r="V153" s="368"/>
      <c r="W153" s="368"/>
      <c r="X153" s="349">
        <f t="shared" si="7"/>
        <v>1128856.45</v>
      </c>
      <c r="Y153" s="34">
        <v>10645</v>
      </c>
      <c r="Z153" s="34" t="s">
        <v>649</v>
      </c>
      <c r="AA153" s="34">
        <v>63568.399999999994</v>
      </c>
      <c r="AB153" s="34" t="s">
        <v>649</v>
      </c>
      <c r="AC153" s="34">
        <v>35480</v>
      </c>
      <c r="AD153" s="34">
        <v>7370</v>
      </c>
      <c r="AE153" s="34" t="s">
        <v>649</v>
      </c>
      <c r="AF153" s="34" t="s">
        <v>649</v>
      </c>
      <c r="AG153" s="34" t="s">
        <v>649</v>
      </c>
      <c r="AH153" s="34">
        <v>6723.4</v>
      </c>
      <c r="AI153" s="34"/>
      <c r="AJ153" s="34"/>
      <c r="AK153" s="34"/>
      <c r="AL153" s="364">
        <f t="shared" si="8"/>
        <v>123786.79999999999</v>
      </c>
      <c r="AM153" s="17">
        <f>VLOOKUP(B153,'[1]2018'!$A$7:$F$349,6,FALSE)</f>
        <v>76</v>
      </c>
      <c r="AN153" s="32">
        <f>VLOOKUP(A153,'[2]2018 (2)'!$B$1:$D$318,3,FALSE)</f>
        <v>399</v>
      </c>
      <c r="AO153" s="15">
        <v>-23121.09</v>
      </c>
      <c r="AP153" s="34"/>
      <c r="AQ153" s="34">
        <v>-75.83</v>
      </c>
      <c r="AR153" s="455">
        <v>1</v>
      </c>
    </row>
    <row r="154" spans="1:44" x14ac:dyDescent="0.25">
      <c r="A154" s="356">
        <v>5645</v>
      </c>
      <c r="B154" s="348" t="s">
        <v>319</v>
      </c>
      <c r="C154" s="348">
        <v>1055128.83</v>
      </c>
      <c r="D154" s="348">
        <v>161610.35</v>
      </c>
      <c r="E154" s="348"/>
      <c r="F154" s="348"/>
      <c r="G154" s="348">
        <v>73324.800000000003</v>
      </c>
      <c r="H154" s="348">
        <v>7364.45</v>
      </c>
      <c r="I154" s="348"/>
      <c r="J154" s="348">
        <v>44967.199999999997</v>
      </c>
      <c r="K154" s="348">
        <v>21819.599999999999</v>
      </c>
      <c r="L154" s="348">
        <v>116235.3</v>
      </c>
      <c r="M154" s="349">
        <f t="shared" si="6"/>
        <v>1480450.5300000003</v>
      </c>
      <c r="N154" s="368">
        <v>48717.45</v>
      </c>
      <c r="O154" s="368">
        <v>27329</v>
      </c>
      <c r="P154" s="368">
        <v>44370.8</v>
      </c>
      <c r="Q154" s="368"/>
      <c r="R154" s="368">
        <v>46970.5</v>
      </c>
      <c r="S154" s="368">
        <v>75</v>
      </c>
      <c r="T154" s="368"/>
      <c r="U154" s="368">
        <v>950</v>
      </c>
      <c r="V154" s="368"/>
      <c r="W154" s="368"/>
      <c r="X154" s="349">
        <f t="shared" si="7"/>
        <v>1648863.2800000003</v>
      </c>
      <c r="Y154" s="34">
        <v>-6506.55</v>
      </c>
      <c r="Z154" s="353"/>
      <c r="AA154" s="34">
        <v>113082.85</v>
      </c>
      <c r="AB154" s="353"/>
      <c r="AC154" s="34">
        <v>54057.7</v>
      </c>
      <c r="AD154" s="353">
        <v>7200</v>
      </c>
      <c r="AE154" s="34"/>
      <c r="AF154" s="353"/>
      <c r="AG154" s="34"/>
      <c r="AH154" s="353">
        <v>28367.95</v>
      </c>
      <c r="AI154" s="34"/>
      <c r="AJ154" s="353"/>
      <c r="AK154" s="34"/>
      <c r="AL154" s="364">
        <f t="shared" si="8"/>
        <v>196201.95</v>
      </c>
      <c r="AM154" s="17">
        <f>VLOOKUP(B154,'[1]2018'!$A$7:$F$349,6,FALSE)</f>
        <v>56</v>
      </c>
      <c r="AN154" s="32">
        <f>VLOOKUP(A154,'[2]2018 (2)'!$B$1:$D$318,3,FALSE)</f>
        <v>458</v>
      </c>
      <c r="AO154" s="15">
        <v>-19000.88</v>
      </c>
      <c r="AP154" s="34"/>
      <c r="AQ154" s="34">
        <v>-127.16</v>
      </c>
      <c r="AR154" s="455">
        <v>0.8</v>
      </c>
    </row>
    <row r="155" spans="1:44" x14ac:dyDescent="0.25">
      <c r="A155" s="356">
        <v>5646</v>
      </c>
      <c r="B155" s="348" t="s">
        <v>320</v>
      </c>
      <c r="C155" s="348">
        <v>11718965.949999999</v>
      </c>
      <c r="D155" s="348">
        <v>3225446.92</v>
      </c>
      <c r="E155" s="348"/>
      <c r="F155" s="348"/>
      <c r="G155" s="348">
        <v>3178463.85</v>
      </c>
      <c r="H155" s="348">
        <v>6680352.2999999998</v>
      </c>
      <c r="I155" s="348">
        <v>903162.14</v>
      </c>
      <c r="J155" s="348">
        <v>546212.4</v>
      </c>
      <c r="K155" s="348">
        <v>156565.54999999999</v>
      </c>
      <c r="L155" s="348">
        <v>1569202.3</v>
      </c>
      <c r="M155" s="349">
        <f t="shared" si="6"/>
        <v>27978371.41</v>
      </c>
      <c r="N155" s="368">
        <v>621335.85</v>
      </c>
      <c r="O155" s="368">
        <v>317865.90000000002</v>
      </c>
      <c r="P155" s="368">
        <v>799728.8</v>
      </c>
      <c r="Q155" s="368">
        <v>18240.03</v>
      </c>
      <c r="R155" s="368">
        <v>223156.6</v>
      </c>
      <c r="S155" s="368">
        <v>21608.9</v>
      </c>
      <c r="T155" s="368"/>
      <c r="U155" s="368">
        <v>47700</v>
      </c>
      <c r="V155" s="368">
        <v>294</v>
      </c>
      <c r="W155" s="368"/>
      <c r="X155" s="349">
        <f t="shared" si="7"/>
        <v>30028301.490000002</v>
      </c>
      <c r="Y155" s="34">
        <v>199019.75</v>
      </c>
      <c r="Z155" s="353"/>
      <c r="AA155" s="34">
        <v>896181.64</v>
      </c>
      <c r="AB155" s="353"/>
      <c r="AC155" s="34">
        <v>500035.85</v>
      </c>
      <c r="AD155" s="353">
        <v>122700.65</v>
      </c>
      <c r="AE155" s="34"/>
      <c r="AF155" s="353"/>
      <c r="AG155" s="34"/>
      <c r="AH155" s="353"/>
      <c r="AI155" s="34"/>
      <c r="AJ155" s="353"/>
      <c r="AK155" s="34"/>
      <c r="AL155" s="364">
        <f t="shared" si="8"/>
        <v>1717937.8900000001</v>
      </c>
      <c r="AM155" s="17">
        <f>VLOOKUP(B155,'[1]2018'!$A$7:$F$349,6,FALSE)</f>
        <v>55</v>
      </c>
      <c r="AN155" s="32">
        <f>VLOOKUP(A155,'[2]2018 (2)'!$B$1:$D$318,3,FALSE)</f>
        <v>5684</v>
      </c>
      <c r="AO155" s="15">
        <v>-216268.95</v>
      </c>
      <c r="AP155" s="34"/>
      <c r="AQ155" s="34">
        <v>-10697.82</v>
      </c>
      <c r="AR155" s="455">
        <v>1</v>
      </c>
    </row>
    <row r="156" spans="1:44" x14ac:dyDescent="0.25">
      <c r="A156" s="356">
        <v>5648</v>
      </c>
      <c r="B156" s="348" t="s">
        <v>321</v>
      </c>
      <c r="C156" s="348">
        <v>8485380.9000000004</v>
      </c>
      <c r="D156" s="348">
        <v>3429151.62</v>
      </c>
      <c r="E156" s="348"/>
      <c r="F156" s="348"/>
      <c r="G156" s="348">
        <v>315562.40000000002</v>
      </c>
      <c r="H156" s="348">
        <v>321295.34999999998</v>
      </c>
      <c r="I156" s="348">
        <v>577106.03</v>
      </c>
      <c r="J156" s="348">
        <v>634696.84</v>
      </c>
      <c r="K156" s="348">
        <v>155548.4</v>
      </c>
      <c r="L156" s="348">
        <v>1011412.07</v>
      </c>
      <c r="M156" s="349">
        <f t="shared" si="6"/>
        <v>14930153.609999999</v>
      </c>
      <c r="N156" s="368">
        <v>62390.35</v>
      </c>
      <c r="O156" s="368">
        <v>265387.5</v>
      </c>
      <c r="P156" s="368">
        <v>1457862.3</v>
      </c>
      <c r="Q156" s="368">
        <v>42296.68</v>
      </c>
      <c r="R156" s="368">
        <v>943815.5</v>
      </c>
      <c r="S156" s="368"/>
      <c r="T156" s="368">
        <v>805.6</v>
      </c>
      <c r="U156" s="368">
        <v>20350</v>
      </c>
      <c r="V156" s="368"/>
      <c r="W156" s="368"/>
      <c r="X156" s="349">
        <f t="shared" si="7"/>
        <v>17723061.539999999</v>
      </c>
      <c r="Y156" s="34">
        <v>238139.07</v>
      </c>
      <c r="Z156" s="34" t="s">
        <v>649</v>
      </c>
      <c r="AA156" s="34">
        <v>1039372.21</v>
      </c>
      <c r="AB156" s="34" t="s">
        <v>649</v>
      </c>
      <c r="AC156" s="34">
        <v>320724.18</v>
      </c>
      <c r="AD156" s="34" t="s">
        <v>649</v>
      </c>
      <c r="AE156" s="34" t="s">
        <v>649</v>
      </c>
      <c r="AF156" s="34" t="s">
        <v>649</v>
      </c>
      <c r="AG156" s="34">
        <v>263032.8</v>
      </c>
      <c r="AH156" s="34">
        <v>146119.14000000001</v>
      </c>
      <c r="AI156" s="34"/>
      <c r="AJ156" s="34"/>
      <c r="AK156" s="34"/>
      <c r="AL156" s="364">
        <f t="shared" si="8"/>
        <v>2007387.4</v>
      </c>
      <c r="AM156" s="17">
        <f>VLOOKUP(B156,'[1]2018'!$A$7:$F$349,6,FALSE)</f>
        <v>55</v>
      </c>
      <c r="AN156" s="32">
        <f>VLOOKUP(A156,'[2]2018 (2)'!$B$1:$D$318,3,FALSE)</f>
        <v>4669</v>
      </c>
      <c r="AO156" s="15">
        <v>-71840.14</v>
      </c>
      <c r="AP156" s="34"/>
      <c r="AQ156" s="34">
        <v>-12775.6</v>
      </c>
      <c r="AR156" s="455">
        <v>0.8</v>
      </c>
    </row>
    <row r="157" spans="1:44" x14ac:dyDescent="0.25">
      <c r="A157" s="356">
        <v>5649</v>
      </c>
      <c r="B157" s="348" t="s">
        <v>322</v>
      </c>
      <c r="C157" s="348">
        <v>3626876.75</v>
      </c>
      <c r="D157" s="348">
        <v>574060.39</v>
      </c>
      <c r="E157" s="348"/>
      <c r="F157" s="348"/>
      <c r="G157" s="348">
        <v>3447731.8</v>
      </c>
      <c r="H157" s="348">
        <v>-62859.549999999901</v>
      </c>
      <c r="I157" s="348">
        <v>116030.65</v>
      </c>
      <c r="J157" s="348">
        <v>495024.2</v>
      </c>
      <c r="K157" s="348">
        <v>56402.1</v>
      </c>
      <c r="L157" s="348">
        <v>545028.69999999995</v>
      </c>
      <c r="M157" s="349">
        <f t="shared" si="6"/>
        <v>8798295.0399999991</v>
      </c>
      <c r="N157" s="368">
        <v>294828.34999999998</v>
      </c>
      <c r="O157" s="368">
        <v>26312.1</v>
      </c>
      <c r="P157" s="368">
        <v>52481</v>
      </c>
      <c r="Q157" s="368">
        <v>11994.64</v>
      </c>
      <c r="R157" s="368">
        <v>59017.55</v>
      </c>
      <c r="S157" s="368"/>
      <c r="T157" s="368">
        <v>2518.35</v>
      </c>
      <c r="U157" s="368">
        <v>3840</v>
      </c>
      <c r="V157" s="368"/>
      <c r="W157" s="368"/>
      <c r="X157" s="349">
        <f t="shared" si="7"/>
        <v>9249287.0299999993</v>
      </c>
      <c r="Y157" s="34">
        <v>93188.3</v>
      </c>
      <c r="Z157" s="353"/>
      <c r="AA157" s="34">
        <v>477611.15</v>
      </c>
      <c r="AB157" s="353"/>
      <c r="AC157" s="34">
        <v>101000.3</v>
      </c>
      <c r="AD157" s="353"/>
      <c r="AE157" s="34"/>
      <c r="AF157" s="353"/>
      <c r="AG157" s="34"/>
      <c r="AH157" s="353">
        <v>128780.55</v>
      </c>
      <c r="AI157" s="34"/>
      <c r="AJ157" s="353"/>
      <c r="AK157" s="34"/>
      <c r="AL157" s="364">
        <f t="shared" si="8"/>
        <v>800580.30000000016</v>
      </c>
      <c r="AM157" s="17">
        <f>VLOOKUP(B157,'[1]2018'!$A$7:$F$349,6,FALSE)</f>
        <v>65</v>
      </c>
      <c r="AN157" s="32">
        <f>VLOOKUP(A157,'[2]2018 (2)'!$B$1:$D$318,3,FALSE)</f>
        <v>1933</v>
      </c>
      <c r="AO157" s="15">
        <v>-71064.91</v>
      </c>
      <c r="AP157" s="34"/>
      <c r="AQ157" s="34">
        <v>-1186.93</v>
      </c>
      <c r="AR157" s="455">
        <v>1</v>
      </c>
    </row>
    <row r="158" spans="1:44" s="351" customFormat="1" x14ac:dyDescent="0.25">
      <c r="A158" s="357">
        <v>5650</v>
      </c>
      <c r="B158" s="348" t="s">
        <v>323</v>
      </c>
      <c r="C158" s="348">
        <v>4301297.21</v>
      </c>
      <c r="D158" s="348">
        <v>6021587.1500000004</v>
      </c>
      <c r="E158" s="348"/>
      <c r="F158" s="348"/>
      <c r="G158" s="348">
        <v>-1614.35</v>
      </c>
      <c r="H158" s="348">
        <v>634</v>
      </c>
      <c r="I158" s="348"/>
      <c r="J158" s="348">
        <v>-1889.68</v>
      </c>
      <c r="K158" s="348"/>
      <c r="L158" s="348">
        <v>55283.7</v>
      </c>
      <c r="M158" s="349">
        <f t="shared" si="6"/>
        <v>10375298.029999999</v>
      </c>
      <c r="N158" s="368"/>
      <c r="O158" s="368"/>
      <c r="P158" s="368"/>
      <c r="Q158" s="368"/>
      <c r="R158" s="368"/>
      <c r="S158" s="368"/>
      <c r="T158" s="368"/>
      <c r="U158" s="368">
        <v>390</v>
      </c>
      <c r="V158" s="368"/>
      <c r="W158" s="368"/>
      <c r="X158" s="349">
        <f t="shared" si="7"/>
        <v>10375688.029999999</v>
      </c>
      <c r="Y158" s="34"/>
      <c r="Z158" s="353"/>
      <c r="AA158" s="34">
        <v>25544.95</v>
      </c>
      <c r="AB158" s="353"/>
      <c r="AC158" s="34">
        <v>25761.95</v>
      </c>
      <c r="AD158" s="353"/>
      <c r="AE158" s="34"/>
      <c r="AF158" s="353"/>
      <c r="AG158" s="34"/>
      <c r="AH158" s="353"/>
      <c r="AI158" s="34"/>
      <c r="AJ158" s="353"/>
      <c r="AK158" s="34"/>
      <c r="AL158" s="364">
        <f t="shared" si="8"/>
        <v>51306.9</v>
      </c>
      <c r="AM158" s="17">
        <f>VLOOKUP(B158,'[1]2018'!$A$7:$F$349,6,FALSE)</f>
        <v>56</v>
      </c>
      <c r="AN158" s="32">
        <f>VLOOKUP(A158,'[2]2018 (2)'!$B$1:$D$318,3,FALSE)</f>
        <v>184</v>
      </c>
      <c r="AO158" s="15">
        <v>-8.42</v>
      </c>
      <c r="AP158" s="350"/>
      <c r="AQ158" s="350">
        <v>0</v>
      </c>
      <c r="AR158" s="455">
        <v>1.25</v>
      </c>
    </row>
    <row r="159" spans="1:44" x14ac:dyDescent="0.25">
      <c r="A159" s="356">
        <v>5651</v>
      </c>
      <c r="B159" s="348" t="s">
        <v>324</v>
      </c>
      <c r="C159" s="348">
        <v>1901265.84</v>
      </c>
      <c r="D159" s="348">
        <v>213296.04</v>
      </c>
      <c r="E159" s="348"/>
      <c r="F159" s="348"/>
      <c r="G159" s="348">
        <v>955836.17</v>
      </c>
      <c r="H159" s="348">
        <v>3036.4</v>
      </c>
      <c r="I159" s="348"/>
      <c r="J159" s="348">
        <v>27034.76</v>
      </c>
      <c r="K159" s="348">
        <v>29874.55</v>
      </c>
      <c r="L159" s="348">
        <v>320004.59999999998</v>
      </c>
      <c r="M159" s="349">
        <f t="shared" si="6"/>
        <v>3450348.3599999994</v>
      </c>
      <c r="N159" s="368">
        <v>167054.35</v>
      </c>
      <c r="O159" s="368"/>
      <c r="P159" s="368">
        <v>142166.79999999999</v>
      </c>
      <c r="Q159" s="368">
        <v>4337.47</v>
      </c>
      <c r="R159" s="368">
        <v>17121.8</v>
      </c>
      <c r="S159" s="368"/>
      <c r="T159" s="368"/>
      <c r="U159" s="368">
        <v>4520</v>
      </c>
      <c r="V159" s="368"/>
      <c r="W159" s="368">
        <v>197.25</v>
      </c>
      <c r="X159" s="349">
        <f t="shared" si="7"/>
        <v>3785746.0299999993</v>
      </c>
      <c r="Y159" s="34">
        <v>5912.4</v>
      </c>
      <c r="Z159" s="353"/>
      <c r="AA159" s="34">
        <v>110403.55</v>
      </c>
      <c r="AB159" s="353"/>
      <c r="AC159" s="34">
        <v>106237.5</v>
      </c>
      <c r="AD159" s="353">
        <v>5002.8</v>
      </c>
      <c r="AE159" s="34"/>
      <c r="AF159" s="353"/>
      <c r="AG159" s="34"/>
      <c r="AH159" s="353"/>
      <c r="AI159" s="34"/>
      <c r="AJ159" s="353"/>
      <c r="AK159" s="34"/>
      <c r="AL159" s="364">
        <f t="shared" si="8"/>
        <v>227556.25</v>
      </c>
      <c r="AM159" s="17">
        <f>VLOOKUP(B159,'[1]2018'!$A$7:$F$349,6,FALSE)</f>
        <v>59</v>
      </c>
      <c r="AN159" s="32">
        <f>VLOOKUP(A159,'[2]2018 (2)'!$B$1:$D$318,3,FALSE)</f>
        <v>963</v>
      </c>
      <c r="AO159" s="15">
        <v>-10667.7</v>
      </c>
      <c r="AP159" s="34"/>
      <c r="AQ159" s="34">
        <v>-16582.86</v>
      </c>
      <c r="AR159" s="455">
        <v>1</v>
      </c>
    </row>
    <row r="160" spans="1:44" x14ac:dyDescent="0.25">
      <c r="A160" s="356">
        <v>5652</v>
      </c>
      <c r="B160" s="348" t="s">
        <v>203</v>
      </c>
      <c r="C160" s="348">
        <v>1737041.67</v>
      </c>
      <c r="D160" s="348">
        <v>397209.47</v>
      </c>
      <c r="E160" s="348"/>
      <c r="F160" s="348"/>
      <c r="G160" s="348">
        <v>22580.45</v>
      </c>
      <c r="H160" s="348">
        <v>195</v>
      </c>
      <c r="I160" s="348"/>
      <c r="J160" s="348">
        <v>66078.8</v>
      </c>
      <c r="K160" s="348">
        <v>868.15</v>
      </c>
      <c r="L160" s="348">
        <v>130772.95</v>
      </c>
      <c r="M160" s="349">
        <f t="shared" si="6"/>
        <v>2354746.4899999998</v>
      </c>
      <c r="N160" s="368">
        <v>8597.2999999999993</v>
      </c>
      <c r="O160" s="368">
        <v>816.2</v>
      </c>
      <c r="P160" s="368">
        <v>24764.3</v>
      </c>
      <c r="Q160" s="368">
        <v>60.87</v>
      </c>
      <c r="R160" s="368">
        <v>32742.95</v>
      </c>
      <c r="S160" s="368"/>
      <c r="T160" s="368">
        <v>522.20000000000005</v>
      </c>
      <c r="U160" s="368">
        <v>4250</v>
      </c>
      <c r="V160" s="368"/>
      <c r="W160" s="368"/>
      <c r="X160" s="349">
        <f t="shared" si="7"/>
        <v>2426500.31</v>
      </c>
      <c r="Y160" s="34">
        <v>2497.8000000000002</v>
      </c>
      <c r="Z160" s="353"/>
      <c r="AA160" s="34">
        <v>79575.100000000006</v>
      </c>
      <c r="AB160" s="353"/>
      <c r="AC160" s="34">
        <v>38095.300000000003</v>
      </c>
      <c r="AD160" s="353"/>
      <c r="AE160" s="34"/>
      <c r="AF160" s="353"/>
      <c r="AG160" s="34"/>
      <c r="AH160" s="353"/>
      <c r="AI160" s="34"/>
      <c r="AJ160" s="353"/>
      <c r="AK160" s="34"/>
      <c r="AL160" s="364">
        <f t="shared" si="8"/>
        <v>120168.20000000001</v>
      </c>
      <c r="AM160" s="17">
        <f>VLOOKUP(B160,'[1]2018'!$A$7:$F$349,6,FALSE)</f>
        <v>76</v>
      </c>
      <c r="AN160" s="32">
        <f>VLOOKUP(A160,'[2]2018 (2)'!$B$1:$D$318,3,FALSE)</f>
        <v>608</v>
      </c>
      <c r="AO160" s="15">
        <v>-68099.990000000005</v>
      </c>
      <c r="AP160" s="34"/>
      <c r="AQ160" s="34">
        <v>-39.74</v>
      </c>
      <c r="AR160" s="455">
        <v>1.2</v>
      </c>
    </row>
    <row r="161" spans="1:44" x14ac:dyDescent="0.25">
      <c r="A161" s="356">
        <v>5653</v>
      </c>
      <c r="B161" s="348" t="s">
        <v>204</v>
      </c>
      <c r="C161" s="348">
        <v>2198518.91</v>
      </c>
      <c r="D161" s="348">
        <v>751726.4</v>
      </c>
      <c r="E161" s="348"/>
      <c r="F161" s="348"/>
      <c r="G161" s="348">
        <v>41522.65</v>
      </c>
      <c r="H161" s="348">
        <v>976.7</v>
      </c>
      <c r="I161" s="348">
        <v>103767.35</v>
      </c>
      <c r="J161" s="348">
        <v>77296.36</v>
      </c>
      <c r="K161" s="348">
        <v>2768.5</v>
      </c>
      <c r="L161" s="348">
        <v>195409.6</v>
      </c>
      <c r="M161" s="349">
        <f t="shared" si="6"/>
        <v>3371986.47</v>
      </c>
      <c r="N161" s="368">
        <v>2139.1999999999998</v>
      </c>
      <c r="O161" s="368"/>
      <c r="P161" s="368">
        <v>144280.29999999999</v>
      </c>
      <c r="Q161" s="368"/>
      <c r="R161" s="368">
        <v>121925.7</v>
      </c>
      <c r="S161" s="368"/>
      <c r="T161" s="368"/>
      <c r="U161" s="368">
        <v>6300</v>
      </c>
      <c r="V161" s="368"/>
      <c r="W161" s="368"/>
      <c r="X161" s="349">
        <f t="shared" si="7"/>
        <v>3646631.6700000004</v>
      </c>
      <c r="Y161" s="34">
        <v>8280</v>
      </c>
      <c r="Z161" s="353"/>
      <c r="AA161" s="34">
        <v>98022.2</v>
      </c>
      <c r="AB161" s="353"/>
      <c r="AC161" s="34">
        <v>53558.5</v>
      </c>
      <c r="AD161" s="353"/>
      <c r="AE161" s="34"/>
      <c r="AF161" s="353"/>
      <c r="AG161" s="34"/>
      <c r="AH161" s="353"/>
      <c r="AI161" s="34"/>
      <c r="AJ161" s="353"/>
      <c r="AK161" s="34"/>
      <c r="AL161" s="364">
        <f t="shared" si="8"/>
        <v>159860.70000000001</v>
      </c>
      <c r="AM161" s="17">
        <f>VLOOKUP(B161,'[1]2018'!$A$7:$F$349,6,FALSE)</f>
        <v>55</v>
      </c>
      <c r="AN161" s="32">
        <f>VLOOKUP(A161,'[2]2018 (2)'!$B$1:$D$318,3,FALSE)</f>
        <v>886</v>
      </c>
      <c r="AO161" s="15">
        <v>-10025.14</v>
      </c>
      <c r="AP161" s="34"/>
      <c r="AQ161" s="34">
        <v>-2946.12</v>
      </c>
      <c r="AR161" s="455">
        <v>0.8</v>
      </c>
    </row>
    <row r="162" spans="1:44" x14ac:dyDescent="0.25">
      <c r="A162" s="356">
        <v>5654</v>
      </c>
      <c r="B162" s="348" t="s">
        <v>205</v>
      </c>
      <c r="C162" s="348">
        <v>1192756.74</v>
      </c>
      <c r="D162" s="348">
        <v>152875.64000000001</v>
      </c>
      <c r="E162" s="348"/>
      <c r="F162" s="348"/>
      <c r="G162" s="348">
        <v>23716.6</v>
      </c>
      <c r="H162" s="348">
        <v>721.6</v>
      </c>
      <c r="I162" s="348"/>
      <c r="J162" s="348">
        <v>36411.07</v>
      </c>
      <c r="K162" s="348">
        <v>1512.45</v>
      </c>
      <c r="L162" s="348">
        <v>94882.35</v>
      </c>
      <c r="M162" s="349">
        <f t="shared" si="6"/>
        <v>1502876.4500000002</v>
      </c>
      <c r="N162" s="368">
        <v>5126</v>
      </c>
      <c r="O162" s="368"/>
      <c r="P162" s="368">
        <v>65928.7</v>
      </c>
      <c r="Q162" s="368">
        <v>738</v>
      </c>
      <c r="R162" s="368">
        <v>44768.5</v>
      </c>
      <c r="S162" s="368">
        <v>1508</v>
      </c>
      <c r="T162" s="368"/>
      <c r="U162" s="368">
        <v>4100</v>
      </c>
      <c r="V162" s="368"/>
      <c r="W162" s="368"/>
      <c r="X162" s="349">
        <f t="shared" si="7"/>
        <v>1625045.6500000001</v>
      </c>
      <c r="Y162" s="34">
        <v>49862.75</v>
      </c>
      <c r="Z162" s="353"/>
      <c r="AA162" s="34">
        <v>154315.5</v>
      </c>
      <c r="AB162" s="353"/>
      <c r="AC162" s="34">
        <v>25257</v>
      </c>
      <c r="AD162" s="353">
        <v>22000</v>
      </c>
      <c r="AE162" s="34"/>
      <c r="AF162" s="353"/>
      <c r="AG162" s="34"/>
      <c r="AH162" s="353">
        <v>13981.65</v>
      </c>
      <c r="AI162" s="34"/>
      <c r="AJ162" s="353"/>
      <c r="AK162" s="34"/>
      <c r="AL162" s="364">
        <f t="shared" si="8"/>
        <v>265416.90000000002</v>
      </c>
      <c r="AM162" s="17">
        <f>VLOOKUP(B162,'[1]2018'!$A$7:$F$349,6,FALSE)</f>
        <v>76</v>
      </c>
      <c r="AN162" s="32">
        <f>VLOOKUP(A162,'[2]2018 (2)'!$B$1:$D$318,3,FALSE)</f>
        <v>507</v>
      </c>
      <c r="AO162" s="15">
        <v>-37676.75</v>
      </c>
      <c r="AP162" s="34"/>
      <c r="AQ162" s="34">
        <v>-589.20000000000005</v>
      </c>
      <c r="AR162" s="455">
        <v>1</v>
      </c>
    </row>
    <row r="163" spans="1:44" x14ac:dyDescent="0.25">
      <c r="A163" s="356">
        <v>5655</v>
      </c>
      <c r="B163" s="348" t="s">
        <v>206</v>
      </c>
      <c r="C163" s="348">
        <v>4760236.67</v>
      </c>
      <c r="D163" s="348">
        <v>671296.21</v>
      </c>
      <c r="E163" s="348"/>
      <c r="F163" s="348"/>
      <c r="G163" s="348">
        <v>189764.3</v>
      </c>
      <c r="H163" s="348">
        <v>1293.7</v>
      </c>
      <c r="I163" s="348">
        <v>208884.39</v>
      </c>
      <c r="J163" s="348">
        <v>157764.98000000001</v>
      </c>
      <c r="K163" s="348">
        <v>7769.55</v>
      </c>
      <c r="L163" s="348">
        <v>408069.3</v>
      </c>
      <c r="M163" s="349">
        <f t="shared" si="6"/>
        <v>6405079.0999999996</v>
      </c>
      <c r="N163" s="368">
        <v>70006.649999999994</v>
      </c>
      <c r="O163" s="368">
        <v>1993.1</v>
      </c>
      <c r="P163" s="368">
        <v>224493.25</v>
      </c>
      <c r="Q163" s="368"/>
      <c r="R163" s="368">
        <v>25253.25</v>
      </c>
      <c r="S163" s="368">
        <v>200</v>
      </c>
      <c r="T163" s="368">
        <v>1020.75</v>
      </c>
      <c r="U163" s="368">
        <v>6960</v>
      </c>
      <c r="V163" s="368">
        <v>1080</v>
      </c>
      <c r="W163" s="368"/>
      <c r="X163" s="349">
        <f t="shared" si="7"/>
        <v>6736086.0999999996</v>
      </c>
      <c r="Y163" s="34">
        <v>9133.9500000000007</v>
      </c>
      <c r="Z163" s="353"/>
      <c r="AA163" s="34">
        <v>191646.45</v>
      </c>
      <c r="AB163" s="353"/>
      <c r="AC163" s="34">
        <v>72321.7</v>
      </c>
      <c r="AD163" s="353">
        <v>11147.65</v>
      </c>
      <c r="AE163" s="34"/>
      <c r="AF163" s="353"/>
      <c r="AG163" s="34"/>
      <c r="AH163" s="353"/>
      <c r="AI163" s="34"/>
      <c r="AJ163" s="353"/>
      <c r="AK163" s="34"/>
      <c r="AL163" s="364">
        <f t="shared" si="8"/>
        <v>284249.75000000006</v>
      </c>
      <c r="AM163" s="17">
        <f>VLOOKUP(B163,'[1]2018'!$A$7:$F$349,6,FALSE)</f>
        <v>73</v>
      </c>
      <c r="AN163" s="32">
        <f>VLOOKUP(A163,'[2]2018 (2)'!$B$1:$D$318,3,FALSE)</f>
        <v>1429</v>
      </c>
      <c r="AO163" s="15">
        <v>-31610.5</v>
      </c>
      <c r="AP163" s="34"/>
      <c r="AQ163" s="34">
        <v>-1093.7</v>
      </c>
      <c r="AR163" s="455">
        <v>1</v>
      </c>
    </row>
    <row r="164" spans="1:44" x14ac:dyDescent="0.25">
      <c r="A164" s="356">
        <v>5661</v>
      </c>
      <c r="B164" s="348" t="s">
        <v>207</v>
      </c>
      <c r="C164" s="348">
        <v>698084.26</v>
      </c>
      <c r="D164" s="348">
        <v>42531.55</v>
      </c>
      <c r="E164" s="348"/>
      <c r="F164" s="348">
        <v>1620</v>
      </c>
      <c r="G164" s="348">
        <v>16804.099999999999</v>
      </c>
      <c r="H164" s="348">
        <v>114.4</v>
      </c>
      <c r="I164" s="348"/>
      <c r="J164" s="348">
        <v>7790.62</v>
      </c>
      <c r="K164" s="348">
        <v>425</v>
      </c>
      <c r="L164" s="348">
        <v>49469</v>
      </c>
      <c r="M164" s="349">
        <f t="shared" si="6"/>
        <v>816838.93</v>
      </c>
      <c r="N164" s="368">
        <v>18523.2</v>
      </c>
      <c r="O164" s="368">
        <v>429</v>
      </c>
      <c r="P164" s="368">
        <v>10428</v>
      </c>
      <c r="Q164" s="368"/>
      <c r="R164" s="368">
        <v>7558.2</v>
      </c>
      <c r="S164" s="368"/>
      <c r="T164" s="368"/>
      <c r="U164" s="368">
        <v>3200</v>
      </c>
      <c r="V164" s="368"/>
      <c r="W164" s="368"/>
      <c r="X164" s="349">
        <f t="shared" si="7"/>
        <v>856977.33</v>
      </c>
      <c r="Y164" s="34">
        <v>3000</v>
      </c>
      <c r="Z164" s="353"/>
      <c r="AA164" s="34">
        <v>35838.400000000001</v>
      </c>
      <c r="AB164" s="353"/>
      <c r="AC164" s="34">
        <v>26083.599999999999</v>
      </c>
      <c r="AD164" s="353"/>
      <c r="AE164" s="34"/>
      <c r="AF164" s="353"/>
      <c r="AG164" s="34"/>
      <c r="AH164" s="353"/>
      <c r="AI164" s="34"/>
      <c r="AJ164" s="353"/>
      <c r="AK164" s="34"/>
      <c r="AL164" s="364">
        <f t="shared" si="8"/>
        <v>64922</v>
      </c>
      <c r="AM164" s="17">
        <f>VLOOKUP(B164,'[1]2018'!$A$7:$F$349,6,FALSE)</f>
        <v>79</v>
      </c>
      <c r="AN164" s="32">
        <f>VLOOKUP(A164,'[2]2018 (2)'!$B$1:$D$318,3,FALSE)</f>
        <v>384</v>
      </c>
      <c r="AO164" s="15">
        <v>-12.77</v>
      </c>
      <c r="AP164" s="34"/>
      <c r="AQ164" s="34">
        <v>0</v>
      </c>
      <c r="AR164" s="455">
        <v>1</v>
      </c>
    </row>
    <row r="165" spans="1:44" x14ac:dyDescent="0.25">
      <c r="A165" s="356">
        <v>5663</v>
      </c>
      <c r="B165" s="348" t="s">
        <v>208</v>
      </c>
      <c r="C165" s="348">
        <v>362261.4</v>
      </c>
      <c r="D165" s="348">
        <v>32935.82</v>
      </c>
      <c r="E165" s="348"/>
      <c r="F165" s="348">
        <v>1300</v>
      </c>
      <c r="G165" s="348">
        <v>4433.05</v>
      </c>
      <c r="H165" s="348">
        <v>414.5</v>
      </c>
      <c r="I165" s="348"/>
      <c r="J165" s="348">
        <v>1127.6400000000001</v>
      </c>
      <c r="K165" s="348">
        <v>-973.85</v>
      </c>
      <c r="L165" s="348">
        <v>30432.3</v>
      </c>
      <c r="M165" s="349">
        <f t="shared" si="6"/>
        <v>431930.86000000004</v>
      </c>
      <c r="N165" s="368"/>
      <c r="O165" s="368"/>
      <c r="P165" s="368">
        <v>10483</v>
      </c>
      <c r="Q165" s="368">
        <v>6270.7</v>
      </c>
      <c r="R165" s="368">
        <v>4025</v>
      </c>
      <c r="S165" s="368"/>
      <c r="T165" s="368">
        <v>100</v>
      </c>
      <c r="U165" s="368">
        <v>1350</v>
      </c>
      <c r="V165" s="368"/>
      <c r="W165" s="368"/>
      <c r="X165" s="349">
        <f t="shared" si="7"/>
        <v>454159.56000000006</v>
      </c>
      <c r="Y165" s="34"/>
      <c r="Z165" s="34"/>
      <c r="AA165" s="34">
        <v>27427.5</v>
      </c>
      <c r="AB165" s="34"/>
      <c r="AC165" s="34">
        <v>17146</v>
      </c>
      <c r="AD165" s="34"/>
      <c r="AE165" s="34"/>
      <c r="AF165" s="34"/>
      <c r="AG165" s="34"/>
      <c r="AH165" s="34"/>
      <c r="AI165" s="34"/>
      <c r="AJ165" s="34"/>
      <c r="AK165" s="34"/>
      <c r="AL165" s="364">
        <f t="shared" si="8"/>
        <v>44573.5</v>
      </c>
      <c r="AM165" s="17">
        <f>VLOOKUP(B165,'[1]2018'!$A$7:$F$349,6,FALSE)</f>
        <v>80</v>
      </c>
      <c r="AN165" s="32">
        <f>VLOOKUP(A165,'[2]2018 (2)'!$B$1:$D$318,3,FALSE)</f>
        <v>214</v>
      </c>
      <c r="AO165" s="15">
        <v>-14636.42</v>
      </c>
      <c r="AP165" s="34"/>
      <c r="AQ165" s="34">
        <v>0</v>
      </c>
      <c r="AR165" s="455">
        <v>1</v>
      </c>
    </row>
    <row r="166" spans="1:44" x14ac:dyDescent="0.25">
      <c r="A166" s="356">
        <v>5665</v>
      </c>
      <c r="B166" s="348" t="s">
        <v>102</v>
      </c>
      <c r="C166" s="348">
        <v>267125.82</v>
      </c>
      <c r="D166" s="348">
        <v>43483.31</v>
      </c>
      <c r="E166" s="348"/>
      <c r="F166" s="348"/>
      <c r="G166" s="348">
        <v>1799.35</v>
      </c>
      <c r="H166" s="348">
        <v>20.25</v>
      </c>
      <c r="I166" s="348"/>
      <c r="J166" s="348">
        <v>1692.47</v>
      </c>
      <c r="K166" s="348">
        <v>4.5</v>
      </c>
      <c r="L166" s="348">
        <v>24273.8</v>
      </c>
      <c r="M166" s="349">
        <f t="shared" si="6"/>
        <v>338399.49999999994</v>
      </c>
      <c r="N166" s="368"/>
      <c r="O166" s="368"/>
      <c r="P166" s="368">
        <v>6221.35</v>
      </c>
      <c r="Q166" s="368"/>
      <c r="R166" s="368">
        <v>13002.65</v>
      </c>
      <c r="S166" s="368"/>
      <c r="T166" s="368">
        <v>250</v>
      </c>
      <c r="U166" s="368">
        <v>790</v>
      </c>
      <c r="V166" s="368"/>
      <c r="W166" s="368"/>
      <c r="X166" s="349">
        <f t="shared" si="7"/>
        <v>358663.49999999994</v>
      </c>
      <c r="Y166" s="34"/>
      <c r="Z166" s="353"/>
      <c r="AA166" s="34">
        <v>16058.1</v>
      </c>
      <c r="AB166" s="353"/>
      <c r="AC166" s="34">
        <v>20013.95</v>
      </c>
      <c r="AD166" s="353"/>
      <c r="AE166" s="34"/>
      <c r="AF166" s="353"/>
      <c r="AG166" s="34"/>
      <c r="AH166" s="353"/>
      <c r="AI166" s="34"/>
      <c r="AJ166" s="353"/>
      <c r="AK166" s="34"/>
      <c r="AL166" s="364">
        <f t="shared" si="8"/>
        <v>36072.050000000003</v>
      </c>
      <c r="AM166" s="17">
        <f>VLOOKUP(B166,'[1]2018'!$A$7:$F$349,6,FALSE)</f>
        <v>73</v>
      </c>
      <c r="AN166" s="32">
        <f>VLOOKUP(A166,'[2]2018 (2)'!$B$1:$D$318,3,FALSE)</f>
        <v>216</v>
      </c>
      <c r="AO166" s="15">
        <v>-1254.1099999999999</v>
      </c>
      <c r="AP166" s="34"/>
      <c r="AQ166" s="34">
        <v>0</v>
      </c>
      <c r="AR166" s="455">
        <v>1</v>
      </c>
    </row>
    <row r="167" spans="1:44" x14ac:dyDescent="0.25">
      <c r="A167" s="356">
        <v>5669</v>
      </c>
      <c r="B167" s="348" t="s">
        <v>103</v>
      </c>
      <c r="C167" s="348">
        <v>465922.83</v>
      </c>
      <c r="D167" s="348">
        <v>111702.94</v>
      </c>
      <c r="E167" s="348"/>
      <c r="F167" s="348"/>
      <c r="G167" s="348">
        <v>11069.2</v>
      </c>
      <c r="H167" s="348">
        <v>208.7</v>
      </c>
      <c r="I167" s="348"/>
      <c r="J167" s="348">
        <v>8592.17</v>
      </c>
      <c r="K167" s="348">
        <v>356.7</v>
      </c>
      <c r="L167" s="348">
        <v>23309.85</v>
      </c>
      <c r="M167" s="349">
        <f t="shared" si="6"/>
        <v>621162.3899999999</v>
      </c>
      <c r="N167" s="368"/>
      <c r="O167" s="368">
        <v>378.65</v>
      </c>
      <c r="P167" s="368">
        <v>9425.35</v>
      </c>
      <c r="Q167" s="368"/>
      <c r="R167" s="368">
        <v>12428.25</v>
      </c>
      <c r="S167" s="368"/>
      <c r="T167" s="368">
        <v>80</v>
      </c>
      <c r="U167" s="368">
        <v>4000</v>
      </c>
      <c r="V167" s="368"/>
      <c r="W167" s="368"/>
      <c r="X167" s="349">
        <f t="shared" si="7"/>
        <v>647474.6399999999</v>
      </c>
      <c r="Y167" s="34">
        <v>4500</v>
      </c>
      <c r="Z167" s="34"/>
      <c r="AA167" s="34">
        <v>21190</v>
      </c>
      <c r="AB167" s="34"/>
      <c r="AC167" s="34">
        <v>27952.799999999999</v>
      </c>
      <c r="AD167" s="34">
        <v>951.6</v>
      </c>
      <c r="AE167" s="34"/>
      <c r="AF167" s="34"/>
      <c r="AG167" s="34"/>
      <c r="AH167" s="34"/>
      <c r="AI167" s="34"/>
      <c r="AJ167" s="34"/>
      <c r="AK167" s="34"/>
      <c r="AL167" s="364">
        <f t="shared" si="8"/>
        <v>54594.400000000001</v>
      </c>
      <c r="AM167" s="17">
        <f>VLOOKUP(B167,'[1]2018'!$A$7:$F$349,6,FALSE)</f>
        <v>75</v>
      </c>
      <c r="AN167" s="32">
        <f>VLOOKUP(A167,'[2]2018 (2)'!$B$1:$D$318,3,FALSE)</f>
        <v>313</v>
      </c>
      <c r="AO167" s="15">
        <v>-59676.66</v>
      </c>
      <c r="AP167" s="34"/>
      <c r="AQ167" s="34">
        <v>-105.71</v>
      </c>
      <c r="AR167" s="455">
        <v>0.5</v>
      </c>
    </row>
    <row r="168" spans="1:44" x14ac:dyDescent="0.25">
      <c r="A168" s="356">
        <v>5671</v>
      </c>
      <c r="B168" s="348" t="s">
        <v>104</v>
      </c>
      <c r="C168" s="348">
        <v>408686.15</v>
      </c>
      <c r="D168" s="348">
        <v>60446.86</v>
      </c>
      <c r="E168" s="348"/>
      <c r="F168" s="348"/>
      <c r="G168" s="348">
        <v>9217.0499999999993</v>
      </c>
      <c r="H168" s="348">
        <v>141.44999999999999</v>
      </c>
      <c r="I168" s="348"/>
      <c r="J168" s="348">
        <v>-5366.18</v>
      </c>
      <c r="K168" s="348">
        <v>223.5</v>
      </c>
      <c r="L168" s="348">
        <v>32625.200000000001</v>
      </c>
      <c r="M168" s="349">
        <f t="shared" si="6"/>
        <v>505974.03</v>
      </c>
      <c r="N168" s="368"/>
      <c r="O168" s="368"/>
      <c r="P168" s="368">
        <v>18040</v>
      </c>
      <c r="Q168" s="368"/>
      <c r="R168" s="368">
        <v>16447.75</v>
      </c>
      <c r="S168" s="368"/>
      <c r="T168" s="368"/>
      <c r="U168" s="368">
        <v>2385</v>
      </c>
      <c r="V168" s="368"/>
      <c r="W168" s="368"/>
      <c r="X168" s="349">
        <f t="shared" si="7"/>
        <v>542846.78</v>
      </c>
      <c r="Y168" s="34">
        <v>6000</v>
      </c>
      <c r="Z168" s="353"/>
      <c r="AA168" s="34">
        <v>15510.8</v>
      </c>
      <c r="AB168" s="353"/>
      <c r="AC168" s="34">
        <v>17711.650000000001</v>
      </c>
      <c r="AD168" s="353"/>
      <c r="AE168" s="34"/>
      <c r="AF168" s="353"/>
      <c r="AG168" s="34"/>
      <c r="AH168" s="353"/>
      <c r="AI168" s="34"/>
      <c r="AJ168" s="353"/>
      <c r="AK168" s="34"/>
      <c r="AL168" s="364">
        <f t="shared" si="8"/>
        <v>39222.449999999997</v>
      </c>
      <c r="AM168" s="17">
        <f>VLOOKUP(B168,'[1]2018'!$A$7:$F$349,6,FALSE)</f>
        <v>80</v>
      </c>
      <c r="AN168" s="32">
        <f>VLOOKUP(A168,'[2]2018 (2)'!$B$1:$D$318,3,FALSE)</f>
        <v>239</v>
      </c>
      <c r="AO168" s="15">
        <v>-13256.45</v>
      </c>
      <c r="AP168" s="34"/>
      <c r="AQ168" s="34">
        <v>-6.07</v>
      </c>
      <c r="AR168" s="455">
        <v>1</v>
      </c>
    </row>
    <row r="169" spans="1:44" x14ac:dyDescent="0.25">
      <c r="A169" s="356">
        <v>5673</v>
      </c>
      <c r="B169" s="348" t="s">
        <v>105</v>
      </c>
      <c r="C169" s="348">
        <v>592601.06999999995</v>
      </c>
      <c r="D169" s="348">
        <v>64026.89</v>
      </c>
      <c r="E169" s="348"/>
      <c r="F169" s="348">
        <v>1970</v>
      </c>
      <c r="G169" s="348">
        <v>3187.5</v>
      </c>
      <c r="H169" s="348">
        <v>604.95000000000005</v>
      </c>
      <c r="I169" s="348"/>
      <c r="J169" s="348">
        <v>6627.11</v>
      </c>
      <c r="K169" s="348">
        <v>7.5</v>
      </c>
      <c r="L169" s="348">
        <v>26915.4</v>
      </c>
      <c r="M169" s="349">
        <f t="shared" si="6"/>
        <v>695940.41999999993</v>
      </c>
      <c r="N169" s="368">
        <v>15579.35</v>
      </c>
      <c r="O169" s="368"/>
      <c r="P169" s="368">
        <v>6141.7</v>
      </c>
      <c r="Q169" s="368">
        <v>-15.97</v>
      </c>
      <c r="R169" s="368">
        <v>10295.200000000001</v>
      </c>
      <c r="S169" s="368"/>
      <c r="T169" s="368"/>
      <c r="U169" s="368">
        <v>1400</v>
      </c>
      <c r="V169" s="368"/>
      <c r="W169" s="368"/>
      <c r="X169" s="349">
        <f t="shared" si="7"/>
        <v>729340.69999999984</v>
      </c>
      <c r="Y169" s="34"/>
      <c r="Z169" s="34"/>
      <c r="AA169" s="34">
        <v>65073.05</v>
      </c>
      <c r="AB169" s="34"/>
      <c r="AC169" s="34">
        <v>23390.400000000001</v>
      </c>
      <c r="AD169" s="34"/>
      <c r="AE169" s="34">
        <v>248.65</v>
      </c>
      <c r="AF169" s="34"/>
      <c r="AG169" s="34"/>
      <c r="AH169" s="34"/>
      <c r="AI169" s="34"/>
      <c r="AJ169" s="34"/>
      <c r="AK169" s="34"/>
      <c r="AL169" s="364">
        <f t="shared" si="8"/>
        <v>88712.1</v>
      </c>
      <c r="AM169" s="17">
        <f>VLOOKUP(B169,'[1]2018'!$A$7:$F$349,6,FALSE)</f>
        <v>75</v>
      </c>
      <c r="AN169" s="32">
        <f>VLOOKUP(A169,'[2]2018 (2)'!$B$1:$D$318,3,FALSE)</f>
        <v>364</v>
      </c>
      <c r="AO169" s="15">
        <v>-16807.82</v>
      </c>
      <c r="AP169" s="34"/>
      <c r="AQ169" s="34">
        <v>-15.14</v>
      </c>
      <c r="AR169" s="455">
        <v>0.6</v>
      </c>
    </row>
    <row r="170" spans="1:44" x14ac:dyDescent="0.25">
      <c r="A170" s="356">
        <v>5674</v>
      </c>
      <c r="B170" s="348" t="s">
        <v>106</v>
      </c>
      <c r="C170" s="348">
        <v>223138.66</v>
      </c>
      <c r="D170" s="348"/>
      <c r="E170" s="348"/>
      <c r="F170" s="348"/>
      <c r="G170" s="348">
        <v>795.18</v>
      </c>
      <c r="H170" s="348"/>
      <c r="I170" s="348"/>
      <c r="J170" s="348">
        <v>3781.64</v>
      </c>
      <c r="K170" s="348"/>
      <c r="L170" s="348">
        <v>12643.3</v>
      </c>
      <c r="M170" s="349">
        <f t="shared" si="6"/>
        <v>240358.78</v>
      </c>
      <c r="N170" s="368"/>
      <c r="O170" s="368"/>
      <c r="P170" s="368">
        <v>4563.5</v>
      </c>
      <c r="Q170" s="368"/>
      <c r="R170" s="368">
        <v>22561.200000000001</v>
      </c>
      <c r="S170" s="368"/>
      <c r="T170" s="368"/>
      <c r="U170" s="368">
        <v>645</v>
      </c>
      <c r="V170" s="368"/>
      <c r="W170" s="368"/>
      <c r="X170" s="349">
        <f t="shared" si="7"/>
        <v>268128.48</v>
      </c>
      <c r="Y170" s="34"/>
      <c r="Z170" s="353"/>
      <c r="AA170" s="34">
        <v>12233.8</v>
      </c>
      <c r="AB170" s="353"/>
      <c r="AC170" s="34">
        <v>10156.75</v>
      </c>
      <c r="AD170" s="353"/>
      <c r="AE170" s="34"/>
      <c r="AF170" s="353"/>
      <c r="AG170" s="34"/>
      <c r="AH170" s="353">
        <v>3571.85</v>
      </c>
      <c r="AI170" s="34"/>
      <c r="AJ170" s="353"/>
      <c r="AK170" s="34"/>
      <c r="AL170" s="364">
        <f t="shared" si="8"/>
        <v>25962.399999999998</v>
      </c>
      <c r="AM170" s="17">
        <f>VLOOKUP(B170,'[1]2018'!$A$7:$F$349,6,FALSE)</f>
        <v>75</v>
      </c>
      <c r="AN170" s="32">
        <f>VLOOKUP(A170,'[2]2018 (2)'!$B$1:$D$318,3,FALSE)</f>
        <v>146</v>
      </c>
      <c r="AO170" s="15">
        <v>0</v>
      </c>
      <c r="AP170" s="34"/>
      <c r="AQ170" s="34">
        <v>0</v>
      </c>
      <c r="AR170" s="455">
        <v>0.7</v>
      </c>
    </row>
    <row r="171" spans="1:44" x14ac:dyDescent="0.25">
      <c r="A171" s="356">
        <v>5675</v>
      </c>
      <c r="B171" s="348" t="s">
        <v>107</v>
      </c>
      <c r="C171" s="348">
        <v>4703913.79</v>
      </c>
      <c r="D171" s="348">
        <v>512000.42</v>
      </c>
      <c r="E171" s="348"/>
      <c r="F171" s="348"/>
      <c r="G171" s="348">
        <v>347453.45</v>
      </c>
      <c r="H171" s="348">
        <v>18739.349999999999</v>
      </c>
      <c r="I171" s="348"/>
      <c r="J171" s="348">
        <v>249906.03</v>
      </c>
      <c r="K171" s="348">
        <v>91788</v>
      </c>
      <c r="L171" s="348">
        <v>646404.30000000005</v>
      </c>
      <c r="M171" s="349">
        <f t="shared" si="6"/>
        <v>6570205.3399999999</v>
      </c>
      <c r="N171" s="368">
        <v>47041.05</v>
      </c>
      <c r="O171" s="368">
        <v>95151</v>
      </c>
      <c r="P171" s="368">
        <v>381022</v>
      </c>
      <c r="Q171" s="368">
        <v>71392.05</v>
      </c>
      <c r="R171" s="368">
        <v>185937.2</v>
      </c>
      <c r="S171" s="368"/>
      <c r="T171" s="368">
        <v>15925.55</v>
      </c>
      <c r="U171" s="368">
        <v>32000</v>
      </c>
      <c r="V171" s="368">
        <v>1740.4</v>
      </c>
      <c r="W171" s="368"/>
      <c r="X171" s="349">
        <f t="shared" si="7"/>
        <v>7400414.5899999999</v>
      </c>
      <c r="Y171" s="34">
        <v>75738.649999999994</v>
      </c>
      <c r="Z171" s="353"/>
      <c r="AA171" s="34">
        <v>289028.95</v>
      </c>
      <c r="AB171" s="353"/>
      <c r="AC171" s="34">
        <v>422016.04</v>
      </c>
      <c r="AD171" s="353">
        <v>44548.15</v>
      </c>
      <c r="AE171" s="34"/>
      <c r="AF171" s="353"/>
      <c r="AG171" s="34"/>
      <c r="AH171" s="353">
        <v>461189.05</v>
      </c>
      <c r="AI171" s="34"/>
      <c r="AJ171" s="353"/>
      <c r="AK171" s="34"/>
      <c r="AL171" s="364">
        <f t="shared" si="8"/>
        <v>1292520.8399999999</v>
      </c>
      <c r="AM171" s="17">
        <f>VLOOKUP(B171,'[1]2018'!$A$7:$F$349,6,FALSE)</f>
        <v>69</v>
      </c>
      <c r="AN171" s="32">
        <f>VLOOKUP(A171,'[2]2018 (2)'!$B$1:$D$318,3,FALSE)</f>
        <v>4199</v>
      </c>
      <c r="AO171" s="15">
        <v>-224730.28</v>
      </c>
      <c r="AP171" s="34"/>
      <c r="AQ171" s="34">
        <v>-255.21</v>
      </c>
      <c r="AR171" s="455">
        <v>1.1000000000000001</v>
      </c>
    </row>
    <row r="172" spans="1:44" x14ac:dyDescent="0.25">
      <c r="A172" s="356">
        <v>5678</v>
      </c>
      <c r="B172" s="348" t="s">
        <v>108</v>
      </c>
      <c r="C172" s="348">
        <v>6742850.0999999996</v>
      </c>
      <c r="D172" s="348">
        <v>686796.29</v>
      </c>
      <c r="E172" s="348"/>
      <c r="F172" s="348">
        <v>34700</v>
      </c>
      <c r="G172" s="348">
        <v>682234.65</v>
      </c>
      <c r="H172" s="348">
        <v>13370.35</v>
      </c>
      <c r="I172" s="348"/>
      <c r="J172" s="348">
        <v>466488.24</v>
      </c>
      <c r="K172" s="348">
        <v>85163.35</v>
      </c>
      <c r="L172" s="348">
        <v>780092.75</v>
      </c>
      <c r="M172" s="349">
        <f t="shared" si="6"/>
        <v>9491695.7299999986</v>
      </c>
      <c r="N172" s="368">
        <v>212792.05</v>
      </c>
      <c r="O172" s="368">
        <v>96300.1</v>
      </c>
      <c r="P172" s="368">
        <v>318163.75</v>
      </c>
      <c r="Q172" s="368">
        <v>49376.74</v>
      </c>
      <c r="R172" s="368">
        <v>288839.34999999998</v>
      </c>
      <c r="S172" s="368">
        <v>45717.4</v>
      </c>
      <c r="T172" s="368">
        <v>2790</v>
      </c>
      <c r="U172" s="368">
        <v>42480</v>
      </c>
      <c r="V172" s="368">
        <v>35223.9</v>
      </c>
      <c r="W172" s="368">
        <v>234</v>
      </c>
      <c r="X172" s="349">
        <f t="shared" si="7"/>
        <v>10583613.02</v>
      </c>
      <c r="Y172" s="34">
        <v>212733.2</v>
      </c>
      <c r="Z172" s="34"/>
      <c r="AA172" s="34">
        <v>923342.95</v>
      </c>
      <c r="AB172" s="34"/>
      <c r="AC172" s="34">
        <v>557523.03999999992</v>
      </c>
      <c r="AD172" s="34">
        <v>105255.1</v>
      </c>
      <c r="AE172" s="34"/>
      <c r="AF172" s="34"/>
      <c r="AG172" s="34">
        <v>3215.2</v>
      </c>
      <c r="AH172" s="34">
        <v>200000</v>
      </c>
      <c r="AI172" s="34"/>
      <c r="AJ172" s="34"/>
      <c r="AK172" s="34"/>
      <c r="AL172" s="364">
        <f t="shared" si="8"/>
        <v>2002069.49</v>
      </c>
      <c r="AM172" s="17">
        <f>VLOOKUP(B172,'[1]2018'!$A$7:$F$349,6,FALSE)</f>
        <v>75</v>
      </c>
      <c r="AN172" s="32">
        <f>VLOOKUP(A172,'[2]2018 (2)'!$B$1:$D$318,3,FALSE)</f>
        <v>6135</v>
      </c>
      <c r="AO172" s="15">
        <v>-546494.26</v>
      </c>
      <c r="AP172" s="34"/>
      <c r="AQ172" s="34">
        <v>-9668.69</v>
      </c>
      <c r="AR172" s="455">
        <v>1</v>
      </c>
    </row>
    <row r="173" spans="1:44" x14ac:dyDescent="0.25">
      <c r="A173" s="356">
        <v>5680</v>
      </c>
      <c r="B173" s="348" t="s">
        <v>109</v>
      </c>
      <c r="C173" s="348">
        <v>423300.81</v>
      </c>
      <c r="D173" s="348">
        <v>32969.96</v>
      </c>
      <c r="E173" s="348"/>
      <c r="F173" s="348"/>
      <c r="G173" s="348">
        <v>3684.2</v>
      </c>
      <c r="H173" s="348">
        <v>108.3</v>
      </c>
      <c r="I173" s="348"/>
      <c r="J173" s="348">
        <v>6420.51</v>
      </c>
      <c r="K173" s="348">
        <v>55</v>
      </c>
      <c r="L173" s="348">
        <v>66506.75</v>
      </c>
      <c r="M173" s="349">
        <f t="shared" si="6"/>
        <v>533045.53</v>
      </c>
      <c r="N173" s="368"/>
      <c r="O173" s="368">
        <v>4795.1000000000004</v>
      </c>
      <c r="P173" s="368">
        <v>30442.5</v>
      </c>
      <c r="Q173" s="368">
        <v>5522.84</v>
      </c>
      <c r="R173" s="368">
        <v>22609.3</v>
      </c>
      <c r="S173" s="368"/>
      <c r="T173" s="368">
        <v>90</v>
      </c>
      <c r="U173" s="368">
        <v>2300</v>
      </c>
      <c r="V173" s="368"/>
      <c r="W173" s="368"/>
      <c r="X173" s="349">
        <f t="shared" si="7"/>
        <v>598805.27</v>
      </c>
      <c r="Y173" s="34"/>
      <c r="Z173" s="353"/>
      <c r="AA173" s="34">
        <v>29228.75</v>
      </c>
      <c r="AB173" s="353"/>
      <c r="AC173" s="34">
        <v>13299.25</v>
      </c>
      <c r="AD173" s="353"/>
      <c r="AE173" s="34"/>
      <c r="AF173" s="353"/>
      <c r="AG173" s="34">
        <v>792</v>
      </c>
      <c r="AH173" s="353">
        <v>6337.4</v>
      </c>
      <c r="AI173" s="34"/>
      <c r="AJ173" s="353"/>
      <c r="AK173" s="34"/>
      <c r="AL173" s="364">
        <f t="shared" si="8"/>
        <v>49657.4</v>
      </c>
      <c r="AM173" s="17">
        <f>VLOOKUP(B173,'[1]2018'!$A$7:$F$349,6,FALSE)</f>
        <v>78</v>
      </c>
      <c r="AN173" s="32">
        <f>VLOOKUP(A173,'[2]2018 (2)'!$B$1:$D$318,3,FALSE)</f>
        <v>299</v>
      </c>
      <c r="AO173" s="15">
        <v>-13661.23</v>
      </c>
      <c r="AP173" s="34"/>
      <c r="AQ173" s="34">
        <v>-2.71</v>
      </c>
      <c r="AR173" s="455">
        <v>1.5</v>
      </c>
    </row>
    <row r="174" spans="1:44" x14ac:dyDescent="0.25">
      <c r="A174" s="356">
        <v>5683</v>
      </c>
      <c r="B174" s="348" t="s">
        <v>110</v>
      </c>
      <c r="C174" s="348">
        <v>245555.68</v>
      </c>
      <c r="D174" s="348">
        <v>27167.72</v>
      </c>
      <c r="E174" s="348"/>
      <c r="F174" s="348"/>
      <c r="G174" s="348">
        <v>-1574.9</v>
      </c>
      <c r="H174" s="348">
        <v>260.05</v>
      </c>
      <c r="I174" s="348"/>
      <c r="J174" s="348">
        <v>3018.02</v>
      </c>
      <c r="K174" s="348">
        <v>-19</v>
      </c>
      <c r="L174" s="348">
        <v>22654</v>
      </c>
      <c r="M174" s="349">
        <f t="shared" si="6"/>
        <v>297061.57</v>
      </c>
      <c r="N174" s="368"/>
      <c r="O174" s="368"/>
      <c r="P174" s="368">
        <v>7700</v>
      </c>
      <c r="Q174" s="368">
        <v>4035.54</v>
      </c>
      <c r="R174" s="368">
        <v>20711.5</v>
      </c>
      <c r="S174" s="368"/>
      <c r="T174" s="368"/>
      <c r="U174" s="368">
        <v>1225</v>
      </c>
      <c r="V174" s="368"/>
      <c r="W174" s="368"/>
      <c r="X174" s="349">
        <f t="shared" si="7"/>
        <v>330733.61</v>
      </c>
      <c r="Y174" s="34">
        <v>3000</v>
      </c>
      <c r="Z174" s="353"/>
      <c r="AA174" s="34">
        <v>10162.65</v>
      </c>
      <c r="AB174" s="353"/>
      <c r="AC174" s="34">
        <v>13985.7</v>
      </c>
      <c r="AD174" s="353">
        <v>2000</v>
      </c>
      <c r="AE174" s="34"/>
      <c r="AF174" s="353"/>
      <c r="AG174" s="34"/>
      <c r="AH174" s="353"/>
      <c r="AI174" s="34"/>
      <c r="AJ174" s="353"/>
      <c r="AK174" s="34"/>
      <c r="AL174" s="364">
        <f t="shared" si="8"/>
        <v>29148.35</v>
      </c>
      <c r="AM174" s="17">
        <f>VLOOKUP(B174,'[1]2018'!$A$7:$F$349,6,FALSE)</f>
        <v>74</v>
      </c>
      <c r="AN174" s="32">
        <f>VLOOKUP(A174,'[2]2018 (2)'!$B$1:$D$318,3,FALSE)</f>
        <v>184</v>
      </c>
      <c r="AO174" s="15">
        <v>-25473.58</v>
      </c>
      <c r="AP174" s="34"/>
      <c r="AQ174" s="34">
        <v>0</v>
      </c>
      <c r="AR174" s="455">
        <v>1</v>
      </c>
    </row>
    <row r="175" spans="1:44" x14ac:dyDescent="0.25">
      <c r="A175" s="356">
        <v>5684</v>
      </c>
      <c r="B175" s="348" t="s">
        <v>111</v>
      </c>
      <c r="C175" s="348">
        <v>105382.64</v>
      </c>
      <c r="D175" s="348">
        <v>32702.99</v>
      </c>
      <c r="E175" s="348"/>
      <c r="F175" s="348"/>
      <c r="G175" s="348">
        <v>-412.45</v>
      </c>
      <c r="H175" s="348">
        <v>335.6</v>
      </c>
      <c r="I175" s="348"/>
      <c r="J175" s="348">
        <v>288</v>
      </c>
      <c r="K175" s="348"/>
      <c r="L175" s="348">
        <v>6461.9</v>
      </c>
      <c r="M175" s="349">
        <f t="shared" si="6"/>
        <v>144758.68</v>
      </c>
      <c r="N175" s="368"/>
      <c r="O175" s="368"/>
      <c r="P175" s="368"/>
      <c r="Q175" s="368"/>
      <c r="R175" s="368">
        <v>11921.8</v>
      </c>
      <c r="S175" s="368"/>
      <c r="T175" s="368"/>
      <c r="U175" s="368"/>
      <c r="V175" s="368"/>
      <c r="W175" s="368"/>
      <c r="X175" s="349">
        <f t="shared" si="7"/>
        <v>156680.47999999998</v>
      </c>
      <c r="Y175" s="34">
        <v>104000</v>
      </c>
      <c r="Z175" s="353"/>
      <c r="AA175" s="34">
        <v>3701.3</v>
      </c>
      <c r="AB175" s="353"/>
      <c r="AC175" s="34">
        <v>6681.32</v>
      </c>
      <c r="AD175" s="353"/>
      <c r="AE175" s="34"/>
      <c r="AF175" s="353"/>
      <c r="AG175" s="34"/>
      <c r="AH175" s="353"/>
      <c r="AI175" s="34"/>
      <c r="AJ175" s="353"/>
      <c r="AK175" s="34"/>
      <c r="AL175" s="364">
        <f t="shared" si="8"/>
        <v>114382.62</v>
      </c>
      <c r="AM175" s="17">
        <f>VLOOKUP(B175,'[1]2018'!$A$7:$F$349,6,FALSE)</f>
        <v>75</v>
      </c>
      <c r="AN175" s="32">
        <f>VLOOKUP(A175,'[2]2018 (2)'!$B$1:$D$318,3,FALSE)</f>
        <v>65</v>
      </c>
      <c r="AO175" s="15">
        <v>-10.210000000000001</v>
      </c>
      <c r="AP175" s="34"/>
      <c r="AQ175" s="34">
        <v>-5.67</v>
      </c>
      <c r="AR175" s="455">
        <v>0.8</v>
      </c>
    </row>
    <row r="176" spans="1:44" x14ac:dyDescent="0.25">
      <c r="A176" s="356">
        <v>5688</v>
      </c>
      <c r="B176" s="348" t="s">
        <v>112</v>
      </c>
      <c r="C176" s="348">
        <v>181575.16</v>
      </c>
      <c r="D176" s="348">
        <v>58385</v>
      </c>
      <c r="E176" s="348"/>
      <c r="F176" s="348"/>
      <c r="G176" s="348">
        <v>32808.85</v>
      </c>
      <c r="H176" s="348">
        <v>153.69999999999999</v>
      </c>
      <c r="I176" s="348"/>
      <c r="J176" s="348">
        <v>3045.88</v>
      </c>
      <c r="K176" s="348">
        <v>105</v>
      </c>
      <c r="L176" s="348">
        <v>23844.5</v>
      </c>
      <c r="M176" s="349">
        <f t="shared" si="6"/>
        <v>299918.09000000003</v>
      </c>
      <c r="N176" s="368"/>
      <c r="O176" s="368"/>
      <c r="P176" s="368">
        <v>20325.55</v>
      </c>
      <c r="Q176" s="368"/>
      <c r="R176" s="368">
        <v>15067.2</v>
      </c>
      <c r="S176" s="368"/>
      <c r="T176" s="368"/>
      <c r="U176" s="368">
        <v>620</v>
      </c>
      <c r="V176" s="368"/>
      <c r="W176" s="368"/>
      <c r="X176" s="349">
        <f t="shared" si="7"/>
        <v>335930.84</v>
      </c>
      <c r="Y176" s="34">
        <v>15600</v>
      </c>
      <c r="Z176" s="353"/>
      <c r="AA176" s="34">
        <v>6397.2</v>
      </c>
      <c r="AB176" s="353"/>
      <c r="AC176" s="34">
        <v>15717.25</v>
      </c>
      <c r="AD176" s="353"/>
      <c r="AE176" s="34"/>
      <c r="AF176" s="353"/>
      <c r="AG176" s="34"/>
      <c r="AH176" s="353"/>
      <c r="AI176" s="34"/>
      <c r="AJ176" s="353"/>
      <c r="AK176" s="34"/>
      <c r="AL176" s="364">
        <f t="shared" si="8"/>
        <v>37714.449999999997</v>
      </c>
      <c r="AM176" s="17">
        <f>VLOOKUP(B176,'[1]2018'!$A$7:$F$349,6,FALSE)</f>
        <v>75.599999999999994</v>
      </c>
      <c r="AN176" s="32">
        <f>VLOOKUP(A176,'[2]2018 (2)'!$B$1:$D$318,3,FALSE)</f>
        <v>159</v>
      </c>
      <c r="AO176" s="15">
        <v>-17.32</v>
      </c>
      <c r="AP176" s="34"/>
      <c r="AQ176" s="34">
        <v>0</v>
      </c>
      <c r="AR176" s="455">
        <v>1</v>
      </c>
    </row>
    <row r="177" spans="1:44" x14ac:dyDescent="0.25">
      <c r="A177" s="356">
        <v>5690</v>
      </c>
      <c r="B177" s="348" t="s">
        <v>113</v>
      </c>
      <c r="C177" s="348">
        <v>226000.97</v>
      </c>
      <c r="D177" s="348">
        <v>36761.360000000001</v>
      </c>
      <c r="E177" s="348"/>
      <c r="F177" s="348">
        <v>890</v>
      </c>
      <c r="G177" s="348">
        <v>59.3</v>
      </c>
      <c r="H177" s="348">
        <v>411.35</v>
      </c>
      <c r="I177" s="348"/>
      <c r="J177" s="348">
        <v>1.57</v>
      </c>
      <c r="K177" s="348">
        <v>184.1</v>
      </c>
      <c r="L177" s="348">
        <v>24020.75</v>
      </c>
      <c r="M177" s="349">
        <f t="shared" si="6"/>
        <v>288329.39999999997</v>
      </c>
      <c r="N177" s="368"/>
      <c r="O177" s="368"/>
      <c r="P177" s="368">
        <v>7412.25</v>
      </c>
      <c r="Q177" s="368"/>
      <c r="R177" s="368">
        <v>2814.6</v>
      </c>
      <c r="S177" s="368"/>
      <c r="T177" s="368"/>
      <c r="U177" s="368">
        <v>500</v>
      </c>
      <c r="V177" s="368"/>
      <c r="W177" s="368"/>
      <c r="X177" s="349">
        <f t="shared" si="7"/>
        <v>299056.24999999994</v>
      </c>
      <c r="Y177" s="34"/>
      <c r="Z177" s="34" t="s">
        <v>649</v>
      </c>
      <c r="AA177" s="34">
        <v>20154.2</v>
      </c>
      <c r="AB177" s="34"/>
      <c r="AC177" s="34">
        <v>14399.75</v>
      </c>
      <c r="AD177" s="34" t="s">
        <v>649</v>
      </c>
      <c r="AE177" s="34"/>
      <c r="AF177" s="34" t="s">
        <v>649</v>
      </c>
      <c r="AG177" s="34" t="s">
        <v>649</v>
      </c>
      <c r="AH177" s="34"/>
      <c r="AI177" s="34"/>
      <c r="AJ177" s="34"/>
      <c r="AK177" s="34"/>
      <c r="AL177" s="364">
        <f t="shared" si="8"/>
        <v>34553.949999999997</v>
      </c>
      <c r="AM177" s="17">
        <f>VLOOKUP(B177,'[1]2018'!$A$7:$F$349,6,FALSE)</f>
        <v>70</v>
      </c>
      <c r="AN177" s="32">
        <f>VLOOKUP(A177,'[2]2018 (2)'!$B$1:$D$318,3,FALSE)</f>
        <v>132</v>
      </c>
      <c r="AO177" s="15">
        <v>-167.45</v>
      </c>
      <c r="AP177" s="34"/>
      <c r="AQ177" s="34">
        <v>0</v>
      </c>
      <c r="AR177" s="455">
        <v>1.2</v>
      </c>
    </row>
    <row r="178" spans="1:44" x14ac:dyDescent="0.25">
      <c r="A178" s="356">
        <v>5692</v>
      </c>
      <c r="B178" s="348" t="s">
        <v>114</v>
      </c>
      <c r="C178" s="348">
        <v>1137432.6100000001</v>
      </c>
      <c r="D178" s="348">
        <v>82377.19</v>
      </c>
      <c r="E178" s="348"/>
      <c r="F178" s="348"/>
      <c r="G178" s="348">
        <v>5306.25</v>
      </c>
      <c r="H178" s="348">
        <v>457.05</v>
      </c>
      <c r="I178" s="348"/>
      <c r="J178" s="348">
        <v>19888.599999999999</v>
      </c>
      <c r="K178" s="348">
        <v>427.65</v>
      </c>
      <c r="L178" s="348">
        <v>90054</v>
      </c>
      <c r="M178" s="349">
        <f t="shared" si="6"/>
        <v>1335943.3500000001</v>
      </c>
      <c r="N178" s="368">
        <v>14555.75</v>
      </c>
      <c r="O178" s="368"/>
      <c r="P178" s="368">
        <v>59910.75</v>
      </c>
      <c r="Q178" s="368">
        <v>16710.759999999998</v>
      </c>
      <c r="R178" s="368">
        <v>89092</v>
      </c>
      <c r="S178" s="368"/>
      <c r="T178" s="368"/>
      <c r="U178" s="368">
        <v>7600</v>
      </c>
      <c r="V178" s="368"/>
      <c r="W178" s="368"/>
      <c r="X178" s="349">
        <f t="shared" si="7"/>
        <v>1523812.61</v>
      </c>
      <c r="Y178" s="34">
        <v>78622</v>
      </c>
      <c r="Z178" s="353"/>
      <c r="AA178" s="34">
        <v>78260.3</v>
      </c>
      <c r="AB178" s="353"/>
      <c r="AC178" s="34">
        <v>34721.75</v>
      </c>
      <c r="AD178" s="353">
        <v>71436.55</v>
      </c>
      <c r="AE178" s="34"/>
      <c r="AF178" s="353"/>
      <c r="AG178" s="34"/>
      <c r="AH178" s="353"/>
      <c r="AI178" s="34"/>
      <c r="AJ178" s="353">
        <v>9604.2999999999993</v>
      </c>
      <c r="AK178" s="34"/>
      <c r="AL178" s="364">
        <f t="shared" si="8"/>
        <v>272644.89999999997</v>
      </c>
      <c r="AM178" s="17">
        <f>VLOOKUP(B178,'[1]2018'!$A$7:$F$349,6,FALSE)</f>
        <v>79</v>
      </c>
      <c r="AN178" s="32">
        <f>VLOOKUP(A178,'[2]2018 (2)'!$B$1:$D$318,3,FALSE)</f>
        <v>577</v>
      </c>
      <c r="AO178" s="15">
        <v>-72399.69</v>
      </c>
      <c r="AP178" s="34"/>
      <c r="AQ178" s="34">
        <v>-11.03</v>
      </c>
      <c r="AR178" s="455">
        <v>1</v>
      </c>
    </row>
    <row r="179" spans="1:44" x14ac:dyDescent="0.25">
      <c r="A179" s="356">
        <v>5693</v>
      </c>
      <c r="B179" s="348" t="s">
        <v>454</v>
      </c>
      <c r="C179" s="348">
        <v>4086576.9</v>
      </c>
      <c r="D179" s="348">
        <v>438376.17</v>
      </c>
      <c r="E179" s="348"/>
      <c r="F179" s="348"/>
      <c r="G179" s="348">
        <v>118874.3</v>
      </c>
      <c r="H179" s="348">
        <v>1427.45</v>
      </c>
      <c r="I179" s="348"/>
      <c r="J179" s="348">
        <v>58959.23</v>
      </c>
      <c r="K179" s="348">
        <v>5044.8</v>
      </c>
      <c r="L179" s="348">
        <v>373325.5</v>
      </c>
      <c r="M179" s="349">
        <f t="shared" si="6"/>
        <v>5082584.3500000006</v>
      </c>
      <c r="N179" s="368">
        <v>38276.35</v>
      </c>
      <c r="O179" s="368">
        <v>7264.5</v>
      </c>
      <c r="P179" s="368">
        <v>172004.1</v>
      </c>
      <c r="Q179" s="368">
        <v>26974.77</v>
      </c>
      <c r="R179" s="368">
        <v>137428.95000000001</v>
      </c>
      <c r="S179" s="368">
        <v>650</v>
      </c>
      <c r="T179" s="368">
        <v>7467.6</v>
      </c>
      <c r="U179" s="368">
        <v>15030</v>
      </c>
      <c r="V179" s="368"/>
      <c r="W179" s="368"/>
      <c r="X179" s="349">
        <f t="shared" si="7"/>
        <v>5487680.6199999992</v>
      </c>
      <c r="Y179" s="34">
        <v>108158</v>
      </c>
      <c r="Z179" s="353"/>
      <c r="AA179" s="34">
        <v>462933.8</v>
      </c>
      <c r="AB179" s="353"/>
      <c r="AC179" s="34">
        <v>284970.25</v>
      </c>
      <c r="AD179" s="353">
        <v>43133</v>
      </c>
      <c r="AE179" s="34"/>
      <c r="AF179" s="353"/>
      <c r="AG179" s="34"/>
      <c r="AH179" s="353">
        <v>59107.7</v>
      </c>
      <c r="AI179" s="34"/>
      <c r="AJ179" s="353"/>
      <c r="AK179" s="34"/>
      <c r="AL179" s="364">
        <f t="shared" si="8"/>
        <v>958302.75</v>
      </c>
      <c r="AM179" s="17">
        <f>VLOOKUP(B179,'[1]2018'!$A$7:$F$349,6,FALSE)</f>
        <v>72</v>
      </c>
      <c r="AN179" s="32">
        <f>VLOOKUP(A179,'[2]2018 (2)'!$B$1:$D$318,3,FALSE)</f>
        <v>2685</v>
      </c>
      <c r="AO179" s="15">
        <v>-74573.210000000006</v>
      </c>
      <c r="AP179" s="34"/>
      <c r="AQ179" s="34">
        <v>-33.36</v>
      </c>
      <c r="AR179" s="455">
        <v>1</v>
      </c>
    </row>
    <row r="180" spans="1:44" x14ac:dyDescent="0.25">
      <c r="A180" s="356">
        <v>5701</v>
      </c>
      <c r="B180" s="348" t="s">
        <v>115</v>
      </c>
      <c r="C180" s="348">
        <v>681109.98</v>
      </c>
      <c r="D180" s="348">
        <v>132993.48000000001</v>
      </c>
      <c r="E180" s="348"/>
      <c r="F180" s="348"/>
      <c r="G180" s="348">
        <v>8568.4</v>
      </c>
      <c r="H180" s="348">
        <v>91.15</v>
      </c>
      <c r="I180" s="348">
        <v>51008</v>
      </c>
      <c r="J180" s="348">
        <v>7767.55</v>
      </c>
      <c r="K180" s="348">
        <v>317.5</v>
      </c>
      <c r="L180" s="348">
        <v>70169</v>
      </c>
      <c r="M180" s="349">
        <f t="shared" si="6"/>
        <v>952025.06</v>
      </c>
      <c r="N180" s="368"/>
      <c r="O180" s="368">
        <v>9398.2000000000007</v>
      </c>
      <c r="P180" s="368">
        <v>72568.800000000003</v>
      </c>
      <c r="Q180" s="368"/>
      <c r="R180" s="368">
        <v>67704.899999999994</v>
      </c>
      <c r="S180" s="368"/>
      <c r="T180" s="368"/>
      <c r="U180" s="368">
        <v>850</v>
      </c>
      <c r="V180" s="368"/>
      <c r="W180" s="368"/>
      <c r="X180" s="349">
        <f t="shared" si="7"/>
        <v>1102546.96</v>
      </c>
      <c r="Y180" s="34">
        <v>15710.55</v>
      </c>
      <c r="Z180" s="353"/>
      <c r="AA180" s="34">
        <v>23408.87</v>
      </c>
      <c r="AB180" s="353"/>
      <c r="AC180" s="34">
        <v>15780</v>
      </c>
      <c r="AD180" s="353">
        <v>350</v>
      </c>
      <c r="AE180" s="34"/>
      <c r="AF180" s="353"/>
      <c r="AG180" s="34">
        <v>246</v>
      </c>
      <c r="AH180" s="353"/>
      <c r="AI180" s="34"/>
      <c r="AJ180" s="353"/>
      <c r="AK180" s="34"/>
      <c r="AL180" s="364">
        <f t="shared" si="8"/>
        <v>55495.42</v>
      </c>
      <c r="AM180" s="17">
        <f>VLOOKUP(B180,'[1]2018'!$A$7:$F$349,6,FALSE)</f>
        <v>70</v>
      </c>
      <c r="AN180" s="32">
        <f>VLOOKUP(A180,'[2]2018 (2)'!$B$1:$D$318,3,FALSE)</f>
        <v>235</v>
      </c>
      <c r="AO180" s="15">
        <v>-6752.27</v>
      </c>
      <c r="AP180" s="34"/>
      <c r="AQ180" s="34">
        <v>-126.92</v>
      </c>
      <c r="AR180" s="455">
        <v>1</v>
      </c>
    </row>
    <row r="181" spans="1:44" x14ac:dyDescent="0.25">
      <c r="A181" s="356">
        <v>5702</v>
      </c>
      <c r="B181" s="348" t="s">
        <v>453</v>
      </c>
      <c r="C181" s="348">
        <v>8093375.4000000004</v>
      </c>
      <c r="D181" s="348">
        <v>1842567.56</v>
      </c>
      <c r="E181" s="348"/>
      <c r="F181" s="348"/>
      <c r="G181" s="348">
        <v>-8829.6500000000106</v>
      </c>
      <c r="H181" s="348">
        <v>19425.599999999999</v>
      </c>
      <c r="I181" s="348">
        <v>439409</v>
      </c>
      <c r="J181" s="348">
        <v>145421.81</v>
      </c>
      <c r="K181" s="348">
        <v>12669.95</v>
      </c>
      <c r="L181" s="348">
        <v>1143463.25</v>
      </c>
      <c r="M181" s="349">
        <f t="shared" si="6"/>
        <v>11687502.92</v>
      </c>
      <c r="N181" s="368">
        <v>66724</v>
      </c>
      <c r="O181" s="368">
        <v>331.8</v>
      </c>
      <c r="P181" s="368">
        <v>853481.65</v>
      </c>
      <c r="Q181" s="368">
        <v>5512.05</v>
      </c>
      <c r="R181" s="368">
        <v>455841.45</v>
      </c>
      <c r="S181" s="368"/>
      <c r="T181" s="368"/>
      <c r="U181" s="368">
        <v>23940</v>
      </c>
      <c r="V181" s="368"/>
      <c r="W181" s="368"/>
      <c r="X181" s="349">
        <f t="shared" si="7"/>
        <v>13093333.870000001</v>
      </c>
      <c r="Y181" s="34">
        <v>270073.59999999998</v>
      </c>
      <c r="Z181" s="353">
        <v>0</v>
      </c>
      <c r="AA181" s="34">
        <v>256107.65</v>
      </c>
      <c r="AB181" s="353">
        <v>0</v>
      </c>
      <c r="AC181" s="34">
        <v>280825.90000000002</v>
      </c>
      <c r="AD181" s="353">
        <v>534387.19999999995</v>
      </c>
      <c r="AE181" s="34">
        <v>0</v>
      </c>
      <c r="AF181" s="353">
        <v>0</v>
      </c>
      <c r="AG181" s="34">
        <v>32047.75</v>
      </c>
      <c r="AH181" s="353">
        <v>0</v>
      </c>
      <c r="AI181" s="34">
        <v>0</v>
      </c>
      <c r="AJ181" s="353">
        <v>0</v>
      </c>
      <c r="AK181" s="34">
        <v>0</v>
      </c>
      <c r="AL181" s="364">
        <f t="shared" si="8"/>
        <v>1373442.1</v>
      </c>
      <c r="AM181" s="17">
        <v>64</v>
      </c>
      <c r="AN181" s="32">
        <f>VLOOKUP(A181,'[2]2018 (2)'!$B$1:$D$318,3,FALSE)</f>
        <v>2697</v>
      </c>
      <c r="AO181" s="15">
        <v>-31383.75</v>
      </c>
      <c r="AP181" s="34"/>
      <c r="AQ181" s="34">
        <v>-11858.01</v>
      </c>
      <c r="AR181" s="455">
        <v>1.5</v>
      </c>
    </row>
    <row r="182" spans="1:44" x14ac:dyDescent="0.25">
      <c r="A182" s="356">
        <v>5703</v>
      </c>
      <c r="B182" s="348" t="s">
        <v>116</v>
      </c>
      <c r="C182" s="348">
        <v>3359316.39</v>
      </c>
      <c r="D182" s="348">
        <v>375269.98</v>
      </c>
      <c r="E182" s="348"/>
      <c r="F182" s="348"/>
      <c r="G182" s="348">
        <v>-6282.4</v>
      </c>
      <c r="H182" s="348">
        <v>675</v>
      </c>
      <c r="I182" s="348">
        <v>32655.599999999999</v>
      </c>
      <c r="J182" s="348">
        <v>56313.73</v>
      </c>
      <c r="K182" s="348">
        <v>809.05</v>
      </c>
      <c r="L182" s="348">
        <v>429729.2</v>
      </c>
      <c r="M182" s="349">
        <f t="shared" si="6"/>
        <v>4248486.55</v>
      </c>
      <c r="N182" s="368">
        <v>26060.7</v>
      </c>
      <c r="O182" s="368">
        <v>92760.4</v>
      </c>
      <c r="P182" s="368">
        <v>163031.54999999999</v>
      </c>
      <c r="Q182" s="368">
        <v>480.08</v>
      </c>
      <c r="R182" s="368">
        <v>122432.1</v>
      </c>
      <c r="S182" s="368"/>
      <c r="T182" s="368"/>
      <c r="U182" s="368">
        <v>11025</v>
      </c>
      <c r="V182" s="368"/>
      <c r="W182" s="368"/>
      <c r="X182" s="349">
        <f t="shared" si="7"/>
        <v>4664276.38</v>
      </c>
      <c r="Y182" s="34">
        <v>65927.05</v>
      </c>
      <c r="Z182" s="353"/>
      <c r="AA182" s="34">
        <v>153692.6</v>
      </c>
      <c r="AB182" s="353"/>
      <c r="AC182" s="34">
        <v>97101.25</v>
      </c>
      <c r="AD182" s="353">
        <v>46314.35</v>
      </c>
      <c r="AE182" s="34"/>
      <c r="AF182" s="353"/>
      <c r="AG182" s="34"/>
      <c r="AH182" s="353"/>
      <c r="AI182" s="34"/>
      <c r="AJ182" s="353"/>
      <c r="AK182" s="34"/>
      <c r="AL182" s="364">
        <f t="shared" si="8"/>
        <v>363035.25</v>
      </c>
      <c r="AM182" s="17">
        <f>VLOOKUP(B182,'[1]2018'!$A$7:$F$349,6,FALSE)</f>
        <v>74</v>
      </c>
      <c r="AN182" s="32">
        <f>VLOOKUP(A182,'[2]2018 (2)'!$B$1:$D$318,3,FALSE)</f>
        <v>1347</v>
      </c>
      <c r="AO182" s="15">
        <v>-37679.410000000003</v>
      </c>
      <c r="AP182" s="34"/>
      <c r="AQ182" s="34">
        <v>-360.24</v>
      </c>
      <c r="AR182" s="455">
        <v>1.4</v>
      </c>
    </row>
    <row r="183" spans="1:44" x14ac:dyDescent="0.25">
      <c r="A183" s="356">
        <v>5704</v>
      </c>
      <c r="B183" s="348" t="s">
        <v>226</v>
      </c>
      <c r="C183" s="348">
        <v>5038826.78</v>
      </c>
      <c r="D183" s="348">
        <v>1666193.98</v>
      </c>
      <c r="E183" s="348"/>
      <c r="F183" s="348"/>
      <c r="G183" s="348">
        <v>205331.8</v>
      </c>
      <c r="H183" s="348">
        <v>7189.65</v>
      </c>
      <c r="I183" s="348">
        <v>337456.3</v>
      </c>
      <c r="J183" s="348">
        <v>210135.65</v>
      </c>
      <c r="K183" s="348">
        <v>15474.5</v>
      </c>
      <c r="L183" s="348">
        <v>752069.45</v>
      </c>
      <c r="M183" s="349">
        <f t="shared" si="6"/>
        <v>8232678.1100000003</v>
      </c>
      <c r="N183" s="368">
        <v>54589</v>
      </c>
      <c r="O183" s="368">
        <v>275968</v>
      </c>
      <c r="P183" s="368">
        <v>279123.8</v>
      </c>
      <c r="Q183" s="368">
        <v>70451</v>
      </c>
      <c r="R183" s="368">
        <v>649814</v>
      </c>
      <c r="S183" s="368"/>
      <c r="T183" s="368"/>
      <c r="U183" s="368">
        <v>10300</v>
      </c>
      <c r="V183" s="368"/>
      <c r="W183" s="368"/>
      <c r="X183" s="349">
        <f t="shared" si="7"/>
        <v>9572923.9100000001</v>
      </c>
      <c r="Y183" s="34">
        <v>1388</v>
      </c>
      <c r="Z183" s="353"/>
      <c r="AA183" s="34">
        <v>177833</v>
      </c>
      <c r="AB183" s="353"/>
      <c r="AC183" s="34">
        <v>125261</v>
      </c>
      <c r="AD183" s="353">
        <v>1807</v>
      </c>
      <c r="AE183" s="34"/>
      <c r="AF183" s="353"/>
      <c r="AG183" s="34">
        <v>10500</v>
      </c>
      <c r="AH183" s="353">
        <v>48638</v>
      </c>
      <c r="AI183" s="34">
        <v>27792</v>
      </c>
      <c r="AJ183" s="353"/>
      <c r="AK183" s="34"/>
      <c r="AL183" s="364">
        <f t="shared" si="8"/>
        <v>393219</v>
      </c>
      <c r="AM183" s="17">
        <f>VLOOKUP(B183,'[1]2018'!$A$7:$F$349,6,FALSE)</f>
        <v>64</v>
      </c>
      <c r="AN183" s="32">
        <f>VLOOKUP(A183,'[2]2018 (2)'!$B$1:$D$318,3,FALSE)</f>
        <v>1952</v>
      </c>
      <c r="AO183" s="15">
        <v>-119191.06</v>
      </c>
      <c r="AP183" s="34"/>
      <c r="AQ183" s="34">
        <v>-6048.49</v>
      </c>
      <c r="AR183" s="455">
        <v>1.5</v>
      </c>
    </row>
    <row r="184" spans="1:44" x14ac:dyDescent="0.25">
      <c r="A184" s="356">
        <v>5705</v>
      </c>
      <c r="B184" s="348" t="s">
        <v>227</v>
      </c>
      <c r="C184" s="348">
        <v>2803585.53</v>
      </c>
      <c r="D184" s="348">
        <v>448770.36</v>
      </c>
      <c r="E184" s="348"/>
      <c r="F184" s="348"/>
      <c r="G184" s="348">
        <v>9351.7000000000007</v>
      </c>
      <c r="H184" s="348">
        <v>840.25</v>
      </c>
      <c r="I184" s="348">
        <v>28892.25</v>
      </c>
      <c r="J184" s="348">
        <v>-53624.73</v>
      </c>
      <c r="K184" s="348">
        <v>7025.25</v>
      </c>
      <c r="L184" s="348">
        <v>219093.65</v>
      </c>
      <c r="M184" s="349">
        <f t="shared" si="6"/>
        <v>3463934.26</v>
      </c>
      <c r="N184" s="368">
        <v>29452.400000000001</v>
      </c>
      <c r="O184" s="368">
        <v>10503.3</v>
      </c>
      <c r="P184" s="368">
        <v>187796.2</v>
      </c>
      <c r="Q184" s="368"/>
      <c r="R184" s="368">
        <v>135719.29999999999</v>
      </c>
      <c r="S184" s="368"/>
      <c r="T184" s="368"/>
      <c r="U184" s="368">
        <v>1815</v>
      </c>
      <c r="V184" s="368"/>
      <c r="W184" s="368"/>
      <c r="X184" s="349">
        <f t="shared" si="7"/>
        <v>3829220.4599999995</v>
      </c>
      <c r="Y184" s="34" t="s">
        <v>649</v>
      </c>
      <c r="Z184" s="34" t="s">
        <v>649</v>
      </c>
      <c r="AA184" s="34" t="s">
        <v>649</v>
      </c>
      <c r="AB184" s="34" t="s">
        <v>649</v>
      </c>
      <c r="AC184" s="34">
        <v>59436.75</v>
      </c>
      <c r="AD184" s="34" t="s">
        <v>649</v>
      </c>
      <c r="AE184" s="34" t="s">
        <v>649</v>
      </c>
      <c r="AF184" s="34" t="s">
        <v>649</v>
      </c>
      <c r="AG184" s="34">
        <v>47117.1</v>
      </c>
      <c r="AH184" s="34">
        <v>39376.15</v>
      </c>
      <c r="AI184" s="34"/>
      <c r="AJ184" s="34"/>
      <c r="AK184" s="34"/>
      <c r="AL184" s="364">
        <f t="shared" si="8"/>
        <v>145930</v>
      </c>
      <c r="AM184" s="17">
        <f>VLOOKUP(B184,'[1]2018'!$A$7:$F$349,6,FALSE)</f>
        <v>70</v>
      </c>
      <c r="AN184" s="32">
        <f>VLOOKUP(A184,'[2]2018 (2)'!$B$1:$D$318,3,FALSE)</f>
        <v>867</v>
      </c>
      <c r="AO184" s="15">
        <v>-2199.0500000000002</v>
      </c>
      <c r="AP184" s="34"/>
      <c r="AQ184" s="34">
        <v>-3385.74</v>
      </c>
      <c r="AR184" s="455">
        <v>1</v>
      </c>
    </row>
    <row r="185" spans="1:44" x14ac:dyDescent="0.25">
      <c r="A185" s="356">
        <v>5706</v>
      </c>
      <c r="B185" s="348" t="s">
        <v>228</v>
      </c>
      <c r="C185" s="348">
        <v>3147550.04</v>
      </c>
      <c r="D185" s="348">
        <v>646311.06999999995</v>
      </c>
      <c r="E185" s="348"/>
      <c r="F185" s="348"/>
      <c r="G185" s="348">
        <v>19539.25</v>
      </c>
      <c r="H185" s="348">
        <v>234.9</v>
      </c>
      <c r="I185" s="348">
        <v>4648.2</v>
      </c>
      <c r="J185" s="348">
        <v>45392.639999999999</v>
      </c>
      <c r="K185" s="348">
        <v>3045.8</v>
      </c>
      <c r="L185" s="348">
        <v>384733.45</v>
      </c>
      <c r="M185" s="349">
        <f t="shared" si="6"/>
        <v>4251455.3499999996</v>
      </c>
      <c r="N185" s="368">
        <v>11748.1</v>
      </c>
      <c r="O185" s="368"/>
      <c r="P185" s="368">
        <v>125385.4</v>
      </c>
      <c r="Q185" s="368">
        <v>4438.34</v>
      </c>
      <c r="R185" s="368">
        <v>142766.79999999999</v>
      </c>
      <c r="S185" s="368">
        <v>80</v>
      </c>
      <c r="T185" s="368"/>
      <c r="U185" s="368">
        <v>4550</v>
      </c>
      <c r="V185" s="368"/>
      <c r="W185" s="368"/>
      <c r="X185" s="349">
        <f t="shared" si="7"/>
        <v>4540423.9899999993</v>
      </c>
      <c r="Y185" s="34">
        <v>14836</v>
      </c>
      <c r="Z185" s="353"/>
      <c r="AA185" s="34">
        <v>159798.69</v>
      </c>
      <c r="AB185" s="353"/>
      <c r="AC185" s="34">
        <v>89659.15</v>
      </c>
      <c r="AD185" s="353"/>
      <c r="AE185" s="34"/>
      <c r="AF185" s="353"/>
      <c r="AG185" s="34">
        <v>124</v>
      </c>
      <c r="AH185" s="353">
        <v>31700.5</v>
      </c>
      <c r="AI185" s="34"/>
      <c r="AJ185" s="353"/>
      <c r="AK185" s="34"/>
      <c r="AL185" s="364">
        <f t="shared" si="8"/>
        <v>296118.33999999997</v>
      </c>
      <c r="AM185" s="17">
        <f>VLOOKUP(B185,'[1]2018'!$A$7:$F$349,6,FALSE)</f>
        <v>58</v>
      </c>
      <c r="AN185" s="32">
        <f>VLOOKUP(A185,'[2]2018 (2)'!$B$1:$D$318,3,FALSE)</f>
        <v>1140</v>
      </c>
      <c r="AO185" s="15">
        <v>-9397.85</v>
      </c>
      <c r="AP185" s="34"/>
      <c r="AQ185" s="34">
        <v>-2105.15</v>
      </c>
      <c r="AR185" s="455">
        <v>1.5</v>
      </c>
    </row>
    <row r="186" spans="1:44" x14ac:dyDescent="0.25">
      <c r="A186" s="356">
        <v>5707</v>
      </c>
      <c r="B186" s="348" t="s">
        <v>229</v>
      </c>
      <c r="C186" s="348">
        <v>2953912.08</v>
      </c>
      <c r="D186" s="348">
        <v>610880.14</v>
      </c>
      <c r="E186" s="348"/>
      <c r="F186" s="348"/>
      <c r="G186" s="348">
        <v>370387.6</v>
      </c>
      <c r="H186" s="348">
        <v>10793.55</v>
      </c>
      <c r="I186" s="348">
        <v>77243.149999999994</v>
      </c>
      <c r="J186" s="348">
        <v>45640.66</v>
      </c>
      <c r="K186" s="348">
        <v>58171.199999999997</v>
      </c>
      <c r="L186" s="348">
        <v>696199.6</v>
      </c>
      <c r="M186" s="349">
        <f t="shared" si="6"/>
        <v>4823227.9800000004</v>
      </c>
      <c r="N186" s="368">
        <v>711866.65</v>
      </c>
      <c r="O186" s="368"/>
      <c r="P186" s="368">
        <v>266950.3</v>
      </c>
      <c r="Q186" s="368">
        <v>6532.38</v>
      </c>
      <c r="R186" s="368">
        <v>186449.3</v>
      </c>
      <c r="S186" s="368"/>
      <c r="T186" s="368"/>
      <c r="U186" s="368">
        <v>4775</v>
      </c>
      <c r="V186" s="368"/>
      <c r="W186" s="368"/>
      <c r="X186" s="349">
        <f t="shared" si="7"/>
        <v>5999801.6100000003</v>
      </c>
      <c r="Y186" s="34" t="s">
        <v>649</v>
      </c>
      <c r="Z186" s="34" t="s">
        <v>649</v>
      </c>
      <c r="AA186" s="34" t="s">
        <v>649</v>
      </c>
      <c r="AB186" s="34" t="s">
        <v>649</v>
      </c>
      <c r="AC186" s="34">
        <v>137003.29999999999</v>
      </c>
      <c r="AD186" s="34" t="s">
        <v>649</v>
      </c>
      <c r="AE186" s="34" t="s">
        <v>649</v>
      </c>
      <c r="AF186" s="34" t="s">
        <v>649</v>
      </c>
      <c r="AG186" s="34">
        <v>168663</v>
      </c>
      <c r="AH186" s="34">
        <v>101986.35</v>
      </c>
      <c r="AI186" s="34"/>
      <c r="AJ186" s="34"/>
      <c r="AK186" s="34"/>
      <c r="AL186" s="364">
        <f t="shared" si="8"/>
        <v>407652.65</v>
      </c>
      <c r="AM186" s="17">
        <f>VLOOKUP(B186,'[1]2018'!$A$7:$F$349,6,FALSE)</f>
        <v>59</v>
      </c>
      <c r="AN186" s="32">
        <f>VLOOKUP(A186,'[2]2018 (2)'!$B$1:$D$318,3,FALSE)</f>
        <v>1281</v>
      </c>
      <c r="AO186" s="15">
        <v>-12271.63</v>
      </c>
      <c r="AP186" s="34"/>
      <c r="AQ186" s="34">
        <v>-869.31</v>
      </c>
      <c r="AR186" s="455">
        <v>1.5</v>
      </c>
    </row>
    <row r="187" spans="1:44" x14ac:dyDescent="0.25">
      <c r="A187" s="356">
        <v>5708</v>
      </c>
      <c r="B187" s="348" t="s">
        <v>230</v>
      </c>
      <c r="C187" s="348">
        <v>2734890.04</v>
      </c>
      <c r="D187" s="348">
        <v>306865.74</v>
      </c>
      <c r="E187" s="348"/>
      <c r="F187" s="348"/>
      <c r="G187" s="348">
        <v>16159.35</v>
      </c>
      <c r="H187" s="348">
        <v>5828.45</v>
      </c>
      <c r="I187" s="348">
        <v>86758.2</v>
      </c>
      <c r="J187" s="348">
        <v>175055.86</v>
      </c>
      <c r="K187" s="348">
        <v>14284.65</v>
      </c>
      <c r="L187" s="348">
        <v>395077.15</v>
      </c>
      <c r="M187" s="349">
        <f t="shared" si="6"/>
        <v>3734919.4400000004</v>
      </c>
      <c r="N187" s="368">
        <v>1605.75</v>
      </c>
      <c r="O187" s="368"/>
      <c r="P187" s="368">
        <v>226630.85</v>
      </c>
      <c r="Q187" s="368"/>
      <c r="R187" s="368">
        <v>115434.65</v>
      </c>
      <c r="S187" s="368"/>
      <c r="T187" s="368"/>
      <c r="U187" s="368">
        <v>2220</v>
      </c>
      <c r="V187" s="368"/>
      <c r="W187" s="368"/>
      <c r="X187" s="349">
        <f t="shared" si="7"/>
        <v>4080810.6900000004</v>
      </c>
      <c r="Y187" s="34"/>
      <c r="Z187" s="353"/>
      <c r="AA187" s="34"/>
      <c r="AB187" s="353"/>
      <c r="AC187" s="34">
        <v>108958.65</v>
      </c>
      <c r="AD187" s="353"/>
      <c r="AE187" s="34"/>
      <c r="AF187" s="353"/>
      <c r="AG187" s="34"/>
      <c r="AH187" s="353"/>
      <c r="AI187" s="34"/>
      <c r="AJ187" s="353"/>
      <c r="AK187" s="34"/>
      <c r="AL187" s="364">
        <f t="shared" si="8"/>
        <v>108958.65</v>
      </c>
      <c r="AM187" s="17">
        <f>VLOOKUP(B187,'[1]2018'!$A$7:$F$349,6,FALSE)</f>
        <v>63</v>
      </c>
      <c r="AN187" s="32">
        <f>VLOOKUP(A187,'[2]2018 (2)'!$B$1:$D$318,3,FALSE)</f>
        <v>964</v>
      </c>
      <c r="AO187" s="15">
        <v>-8448.23</v>
      </c>
      <c r="AP187" s="34"/>
      <c r="AQ187" s="34">
        <v>-1209.3800000000001</v>
      </c>
      <c r="AR187" s="455">
        <v>1.5</v>
      </c>
    </row>
    <row r="188" spans="1:44" x14ac:dyDescent="0.25">
      <c r="A188" s="356">
        <v>5709</v>
      </c>
      <c r="B188" s="348" t="s">
        <v>231</v>
      </c>
      <c r="C188" s="348">
        <v>4221803.46</v>
      </c>
      <c r="D188" s="348">
        <v>725475.28</v>
      </c>
      <c r="E188" s="348"/>
      <c r="F188" s="348"/>
      <c r="G188" s="348">
        <v>327476.3</v>
      </c>
      <c r="H188" s="348">
        <v>10274.15</v>
      </c>
      <c r="I188" s="348">
        <v>505157.95</v>
      </c>
      <c r="J188" s="348">
        <v>110333.97</v>
      </c>
      <c r="K188" s="348">
        <v>3009.2</v>
      </c>
      <c r="L188" s="348">
        <v>340100.1</v>
      </c>
      <c r="M188" s="349">
        <f t="shared" si="6"/>
        <v>6243630.4100000001</v>
      </c>
      <c r="N188" s="368">
        <v>51557.85</v>
      </c>
      <c r="O188" s="368"/>
      <c r="P188" s="368">
        <v>115247</v>
      </c>
      <c r="Q188" s="368">
        <v>49327.51</v>
      </c>
      <c r="R188" s="368">
        <v>238286.9</v>
      </c>
      <c r="S188" s="368">
        <v>475</v>
      </c>
      <c r="T188" s="368">
        <v>2424.0500000000002</v>
      </c>
      <c r="U188" s="368">
        <v>10950</v>
      </c>
      <c r="V188" s="368"/>
      <c r="W188" s="368"/>
      <c r="X188" s="349">
        <f t="shared" si="7"/>
        <v>6711898.7199999997</v>
      </c>
      <c r="Y188" s="34">
        <v>73274.850000000006</v>
      </c>
      <c r="Z188" s="353">
        <v>9079.4</v>
      </c>
      <c r="AA188" s="34">
        <v>44158.35</v>
      </c>
      <c r="AB188" s="353"/>
      <c r="AC188" s="34">
        <v>141676.5</v>
      </c>
      <c r="AD188" s="353"/>
      <c r="AE188" s="34"/>
      <c r="AF188" s="353"/>
      <c r="AG188" s="34">
        <v>13584</v>
      </c>
      <c r="AH188" s="353"/>
      <c r="AI188" s="34"/>
      <c r="AJ188" s="353"/>
      <c r="AK188" s="34"/>
      <c r="AL188" s="364">
        <f t="shared" si="8"/>
        <v>281773.09999999998</v>
      </c>
      <c r="AM188" s="17">
        <f>VLOOKUP(B188,'[1]2018'!$A$7:$F$349,6,FALSE)</f>
        <v>57</v>
      </c>
      <c r="AN188" s="32">
        <f>VLOOKUP(A188,'[2]2018 (2)'!$B$1:$D$318,3,FALSE)</f>
        <v>1227</v>
      </c>
      <c r="AO188" s="15">
        <v>-94721.98</v>
      </c>
      <c r="AP188" s="34"/>
      <c r="AQ188" s="34">
        <v>-1095.52</v>
      </c>
      <c r="AR188" s="455">
        <v>1</v>
      </c>
    </row>
    <row r="189" spans="1:44" x14ac:dyDescent="0.25">
      <c r="A189" s="356">
        <v>5710</v>
      </c>
      <c r="B189" s="348" t="s">
        <v>232</v>
      </c>
      <c r="C189" s="348">
        <v>2223869.9500000002</v>
      </c>
      <c r="D189" s="348">
        <v>285726.65999999997</v>
      </c>
      <c r="E189" s="348"/>
      <c r="F189" s="348"/>
      <c r="G189" s="348">
        <v>1342799.55</v>
      </c>
      <c r="H189" s="348">
        <v>2203967.0499999998</v>
      </c>
      <c r="I189" s="348">
        <v>110957.8</v>
      </c>
      <c r="J189" s="348">
        <v>50415.31</v>
      </c>
      <c r="K189" s="348">
        <v>8857.0499999999993</v>
      </c>
      <c r="L189" s="348">
        <v>127659.6</v>
      </c>
      <c r="M189" s="349">
        <f t="shared" si="6"/>
        <v>6354252.9699999988</v>
      </c>
      <c r="N189" s="368">
        <v>87982.2</v>
      </c>
      <c r="O189" s="368">
        <v>53318.400000000001</v>
      </c>
      <c r="P189" s="368">
        <v>14684.75</v>
      </c>
      <c r="Q189" s="368">
        <v>2685.93</v>
      </c>
      <c r="R189" s="368"/>
      <c r="S189" s="368"/>
      <c r="T189" s="368"/>
      <c r="U189" s="368"/>
      <c r="V189" s="368"/>
      <c r="W189" s="368"/>
      <c r="X189" s="349">
        <f t="shared" si="7"/>
        <v>6512924.2499999991</v>
      </c>
      <c r="Y189" s="34">
        <v>4298.1499999999996</v>
      </c>
      <c r="Z189" s="353"/>
      <c r="AA189" s="34">
        <v>73622.850000000006</v>
      </c>
      <c r="AB189" s="353"/>
      <c r="AC189" s="34">
        <v>31070</v>
      </c>
      <c r="AD189" s="353">
        <v>4298.1499999999996</v>
      </c>
      <c r="AE189" s="34"/>
      <c r="AF189" s="353"/>
      <c r="AG189" s="34">
        <v>10620</v>
      </c>
      <c r="AH189" s="353">
        <v>25101.48</v>
      </c>
      <c r="AI189" s="34"/>
      <c r="AJ189" s="353"/>
      <c r="AK189" s="34"/>
      <c r="AL189" s="364">
        <f t="shared" si="8"/>
        <v>149010.63</v>
      </c>
      <c r="AM189" s="17">
        <f>VLOOKUP(B189,'[1]2018'!$A$7:$F$349,6,FALSE)</f>
        <v>51</v>
      </c>
      <c r="AN189" s="32">
        <f>VLOOKUP(A189,'[2]2018 (2)'!$B$1:$D$318,3,FALSE)</f>
        <v>499</v>
      </c>
      <c r="AO189" s="15">
        <v>-6577.4</v>
      </c>
      <c r="AP189" s="34"/>
      <c r="AQ189" s="34">
        <v>-2026.88</v>
      </c>
      <c r="AR189" s="455">
        <v>1</v>
      </c>
    </row>
    <row r="190" spans="1:44" x14ac:dyDescent="0.25">
      <c r="A190" s="356">
        <v>5711</v>
      </c>
      <c r="B190" s="348" t="s">
        <v>233</v>
      </c>
      <c r="C190" s="348">
        <v>11949125.949999999</v>
      </c>
      <c r="D190" s="348">
        <v>2551790.9900000002</v>
      </c>
      <c r="E190" s="348"/>
      <c r="F190" s="348"/>
      <c r="G190" s="348">
        <v>75860.850000000006</v>
      </c>
      <c r="H190" s="348">
        <v>16009.75</v>
      </c>
      <c r="I190" s="348">
        <v>221369.65</v>
      </c>
      <c r="J190" s="348">
        <v>211220.59</v>
      </c>
      <c r="K190" s="348">
        <v>16027.15</v>
      </c>
      <c r="L190" s="348">
        <v>1131460.95</v>
      </c>
      <c r="M190" s="349">
        <f t="shared" si="6"/>
        <v>16172865.879999999</v>
      </c>
      <c r="N190" s="368">
        <v>38875.550000000003</v>
      </c>
      <c r="O190" s="368">
        <v>247013.4</v>
      </c>
      <c r="P190" s="368">
        <v>571311.75</v>
      </c>
      <c r="Q190" s="368">
        <v>-7742.29</v>
      </c>
      <c r="R190" s="368">
        <v>498530.35</v>
      </c>
      <c r="S190" s="368">
        <v>200</v>
      </c>
      <c r="T190" s="368"/>
      <c r="U190" s="368">
        <v>17150</v>
      </c>
      <c r="V190" s="368"/>
      <c r="W190" s="368"/>
      <c r="X190" s="349">
        <f t="shared" si="7"/>
        <v>17538204.640000001</v>
      </c>
      <c r="Y190" s="34"/>
      <c r="Z190" s="353"/>
      <c r="AA190" s="34"/>
      <c r="AB190" s="353"/>
      <c r="AC190" s="34">
        <v>383783</v>
      </c>
      <c r="AD190" s="353"/>
      <c r="AE190" s="34"/>
      <c r="AF190" s="353"/>
      <c r="AG190" s="34">
        <v>9070</v>
      </c>
      <c r="AH190" s="353"/>
      <c r="AI190" s="34"/>
      <c r="AJ190" s="353"/>
      <c r="AK190" s="34"/>
      <c r="AL190" s="364">
        <f t="shared" si="8"/>
        <v>392853</v>
      </c>
      <c r="AM190" s="17">
        <f>VLOOKUP(B190,'[1]2018'!$A$7:$F$349,6,FALSE)</f>
        <v>57</v>
      </c>
      <c r="AN190" s="32">
        <f>VLOOKUP(A190,'[2]2018 (2)'!$B$1:$D$318,3,FALSE)</f>
        <v>2877</v>
      </c>
      <c r="AO190" s="15">
        <v>-44573.37</v>
      </c>
      <c r="AP190" s="34"/>
      <c r="AQ190" s="34">
        <v>-6033.73</v>
      </c>
      <c r="AR190" s="455">
        <v>1.3</v>
      </c>
    </row>
    <row r="191" spans="1:44" x14ac:dyDescent="0.25">
      <c r="A191" s="356">
        <v>5712</v>
      </c>
      <c r="B191" s="348" t="s">
        <v>234</v>
      </c>
      <c r="C191" s="348">
        <v>11987505.33</v>
      </c>
      <c r="D191" s="348">
        <v>3465158.4</v>
      </c>
      <c r="E191" s="348"/>
      <c r="F191" s="348"/>
      <c r="G191" s="348">
        <v>268034.5</v>
      </c>
      <c r="H191" s="348">
        <v>38053.599999999999</v>
      </c>
      <c r="I191" s="348">
        <v>1104233.68</v>
      </c>
      <c r="J191" s="348">
        <v>89537.61</v>
      </c>
      <c r="K191" s="348">
        <v>32342.7</v>
      </c>
      <c r="L191" s="348">
        <v>1696199.7</v>
      </c>
      <c r="M191" s="349">
        <f t="shared" si="6"/>
        <v>18681065.52</v>
      </c>
      <c r="N191" s="368">
        <v>185740.55</v>
      </c>
      <c r="O191" s="368">
        <v>2468250</v>
      </c>
      <c r="P191" s="368">
        <v>858477.1</v>
      </c>
      <c r="Q191" s="368">
        <v>5805.66</v>
      </c>
      <c r="R191" s="368">
        <v>493091.6</v>
      </c>
      <c r="S191" s="368"/>
      <c r="T191" s="368"/>
      <c r="U191" s="368">
        <v>12375</v>
      </c>
      <c r="V191" s="368"/>
      <c r="W191" s="368"/>
      <c r="X191" s="349">
        <f t="shared" si="7"/>
        <v>22704805.430000003</v>
      </c>
      <c r="Y191" s="34"/>
      <c r="Z191" s="353"/>
      <c r="AA191" s="34"/>
      <c r="AB191" s="353"/>
      <c r="AC191" s="34">
        <v>496681.25</v>
      </c>
      <c r="AD191" s="353"/>
      <c r="AE191" s="34"/>
      <c r="AF191" s="353"/>
      <c r="AG191" s="34"/>
      <c r="AH191" s="353"/>
      <c r="AI191" s="34"/>
      <c r="AJ191" s="353"/>
      <c r="AK191" s="34"/>
      <c r="AL191" s="364">
        <f t="shared" si="8"/>
        <v>496681.25</v>
      </c>
      <c r="AM191" s="17">
        <f>VLOOKUP(B191,'[1]2018'!$A$7:$F$349,6,FALSE)</f>
        <v>53</v>
      </c>
      <c r="AN191" s="32">
        <f>VLOOKUP(A191,'[2]2018 (2)'!$B$1:$D$318,3,FALSE)</f>
        <v>3126</v>
      </c>
      <c r="AO191" s="15">
        <v>-83484.960000000006</v>
      </c>
      <c r="AP191" s="34"/>
      <c r="AQ191" s="34">
        <v>-22733.16</v>
      </c>
      <c r="AR191" s="455">
        <v>1.5</v>
      </c>
    </row>
    <row r="192" spans="1:44" x14ac:dyDescent="0.25">
      <c r="A192" s="356">
        <v>5713</v>
      </c>
      <c r="B192" s="348" t="s">
        <v>235</v>
      </c>
      <c r="C192" s="348">
        <v>8428804.1099999994</v>
      </c>
      <c r="D192" s="348">
        <v>3886284.26</v>
      </c>
      <c r="E192" s="348"/>
      <c r="F192" s="348"/>
      <c r="G192" s="348">
        <v>17243.099999999999</v>
      </c>
      <c r="H192" s="348">
        <v>6344.65</v>
      </c>
      <c r="I192" s="348">
        <v>1066433.3899999999</v>
      </c>
      <c r="J192" s="348">
        <v>388834.04</v>
      </c>
      <c r="K192" s="348">
        <v>6205.5</v>
      </c>
      <c r="L192" s="348">
        <v>804128.25</v>
      </c>
      <c r="M192" s="349">
        <f t="shared" si="6"/>
        <v>14604277.299999999</v>
      </c>
      <c r="N192" s="368">
        <v>36107.35</v>
      </c>
      <c r="O192" s="368"/>
      <c r="P192" s="368">
        <v>621777.19999999995</v>
      </c>
      <c r="Q192" s="368">
        <v>10767.32</v>
      </c>
      <c r="R192" s="368">
        <v>730021.3</v>
      </c>
      <c r="S192" s="368"/>
      <c r="T192" s="368"/>
      <c r="U192" s="368">
        <v>15350</v>
      </c>
      <c r="V192" s="368"/>
      <c r="W192" s="368"/>
      <c r="X192" s="349">
        <f t="shared" si="7"/>
        <v>16018300.469999999</v>
      </c>
      <c r="Y192" s="34">
        <v>251451.75</v>
      </c>
      <c r="Z192" s="353"/>
      <c r="AA192" s="34">
        <v>487105.28000000003</v>
      </c>
      <c r="AB192" s="353"/>
      <c r="AC192" s="34">
        <v>189472.03</v>
      </c>
      <c r="AD192" s="353"/>
      <c r="AE192" s="34"/>
      <c r="AF192" s="353"/>
      <c r="AG192" s="34">
        <v>10199.200000000001</v>
      </c>
      <c r="AH192" s="353">
        <v>79493.149999999994</v>
      </c>
      <c r="AI192" s="34"/>
      <c r="AJ192" s="353"/>
      <c r="AK192" s="34"/>
      <c r="AL192" s="364">
        <f t="shared" si="8"/>
        <v>1017721.41</v>
      </c>
      <c r="AM192" s="17">
        <f>VLOOKUP(B192,'[1]2018'!$A$7:$F$349,6,FALSE)</f>
        <v>53</v>
      </c>
      <c r="AN192" s="32">
        <f>VLOOKUP(A192,'[2]2018 (2)'!$B$1:$D$318,3,FALSE)</f>
        <v>2193</v>
      </c>
      <c r="AO192" s="15">
        <v>-132729.20000000001</v>
      </c>
      <c r="AP192" s="34"/>
      <c r="AQ192" s="34">
        <v>-5206.8500000000004</v>
      </c>
      <c r="AR192" s="455">
        <v>1</v>
      </c>
    </row>
    <row r="193" spans="1:44" x14ac:dyDescent="0.25">
      <c r="A193" s="356">
        <v>5714</v>
      </c>
      <c r="B193" s="348" t="s">
        <v>236</v>
      </c>
      <c r="C193" s="348">
        <v>3665495.58</v>
      </c>
      <c r="D193" s="348">
        <v>490370.28</v>
      </c>
      <c r="E193" s="348"/>
      <c r="F193" s="348"/>
      <c r="G193" s="348">
        <v>344662.8</v>
      </c>
      <c r="H193" s="348">
        <v>-236.35</v>
      </c>
      <c r="I193" s="348">
        <v>106396.26</v>
      </c>
      <c r="J193" s="348">
        <v>34035.050000000003</v>
      </c>
      <c r="K193" s="348">
        <v>5525.5</v>
      </c>
      <c r="L193" s="348">
        <v>271993.3</v>
      </c>
      <c r="M193" s="349">
        <f t="shared" si="6"/>
        <v>4918242.42</v>
      </c>
      <c r="N193" s="368">
        <v>86331.8</v>
      </c>
      <c r="O193" s="368"/>
      <c r="P193" s="368">
        <v>151786.45000000001</v>
      </c>
      <c r="Q193" s="368">
        <v>14308.46</v>
      </c>
      <c r="R193" s="368">
        <v>123400.25</v>
      </c>
      <c r="S193" s="368"/>
      <c r="T193" s="368">
        <v>1105.8</v>
      </c>
      <c r="U193" s="368">
        <v>4590</v>
      </c>
      <c r="V193" s="368"/>
      <c r="W193" s="368"/>
      <c r="X193" s="349">
        <f t="shared" si="7"/>
        <v>5299765.18</v>
      </c>
      <c r="Y193" s="34"/>
      <c r="Z193" s="353"/>
      <c r="AA193" s="34"/>
      <c r="AB193" s="353"/>
      <c r="AC193" s="34">
        <v>109330</v>
      </c>
      <c r="AD193" s="353"/>
      <c r="AE193" s="34"/>
      <c r="AF193" s="353"/>
      <c r="AG193" s="34">
        <v>2497</v>
      </c>
      <c r="AH193" s="353">
        <v>32722.85</v>
      </c>
      <c r="AI193" s="34"/>
      <c r="AJ193" s="353"/>
      <c r="AK193" s="34"/>
      <c r="AL193" s="364">
        <f t="shared" si="8"/>
        <v>144549.85</v>
      </c>
      <c r="AM193" s="17">
        <f>VLOOKUP(B193,'[1]2018'!$A$7:$F$349,6,FALSE)</f>
        <v>64</v>
      </c>
      <c r="AN193" s="32">
        <f>VLOOKUP(A193,'[2]2018 (2)'!$B$1:$D$318,3,FALSE)</f>
        <v>1175</v>
      </c>
      <c r="AO193" s="15">
        <v>-2896.78</v>
      </c>
      <c r="AP193" s="34"/>
      <c r="AQ193" s="34">
        <v>-1593.2</v>
      </c>
      <c r="AR193" s="455">
        <v>1</v>
      </c>
    </row>
    <row r="194" spans="1:44" x14ac:dyDescent="0.25">
      <c r="A194" s="356">
        <v>5715</v>
      </c>
      <c r="B194" s="348" t="s">
        <v>237</v>
      </c>
      <c r="C194" s="348">
        <v>4121384.33</v>
      </c>
      <c r="D194" s="348">
        <v>649190.18999999994</v>
      </c>
      <c r="E194" s="348"/>
      <c r="F194" s="348"/>
      <c r="G194" s="348">
        <v>-6357.8</v>
      </c>
      <c r="H194" s="348">
        <v>3409.3</v>
      </c>
      <c r="I194" s="348">
        <v>32824.75</v>
      </c>
      <c r="J194" s="348">
        <v>106227.66</v>
      </c>
      <c r="K194" s="348">
        <v>2815.5</v>
      </c>
      <c r="L194" s="348">
        <v>256360.15</v>
      </c>
      <c r="M194" s="349">
        <f t="shared" si="6"/>
        <v>5165854.08</v>
      </c>
      <c r="N194" s="368">
        <v>68196.2</v>
      </c>
      <c r="O194" s="368"/>
      <c r="P194" s="368">
        <v>336462.75</v>
      </c>
      <c r="Q194" s="368">
        <v>3941.24</v>
      </c>
      <c r="R194" s="368">
        <v>214314.8</v>
      </c>
      <c r="S194" s="368"/>
      <c r="T194" s="368"/>
      <c r="U194" s="368">
        <v>6550</v>
      </c>
      <c r="V194" s="368"/>
      <c r="W194" s="368"/>
      <c r="X194" s="349">
        <f t="shared" si="7"/>
        <v>5795319.0700000003</v>
      </c>
      <c r="Y194" s="34"/>
      <c r="Z194" s="353"/>
      <c r="AA194" s="34">
        <v>120058</v>
      </c>
      <c r="AB194" s="353"/>
      <c r="AC194" s="34">
        <v>91271</v>
      </c>
      <c r="AD194" s="353">
        <v>43989</v>
      </c>
      <c r="AE194" s="34"/>
      <c r="AF194" s="353"/>
      <c r="AG194" s="34">
        <v>12952</v>
      </c>
      <c r="AH194" s="353">
        <v>38755.25</v>
      </c>
      <c r="AI194" s="34"/>
      <c r="AJ194" s="353"/>
      <c r="AK194" s="34"/>
      <c r="AL194" s="364">
        <f t="shared" si="8"/>
        <v>307025.25</v>
      </c>
      <c r="AM194" s="17">
        <f>VLOOKUP(B194,'[1]2018'!$A$7:$F$349,6,FALSE)</f>
        <v>66</v>
      </c>
      <c r="AN194" s="32">
        <f>VLOOKUP(A194,'[2]2018 (2)'!$B$1:$D$318,3,FALSE)</f>
        <v>1085</v>
      </c>
      <c r="AO194" s="15">
        <v>-58013.81</v>
      </c>
      <c r="AP194" s="34"/>
      <c r="AQ194" s="34">
        <v>-594.6</v>
      </c>
      <c r="AR194" s="455">
        <v>1</v>
      </c>
    </row>
    <row r="195" spans="1:44" x14ac:dyDescent="0.25">
      <c r="A195" s="356">
        <v>5716</v>
      </c>
      <c r="B195" s="348" t="s">
        <v>238</v>
      </c>
      <c r="C195" s="348">
        <v>3831984.82</v>
      </c>
      <c r="D195" s="348">
        <v>473604.92</v>
      </c>
      <c r="E195" s="348"/>
      <c r="F195" s="348"/>
      <c r="G195" s="348">
        <v>5428632</v>
      </c>
      <c r="H195" s="348">
        <v>147245.9</v>
      </c>
      <c r="I195" s="348">
        <v>25107.85</v>
      </c>
      <c r="J195" s="348">
        <v>110611.58</v>
      </c>
      <c r="K195" s="348">
        <v>197869.5</v>
      </c>
      <c r="L195" s="348">
        <v>605535.44999999995</v>
      </c>
      <c r="M195" s="349">
        <f t="shared" ref="M195:M256" si="9">SUM(C195:L195)</f>
        <v>10820592.02</v>
      </c>
      <c r="N195" s="368">
        <v>679442.25</v>
      </c>
      <c r="O195" s="368">
        <v>16079.1</v>
      </c>
      <c r="P195" s="368">
        <v>436710.45</v>
      </c>
      <c r="Q195" s="368"/>
      <c r="R195" s="368">
        <v>31218.5</v>
      </c>
      <c r="S195" s="368"/>
      <c r="T195" s="368"/>
      <c r="U195" s="368">
        <v>6700</v>
      </c>
      <c r="V195" s="368"/>
      <c r="W195" s="368"/>
      <c r="X195" s="349">
        <f t="shared" si="7"/>
        <v>11990742.319999998</v>
      </c>
      <c r="Y195" s="34">
        <v>-97452.3</v>
      </c>
      <c r="Z195" s="34" t="s">
        <v>649</v>
      </c>
      <c r="AA195" s="34">
        <v>240743.71</v>
      </c>
      <c r="AB195" s="34" t="s">
        <v>649</v>
      </c>
      <c r="AC195" s="34">
        <v>113612.14</v>
      </c>
      <c r="AD195" s="34" t="s">
        <v>649</v>
      </c>
      <c r="AE195" s="34" t="s">
        <v>649</v>
      </c>
      <c r="AF195" s="34" t="s">
        <v>649</v>
      </c>
      <c r="AG195" s="34" t="s">
        <v>649</v>
      </c>
      <c r="AH195" s="34">
        <v>72100.649999999994</v>
      </c>
      <c r="AI195" s="34"/>
      <c r="AJ195" s="34"/>
      <c r="AK195" s="34"/>
      <c r="AL195" s="364">
        <f t="shared" si="8"/>
        <v>329004.19999999995</v>
      </c>
      <c r="AM195" s="17">
        <f>VLOOKUP(B195,'[1]2018'!$A$7:$F$349,6,FALSE)</f>
        <v>61</v>
      </c>
      <c r="AN195" s="32">
        <f>VLOOKUP(A195,'[2]2018 (2)'!$B$1:$D$318,3,FALSE)</f>
        <v>1618</v>
      </c>
      <c r="AO195" s="15">
        <v>-88294.3</v>
      </c>
      <c r="AP195" s="34"/>
      <c r="AQ195" s="34">
        <v>-1114.95</v>
      </c>
      <c r="AR195" s="455">
        <v>1</v>
      </c>
    </row>
    <row r="196" spans="1:44" x14ac:dyDescent="0.25">
      <c r="A196" s="356">
        <v>5717</v>
      </c>
      <c r="B196" s="348" t="s">
        <v>239</v>
      </c>
      <c r="C196" s="348">
        <v>14418866.91</v>
      </c>
      <c r="D196" s="348">
        <v>4072092.7</v>
      </c>
      <c r="E196" s="348"/>
      <c r="F196" s="348"/>
      <c r="G196" s="348">
        <v>467632.35</v>
      </c>
      <c r="H196" s="348">
        <v>26182.400000000001</v>
      </c>
      <c r="I196" s="348">
        <v>913524.5</v>
      </c>
      <c r="J196" s="348">
        <v>433261.74</v>
      </c>
      <c r="K196" s="348">
        <v>47633.5</v>
      </c>
      <c r="L196" s="348">
        <v>1257401.45</v>
      </c>
      <c r="M196" s="349">
        <f t="shared" si="9"/>
        <v>21636595.549999997</v>
      </c>
      <c r="N196" s="368">
        <v>249276.3</v>
      </c>
      <c r="O196" s="368">
        <v>5114.3999999999996</v>
      </c>
      <c r="P196" s="368">
        <v>734333.6</v>
      </c>
      <c r="Q196" s="368">
        <v>1272.4000000000001</v>
      </c>
      <c r="R196" s="368">
        <v>330130.15000000002</v>
      </c>
      <c r="S196" s="368"/>
      <c r="T196" s="368">
        <v>400</v>
      </c>
      <c r="U196" s="368">
        <v>19565</v>
      </c>
      <c r="V196" s="368"/>
      <c r="W196" s="368"/>
      <c r="X196" s="349">
        <f t="shared" si="7"/>
        <v>22976687.399999995</v>
      </c>
      <c r="Y196" s="34" t="s">
        <v>649</v>
      </c>
      <c r="Z196" s="34" t="s">
        <v>649</v>
      </c>
      <c r="AA196" s="34" t="s">
        <v>649</v>
      </c>
      <c r="AB196" s="34" t="s">
        <v>649</v>
      </c>
      <c r="AC196" s="34">
        <v>489803.49</v>
      </c>
      <c r="AD196" s="34" t="s">
        <v>649</v>
      </c>
      <c r="AE196" s="34" t="s">
        <v>649</v>
      </c>
      <c r="AF196" s="34" t="s">
        <v>649</v>
      </c>
      <c r="AG196" s="34">
        <v>3441</v>
      </c>
      <c r="AH196" s="34"/>
      <c r="AI196" s="34"/>
      <c r="AJ196" s="34"/>
      <c r="AK196" s="34"/>
      <c r="AL196" s="364">
        <f t="shared" si="8"/>
        <v>493244.49</v>
      </c>
      <c r="AM196" s="17">
        <f>VLOOKUP(B196,'[1]2018'!$A$7:$F$349,6,FALSE)</f>
        <v>57</v>
      </c>
      <c r="AN196" s="32">
        <f>VLOOKUP(A196,'[2]2018 (2)'!$B$1:$D$318,3,FALSE)</f>
        <v>3790</v>
      </c>
      <c r="AO196" s="15">
        <v>-137980.42000000001</v>
      </c>
      <c r="AP196" s="34">
        <v>-18432</v>
      </c>
      <c r="AQ196" s="34">
        <v>-49792.18</v>
      </c>
      <c r="AR196" s="455">
        <v>1</v>
      </c>
    </row>
    <row r="197" spans="1:44" x14ac:dyDescent="0.25">
      <c r="A197" s="356">
        <v>5718</v>
      </c>
      <c r="B197" s="348" t="s">
        <v>240</v>
      </c>
      <c r="C197" s="348">
        <v>6837075.1500000004</v>
      </c>
      <c r="D197" s="348">
        <v>1567912.12</v>
      </c>
      <c r="E197" s="348"/>
      <c r="F197" s="348"/>
      <c r="G197" s="348">
        <v>-1617.24999999999</v>
      </c>
      <c r="H197" s="348">
        <v>4501.75</v>
      </c>
      <c r="I197" s="348">
        <v>99698.29</v>
      </c>
      <c r="J197" s="348">
        <v>220212.97</v>
      </c>
      <c r="K197" s="348">
        <v>44288.6</v>
      </c>
      <c r="L197" s="348">
        <v>647274.80000000005</v>
      </c>
      <c r="M197" s="349">
        <f t="shared" si="9"/>
        <v>9419346.4299999997</v>
      </c>
      <c r="N197" s="368">
        <v>325758.59999999998</v>
      </c>
      <c r="O197" s="368">
        <v>714881.3</v>
      </c>
      <c r="P197" s="368">
        <v>353965.8</v>
      </c>
      <c r="Q197" s="368">
        <v>27852.79</v>
      </c>
      <c r="R197" s="368">
        <v>221900.85</v>
      </c>
      <c r="S197" s="368"/>
      <c r="T197" s="368">
        <v>100</v>
      </c>
      <c r="U197" s="368">
        <v>8900</v>
      </c>
      <c r="V197" s="368"/>
      <c r="W197" s="368"/>
      <c r="X197" s="349">
        <f t="shared" si="7"/>
        <v>11072705.77</v>
      </c>
      <c r="Y197" s="34">
        <v>34059.800000000003</v>
      </c>
      <c r="Z197" s="353"/>
      <c r="AA197" s="34">
        <v>225013.15</v>
      </c>
      <c r="AB197" s="353"/>
      <c r="AC197" s="34">
        <v>190880</v>
      </c>
      <c r="AD197" s="353">
        <v>43811.199999999997</v>
      </c>
      <c r="AE197" s="34"/>
      <c r="AF197" s="353"/>
      <c r="AG197" s="34">
        <v>21159.3</v>
      </c>
      <c r="AH197" s="353"/>
      <c r="AI197" s="34"/>
      <c r="AJ197" s="353"/>
      <c r="AK197" s="34"/>
      <c r="AL197" s="364">
        <f t="shared" si="8"/>
        <v>514923.45</v>
      </c>
      <c r="AM197" s="17">
        <f>VLOOKUP(B197,'[1]2018'!$A$7:$F$349,6,FALSE)</f>
        <v>55</v>
      </c>
      <c r="AN197" s="32">
        <f>VLOOKUP(A197,'[2]2018 (2)'!$B$1:$D$318,3,FALSE)</f>
        <v>1961</v>
      </c>
      <c r="AO197" s="15">
        <v>-64682.38</v>
      </c>
      <c r="AP197" s="34"/>
      <c r="AQ197" s="34">
        <v>-2573.77</v>
      </c>
      <c r="AR197" s="455">
        <v>1</v>
      </c>
    </row>
    <row r="198" spans="1:44" x14ac:dyDescent="0.25">
      <c r="A198" s="356">
        <v>5719</v>
      </c>
      <c r="B198" s="348" t="s">
        <v>241</v>
      </c>
      <c r="C198" s="348">
        <v>4052934.66</v>
      </c>
      <c r="D198" s="348">
        <v>2069321</v>
      </c>
      <c r="E198" s="348"/>
      <c r="F198" s="348"/>
      <c r="G198" s="348">
        <v>102703.5</v>
      </c>
      <c r="H198" s="348">
        <v>1506.2</v>
      </c>
      <c r="I198" s="348">
        <v>-334493.95</v>
      </c>
      <c r="J198" s="348">
        <v>48542.879999999997</v>
      </c>
      <c r="K198" s="348">
        <v>9138.35</v>
      </c>
      <c r="L198" s="348">
        <v>232841.4</v>
      </c>
      <c r="M198" s="349">
        <f t="shared" si="9"/>
        <v>6182494.04</v>
      </c>
      <c r="N198" s="368">
        <v>59727.15</v>
      </c>
      <c r="O198" s="368">
        <v>159463.1</v>
      </c>
      <c r="P198" s="368">
        <v>527321.5</v>
      </c>
      <c r="Q198" s="368">
        <v>26669.83</v>
      </c>
      <c r="R198" s="368">
        <v>191782</v>
      </c>
      <c r="S198" s="368"/>
      <c r="T198" s="368"/>
      <c r="U198" s="368">
        <v>12600</v>
      </c>
      <c r="V198" s="368"/>
      <c r="W198" s="368"/>
      <c r="X198" s="349">
        <f t="shared" si="7"/>
        <v>7160057.6200000001</v>
      </c>
      <c r="Y198" s="34">
        <v>16800</v>
      </c>
      <c r="Z198" s="353"/>
      <c r="AA198" s="34">
        <v>86909.9</v>
      </c>
      <c r="AB198" s="353"/>
      <c r="AC198" s="34">
        <v>91416.320000000007</v>
      </c>
      <c r="AD198" s="353">
        <v>21000</v>
      </c>
      <c r="AE198" s="34"/>
      <c r="AF198" s="353"/>
      <c r="AG198" s="34"/>
      <c r="AH198" s="353"/>
      <c r="AI198" s="34"/>
      <c r="AJ198" s="353"/>
      <c r="AK198" s="34"/>
      <c r="AL198" s="364">
        <f t="shared" si="8"/>
        <v>216126.22</v>
      </c>
      <c r="AM198" s="17">
        <f>VLOOKUP(B198,'[1]2018'!$A$7:$F$349,6,FALSE)</f>
        <v>57</v>
      </c>
      <c r="AN198" s="32">
        <f>VLOOKUP(A198,'[2]2018 (2)'!$B$1:$D$318,3,FALSE)</f>
        <v>1226</v>
      </c>
      <c r="AO198" s="15">
        <v>-17242.27</v>
      </c>
      <c r="AP198" s="34"/>
      <c r="AQ198" s="34">
        <v>-1925.1</v>
      </c>
      <c r="AR198" s="455">
        <v>0.6</v>
      </c>
    </row>
    <row r="199" spans="1:44" x14ac:dyDescent="0.25">
      <c r="A199" s="356">
        <v>5720</v>
      </c>
      <c r="B199" s="348" t="s">
        <v>242</v>
      </c>
      <c r="C199" s="348">
        <v>2954619.79</v>
      </c>
      <c r="D199" s="348">
        <v>852364.55</v>
      </c>
      <c r="E199" s="348"/>
      <c r="F199" s="348"/>
      <c r="G199" s="348">
        <v>33480.449999999997</v>
      </c>
      <c r="H199" s="348">
        <v>7791.1</v>
      </c>
      <c r="I199" s="348">
        <v>362718.47</v>
      </c>
      <c r="J199" s="348">
        <v>32265.08</v>
      </c>
      <c r="K199" s="348"/>
      <c r="L199" s="348">
        <v>261671.8</v>
      </c>
      <c r="M199" s="349">
        <f t="shared" si="9"/>
        <v>4504911.24</v>
      </c>
      <c r="N199" s="368">
        <v>9158.4500000000007</v>
      </c>
      <c r="O199" s="368"/>
      <c r="P199" s="368">
        <v>256919.55</v>
      </c>
      <c r="Q199" s="368">
        <v>1129.56</v>
      </c>
      <c r="R199" s="368">
        <v>63426.55</v>
      </c>
      <c r="S199" s="368"/>
      <c r="T199" s="368"/>
      <c r="U199" s="368">
        <v>5640</v>
      </c>
      <c r="V199" s="368"/>
      <c r="W199" s="368"/>
      <c r="X199" s="349">
        <f t="shared" si="7"/>
        <v>4841185.3499999996</v>
      </c>
      <c r="Y199" s="34">
        <v>5082.3999999999996</v>
      </c>
      <c r="Z199" s="353"/>
      <c r="AA199" s="34">
        <v>190057.3</v>
      </c>
      <c r="AB199" s="353"/>
      <c r="AC199" s="34">
        <v>58508.95</v>
      </c>
      <c r="AD199" s="353">
        <v>3450.15</v>
      </c>
      <c r="AE199" s="34"/>
      <c r="AF199" s="353"/>
      <c r="AG199" s="34">
        <v>1813.8</v>
      </c>
      <c r="AH199" s="353"/>
      <c r="AI199" s="34"/>
      <c r="AJ199" s="353"/>
      <c r="AK199" s="34"/>
      <c r="AL199" s="364">
        <f t="shared" si="8"/>
        <v>258912.59999999995</v>
      </c>
      <c r="AM199" s="17">
        <f>VLOOKUP(B199,'[1]2018'!$A$7:$F$349,6,FALSE)</f>
        <v>67</v>
      </c>
      <c r="AN199" s="32">
        <f>VLOOKUP(A199,'[2]2018 (2)'!$B$1:$D$318,3,FALSE)</f>
        <v>1033</v>
      </c>
      <c r="AO199" s="15">
        <v>-42411.87</v>
      </c>
      <c r="AP199" s="34"/>
      <c r="AQ199" s="34">
        <v>-2502.3200000000002</v>
      </c>
      <c r="AR199" s="455">
        <v>0.9</v>
      </c>
    </row>
    <row r="200" spans="1:44" x14ac:dyDescent="0.25">
      <c r="A200" s="356">
        <v>5721</v>
      </c>
      <c r="B200" s="348" t="s">
        <v>243</v>
      </c>
      <c r="C200" s="348">
        <v>25476459.789999999</v>
      </c>
      <c r="D200" s="348">
        <v>7080656.1799999997</v>
      </c>
      <c r="E200" s="348"/>
      <c r="F200" s="348"/>
      <c r="G200" s="348">
        <v>3275412.9</v>
      </c>
      <c r="H200" s="348">
        <v>352317.75</v>
      </c>
      <c r="I200" s="348">
        <v>833670.55</v>
      </c>
      <c r="J200" s="348">
        <v>1044042.29</v>
      </c>
      <c r="K200" s="348">
        <v>474228.4</v>
      </c>
      <c r="L200" s="348">
        <v>2749543.9</v>
      </c>
      <c r="M200" s="349">
        <f t="shared" si="9"/>
        <v>41286331.75999999</v>
      </c>
      <c r="N200" s="368">
        <v>1948987.2</v>
      </c>
      <c r="O200" s="368">
        <v>78513.899999999994</v>
      </c>
      <c r="P200" s="368">
        <v>1969702.8</v>
      </c>
      <c r="Q200" s="368">
        <v>155502.67000000001</v>
      </c>
      <c r="R200" s="368">
        <v>952805.75</v>
      </c>
      <c r="S200" s="368"/>
      <c r="T200" s="368"/>
      <c r="U200" s="368">
        <v>65600</v>
      </c>
      <c r="V200" s="368"/>
      <c r="W200" s="368"/>
      <c r="X200" s="349">
        <f t="shared" ref="X200:X263" si="10">SUM(M200:W200)</f>
        <v>46457444.079999991</v>
      </c>
      <c r="Y200" s="34">
        <v>67267.649999999994</v>
      </c>
      <c r="Z200" s="353"/>
      <c r="AA200" s="34">
        <v>1134790.3999999999</v>
      </c>
      <c r="AB200" s="353"/>
      <c r="AC200" s="34">
        <v>1558881.45</v>
      </c>
      <c r="AD200" s="353">
        <v>26906.95</v>
      </c>
      <c r="AE200" s="34"/>
      <c r="AF200" s="353"/>
      <c r="AG200" s="34">
        <v>42381</v>
      </c>
      <c r="AH200" s="353">
        <v>402897.5</v>
      </c>
      <c r="AI200" s="34">
        <v>230215.74</v>
      </c>
      <c r="AJ200" s="353">
        <v>402902.06</v>
      </c>
      <c r="AK200" s="34">
        <v>287822.05</v>
      </c>
      <c r="AL200" s="364">
        <f t="shared" ref="AL200:AL263" si="11">SUM(Y200:AK200)</f>
        <v>4154064.8000000003</v>
      </c>
      <c r="AM200" s="17">
        <f>VLOOKUP(B200,'[1]2018'!$A$7:$F$349,6,FALSE)</f>
        <v>62.5</v>
      </c>
      <c r="AN200" s="32">
        <f>VLOOKUP(A200,'[2]2018 (2)'!$B$1:$D$318,3,FALSE)</f>
        <v>13101</v>
      </c>
      <c r="AO200" s="15">
        <v>-497857.2</v>
      </c>
      <c r="AP200" s="34"/>
      <c r="AQ200" s="34">
        <v>-36214.92</v>
      </c>
      <c r="AR200" s="455">
        <v>1</v>
      </c>
    </row>
    <row r="201" spans="1:44" x14ac:dyDescent="0.25">
      <c r="A201" s="356">
        <v>5722</v>
      </c>
      <c r="B201" s="348" t="s">
        <v>244</v>
      </c>
      <c r="C201" s="348">
        <v>1083746.43</v>
      </c>
      <c r="D201" s="348">
        <v>161145.69</v>
      </c>
      <c r="E201" s="348"/>
      <c r="F201" s="348"/>
      <c r="G201" s="348">
        <v>21015.1</v>
      </c>
      <c r="H201" s="348">
        <v>1343.65</v>
      </c>
      <c r="I201" s="348"/>
      <c r="J201" s="348">
        <v>19748.900000000001</v>
      </c>
      <c r="K201" s="348">
        <v>5655.6</v>
      </c>
      <c r="L201" s="348">
        <v>83898.1</v>
      </c>
      <c r="M201" s="349">
        <f t="shared" si="9"/>
        <v>1376553.47</v>
      </c>
      <c r="N201" s="368">
        <v>21808.65</v>
      </c>
      <c r="O201" s="368"/>
      <c r="P201" s="368">
        <v>17710</v>
      </c>
      <c r="Q201" s="368">
        <v>226.44</v>
      </c>
      <c r="R201" s="368"/>
      <c r="S201" s="368"/>
      <c r="T201" s="368"/>
      <c r="U201" s="368">
        <v>1525</v>
      </c>
      <c r="V201" s="368"/>
      <c r="W201" s="368"/>
      <c r="X201" s="349">
        <f t="shared" si="10"/>
        <v>1417823.5599999998</v>
      </c>
      <c r="Y201" s="34">
        <v>18175</v>
      </c>
      <c r="Z201" s="353"/>
      <c r="AA201" s="34">
        <v>44150.3</v>
      </c>
      <c r="AB201" s="353"/>
      <c r="AC201" s="34">
        <v>26700.05</v>
      </c>
      <c r="AD201" s="353"/>
      <c r="AE201" s="34"/>
      <c r="AF201" s="353"/>
      <c r="AG201" s="34"/>
      <c r="AH201" s="353">
        <v>11940.4</v>
      </c>
      <c r="AI201" s="34"/>
      <c r="AJ201" s="353"/>
      <c r="AK201" s="34"/>
      <c r="AL201" s="364">
        <f t="shared" si="11"/>
        <v>100965.75</v>
      </c>
      <c r="AM201" s="17">
        <f>VLOOKUP(B201,'[1]2018'!$A$7:$F$349,6,FALSE)</f>
        <v>62</v>
      </c>
      <c r="AN201" s="32">
        <f>VLOOKUP(A201,'[2]2018 (2)'!$B$1:$D$318,3,FALSE)</f>
        <v>391</v>
      </c>
      <c r="AO201" s="15">
        <v>-487.43</v>
      </c>
      <c r="AP201" s="34"/>
      <c r="AQ201" s="34">
        <v>-369.17</v>
      </c>
      <c r="AR201" s="455">
        <v>1</v>
      </c>
    </row>
    <row r="202" spans="1:44" x14ac:dyDescent="0.25">
      <c r="A202" s="356">
        <v>5723</v>
      </c>
      <c r="B202" s="348" t="s">
        <v>245</v>
      </c>
      <c r="C202" s="348">
        <v>17922839.690000001</v>
      </c>
      <c r="D202" s="348">
        <v>5272659.1100000003</v>
      </c>
      <c r="E202" s="348"/>
      <c r="F202" s="348"/>
      <c r="G202" s="348">
        <v>197715.20000000001</v>
      </c>
      <c r="H202" s="348">
        <v>9390.85</v>
      </c>
      <c r="I202" s="348">
        <v>660346.09</v>
      </c>
      <c r="J202" s="348">
        <v>285927.71999999997</v>
      </c>
      <c r="K202" s="348">
        <v>38632.5</v>
      </c>
      <c r="L202" s="348">
        <v>780501.05</v>
      </c>
      <c r="M202" s="349">
        <f t="shared" si="9"/>
        <v>25168012.210000001</v>
      </c>
      <c r="N202" s="368">
        <v>138805.70000000001</v>
      </c>
      <c r="O202" s="368">
        <v>184858.9</v>
      </c>
      <c r="P202" s="368">
        <v>687447</v>
      </c>
      <c r="Q202" s="368">
        <v>-26852.25</v>
      </c>
      <c r="R202" s="368">
        <v>739305.05</v>
      </c>
      <c r="S202" s="368"/>
      <c r="T202" s="368"/>
      <c r="U202" s="368">
        <v>7050</v>
      </c>
      <c r="V202" s="368"/>
      <c r="W202" s="368"/>
      <c r="X202" s="349">
        <f t="shared" si="10"/>
        <v>26898626.609999999</v>
      </c>
      <c r="Y202" s="34">
        <v>85542.399999999994</v>
      </c>
      <c r="Z202" s="353"/>
      <c r="AA202" s="34"/>
      <c r="AB202" s="353"/>
      <c r="AC202" s="34">
        <v>209607.45</v>
      </c>
      <c r="AD202" s="353"/>
      <c r="AE202" s="34"/>
      <c r="AF202" s="353"/>
      <c r="AG202" s="34">
        <v>13249.25</v>
      </c>
      <c r="AH202" s="353">
        <v>88350.55</v>
      </c>
      <c r="AI202" s="34"/>
      <c r="AJ202" s="353"/>
      <c r="AK202" s="34"/>
      <c r="AL202" s="364">
        <f t="shared" si="11"/>
        <v>396749.64999999997</v>
      </c>
      <c r="AM202" s="17">
        <f>VLOOKUP(B202,'[1]2018'!$A$7:$F$349,6,FALSE)</f>
        <v>49</v>
      </c>
      <c r="AN202" s="32">
        <f>VLOOKUP(A202,'[2]2018 (2)'!$B$1:$D$318,3,FALSE)</f>
        <v>2075</v>
      </c>
      <c r="AO202" s="15">
        <v>-118848.2</v>
      </c>
      <c r="AP202" s="34"/>
      <c r="AQ202" s="34">
        <v>-8877.7999999999993</v>
      </c>
      <c r="AR202" s="455">
        <v>1</v>
      </c>
    </row>
    <row r="203" spans="1:44" x14ac:dyDescent="0.25">
      <c r="A203" s="356">
        <v>5724</v>
      </c>
      <c r="B203" s="348" t="s">
        <v>74</v>
      </c>
      <c r="C203" s="348">
        <v>51644745.579999998</v>
      </c>
      <c r="D203" s="348">
        <v>9186672.8599999994</v>
      </c>
      <c r="E203" s="348"/>
      <c r="F203" s="348"/>
      <c r="G203" s="348">
        <v>9966069.6500000004</v>
      </c>
      <c r="H203" s="348">
        <v>778856.1</v>
      </c>
      <c r="I203" s="348">
        <v>1858366.67</v>
      </c>
      <c r="J203" s="348">
        <v>3157761.54</v>
      </c>
      <c r="K203" s="348">
        <v>783807.75</v>
      </c>
      <c r="L203" s="348">
        <v>6698220.7999999998</v>
      </c>
      <c r="M203" s="349">
        <f t="shared" si="9"/>
        <v>84074500.950000003</v>
      </c>
      <c r="N203" s="368">
        <v>4786782.4000000004</v>
      </c>
      <c r="O203" s="368">
        <v>2626556.1</v>
      </c>
      <c r="P203" s="368">
        <v>3941160</v>
      </c>
      <c r="Q203" s="368">
        <v>197746.37</v>
      </c>
      <c r="R203" s="368">
        <v>2156509.5</v>
      </c>
      <c r="S203" s="368"/>
      <c r="T203" s="368"/>
      <c r="U203" s="368">
        <v>49505.2</v>
      </c>
      <c r="V203" s="368"/>
      <c r="W203" s="368"/>
      <c r="X203" s="349">
        <f t="shared" si="10"/>
        <v>97832760.520000011</v>
      </c>
      <c r="Y203" s="34">
        <v>2806950.81</v>
      </c>
      <c r="Z203" s="353"/>
      <c r="AA203" s="34">
        <v>3673208.48</v>
      </c>
      <c r="AB203" s="353"/>
      <c r="AC203" s="34">
        <v>1891090.21</v>
      </c>
      <c r="AD203" s="353">
        <v>631173.30000000005</v>
      </c>
      <c r="AE203" s="34"/>
      <c r="AF203" s="353"/>
      <c r="AG203" s="34">
        <v>195722</v>
      </c>
      <c r="AH203" s="353">
        <v>717487.25</v>
      </c>
      <c r="AI203" s="34">
        <v>819969.04</v>
      </c>
      <c r="AJ203" s="353">
        <v>512588.79</v>
      </c>
      <c r="AK203" s="34">
        <v>205071.57</v>
      </c>
      <c r="AL203" s="364">
        <f t="shared" si="11"/>
        <v>11453261.449999999</v>
      </c>
      <c r="AM203" s="17">
        <f>VLOOKUP(B203,'[1]2018'!$A$7:$F$349,6,FALSE)</f>
        <v>61</v>
      </c>
      <c r="AN203" s="32">
        <f>VLOOKUP(A203,'[2]2018 (2)'!$B$1:$D$318,3,FALSE)</f>
        <v>21239</v>
      </c>
      <c r="AO203" s="15">
        <v>-1082531.98</v>
      </c>
      <c r="AP203" s="34"/>
      <c r="AQ203" s="34">
        <v>-22185.85</v>
      </c>
      <c r="AR203" s="455">
        <v>1.3</v>
      </c>
    </row>
    <row r="204" spans="1:44" x14ac:dyDescent="0.25">
      <c r="A204" s="356">
        <v>5725</v>
      </c>
      <c r="B204" s="348" t="s">
        <v>75</v>
      </c>
      <c r="C204" s="348">
        <v>10725974.93</v>
      </c>
      <c r="D204" s="348">
        <v>3065394.73</v>
      </c>
      <c r="E204" s="348"/>
      <c r="F204" s="348"/>
      <c r="G204" s="348">
        <v>2470580.2000000002</v>
      </c>
      <c r="H204" s="348">
        <v>22855.95</v>
      </c>
      <c r="I204" s="348">
        <v>319262.40999999997</v>
      </c>
      <c r="J204" s="348">
        <v>447458.24</v>
      </c>
      <c r="K204" s="348">
        <v>63987.5</v>
      </c>
      <c r="L204" s="348">
        <v>1577485.15</v>
      </c>
      <c r="M204" s="349">
        <f t="shared" si="9"/>
        <v>18692999.109999996</v>
      </c>
      <c r="N204" s="368">
        <v>1330506.95</v>
      </c>
      <c r="O204" s="368">
        <v>242941.7</v>
      </c>
      <c r="P204" s="368">
        <v>1054492.7</v>
      </c>
      <c r="Q204" s="368">
        <v>32640.560000000001</v>
      </c>
      <c r="R204" s="368">
        <v>773222.15</v>
      </c>
      <c r="S204" s="368"/>
      <c r="T204" s="368"/>
      <c r="U204" s="368">
        <v>15825</v>
      </c>
      <c r="V204" s="368"/>
      <c r="W204" s="368"/>
      <c r="X204" s="349">
        <f t="shared" si="10"/>
        <v>22142628.169999991</v>
      </c>
      <c r="Y204" s="34">
        <v>25673.77</v>
      </c>
      <c r="Z204" s="34" t="s">
        <v>649</v>
      </c>
      <c r="AA204" s="34">
        <v>358046.74</v>
      </c>
      <c r="AB204" s="34" t="s">
        <v>649</v>
      </c>
      <c r="AC204" s="34">
        <v>303477.33</v>
      </c>
      <c r="AD204" s="34" t="s">
        <v>649</v>
      </c>
      <c r="AE204" s="34" t="s">
        <v>649</v>
      </c>
      <c r="AF204" s="34" t="s">
        <v>649</v>
      </c>
      <c r="AG204" s="34">
        <v>53649.25</v>
      </c>
      <c r="AH204" s="34"/>
      <c r="AI204" s="34"/>
      <c r="AJ204" s="34">
        <v>198719.65</v>
      </c>
      <c r="AK204" s="34"/>
      <c r="AL204" s="364">
        <f t="shared" si="11"/>
        <v>939566.74000000011</v>
      </c>
      <c r="AM204" s="17">
        <f>VLOOKUP(B204,'[1]2018'!$A$7:$F$349,6,FALSE)</f>
        <v>56</v>
      </c>
      <c r="AN204" s="32">
        <f>VLOOKUP(A204,'[2]2018 (2)'!$B$1:$D$318,3,FALSE)</f>
        <v>4040</v>
      </c>
      <c r="AO204" s="15">
        <v>-77679.02</v>
      </c>
      <c r="AP204" s="34"/>
      <c r="AQ204" s="34">
        <v>-6502.76</v>
      </c>
      <c r="AR204" s="455">
        <v>1.4</v>
      </c>
    </row>
    <row r="205" spans="1:44" x14ac:dyDescent="0.25">
      <c r="A205" s="356">
        <v>5726</v>
      </c>
      <c r="B205" s="348" t="s">
        <v>325</v>
      </c>
      <c r="C205" s="348">
        <v>2919203.87</v>
      </c>
      <c r="D205" s="348">
        <v>701866.66</v>
      </c>
      <c r="E205" s="348"/>
      <c r="F205" s="348"/>
      <c r="G205" s="348">
        <v>13429.9</v>
      </c>
      <c r="H205" s="348">
        <v>14838.55</v>
      </c>
      <c r="I205" s="348"/>
      <c r="J205" s="348">
        <v>41769.72</v>
      </c>
      <c r="K205" s="348">
        <v>4195.1499999999996</v>
      </c>
      <c r="L205" s="348">
        <v>256589.05</v>
      </c>
      <c r="M205" s="349">
        <f t="shared" si="9"/>
        <v>3951892.9</v>
      </c>
      <c r="N205" s="368">
        <v>45807</v>
      </c>
      <c r="O205" s="368">
        <v>10.5</v>
      </c>
      <c r="P205" s="368">
        <v>45483.5</v>
      </c>
      <c r="Q205" s="368">
        <v>3.44</v>
      </c>
      <c r="R205" s="368">
        <v>43632.5</v>
      </c>
      <c r="S205" s="368"/>
      <c r="T205" s="368"/>
      <c r="U205" s="368">
        <v>8950</v>
      </c>
      <c r="V205" s="368"/>
      <c r="W205" s="368"/>
      <c r="X205" s="349">
        <f t="shared" si="10"/>
        <v>4095779.84</v>
      </c>
      <c r="Y205" s="34">
        <v>677.02</v>
      </c>
      <c r="Z205" s="353"/>
      <c r="AA205" s="34">
        <v>167186.12</v>
      </c>
      <c r="AB205" s="353"/>
      <c r="AC205" s="34">
        <v>94542.8</v>
      </c>
      <c r="AD205" s="353">
        <v>1975.21</v>
      </c>
      <c r="AE205" s="34"/>
      <c r="AF205" s="353"/>
      <c r="AG205" s="34">
        <v>7574.9</v>
      </c>
      <c r="AH205" s="353"/>
      <c r="AI205" s="34"/>
      <c r="AJ205" s="353"/>
      <c r="AK205" s="34"/>
      <c r="AL205" s="364">
        <f t="shared" si="11"/>
        <v>271956.05000000005</v>
      </c>
      <c r="AM205" s="17">
        <f>VLOOKUP(B205,'[1]2018'!$A$7:$F$349,6,FALSE)</f>
        <v>65</v>
      </c>
      <c r="AN205" s="32">
        <f>VLOOKUP(A205,'[2]2018 (2)'!$B$1:$D$318,3,FALSE)</f>
        <v>1161</v>
      </c>
      <c r="AO205" s="15">
        <v>-62865.88</v>
      </c>
      <c r="AP205" s="34"/>
      <c r="AQ205" s="34">
        <v>-469.14</v>
      </c>
      <c r="AR205" s="455">
        <v>1</v>
      </c>
    </row>
    <row r="206" spans="1:44" x14ac:dyDescent="0.25">
      <c r="A206" s="356">
        <v>5727</v>
      </c>
      <c r="B206" s="348" t="s">
        <v>326</v>
      </c>
      <c r="C206" s="348">
        <v>4212994.8899999997</v>
      </c>
      <c r="D206" s="348">
        <v>710471.55</v>
      </c>
      <c r="E206" s="348"/>
      <c r="F206" s="348"/>
      <c r="G206" s="348">
        <v>550.9</v>
      </c>
      <c r="H206" s="348">
        <v>4613</v>
      </c>
      <c r="I206" s="348">
        <v>100543.52</v>
      </c>
      <c r="J206" s="348">
        <v>176318.03</v>
      </c>
      <c r="K206" s="348">
        <v>12254.2</v>
      </c>
      <c r="L206" s="348">
        <v>743934.55</v>
      </c>
      <c r="M206" s="349">
        <f t="shared" si="9"/>
        <v>5961680.6399999997</v>
      </c>
      <c r="N206" s="368">
        <v>153366.29999999999</v>
      </c>
      <c r="O206" s="368">
        <v>1077.8</v>
      </c>
      <c r="P206" s="368">
        <v>317573.84999999998</v>
      </c>
      <c r="Q206" s="368">
        <v>14790.08</v>
      </c>
      <c r="R206" s="368">
        <v>211195.35</v>
      </c>
      <c r="S206" s="368"/>
      <c r="T206" s="368"/>
      <c r="U206" s="368">
        <v>12475</v>
      </c>
      <c r="V206" s="368"/>
      <c r="W206" s="368"/>
      <c r="X206" s="349">
        <f t="shared" si="10"/>
        <v>6672159.0199999986</v>
      </c>
      <c r="Y206" s="34">
        <v>160667.70000000001</v>
      </c>
      <c r="Z206" s="34">
        <v>333010.33</v>
      </c>
      <c r="AA206" s="34" t="s">
        <v>649</v>
      </c>
      <c r="AB206" s="34" t="s">
        <v>649</v>
      </c>
      <c r="AC206" s="34">
        <v>250834</v>
      </c>
      <c r="AD206" s="34">
        <v>160667.70000000001</v>
      </c>
      <c r="AE206" s="34" t="s">
        <v>649</v>
      </c>
      <c r="AF206" s="34" t="s">
        <v>649</v>
      </c>
      <c r="AG206" s="34">
        <v>55826.65</v>
      </c>
      <c r="AH206" s="34"/>
      <c r="AI206" s="34"/>
      <c r="AJ206" s="34"/>
      <c r="AK206" s="34"/>
      <c r="AL206" s="364">
        <f t="shared" si="11"/>
        <v>961006.38</v>
      </c>
      <c r="AM206" s="17">
        <f>VLOOKUP(B206,'[1]2018'!$A$7:$F$349,6,FALSE)</f>
        <v>66</v>
      </c>
      <c r="AN206" s="32">
        <f>VLOOKUP(A206,'[2]2018 (2)'!$B$1:$D$318,3,FALSE)</f>
        <v>2583</v>
      </c>
      <c r="AO206" s="15">
        <v>-134729.07999999999</v>
      </c>
      <c r="AP206" s="34"/>
      <c r="AQ206" s="34">
        <v>-394.5</v>
      </c>
      <c r="AR206" s="455">
        <v>1.5</v>
      </c>
    </row>
    <row r="207" spans="1:44" x14ac:dyDescent="0.25">
      <c r="A207" s="356">
        <v>5728</v>
      </c>
      <c r="B207" s="348" t="s">
        <v>327</v>
      </c>
      <c r="C207" s="348">
        <v>1584363.71</v>
      </c>
      <c r="D207" s="348">
        <v>199504.1</v>
      </c>
      <c r="E207" s="348"/>
      <c r="F207" s="348"/>
      <c r="G207" s="348">
        <v>302685.90000000002</v>
      </c>
      <c r="H207" s="348">
        <v>4550</v>
      </c>
      <c r="I207" s="348">
        <v>26389.15</v>
      </c>
      <c r="J207" s="348">
        <v>222859.4</v>
      </c>
      <c r="K207" s="348">
        <v>51296.45</v>
      </c>
      <c r="L207" s="348">
        <v>213094</v>
      </c>
      <c r="M207" s="349">
        <f t="shared" si="9"/>
        <v>2604742.71</v>
      </c>
      <c r="N207" s="368">
        <v>225885.4</v>
      </c>
      <c r="O207" s="368"/>
      <c r="P207" s="368">
        <v>86005.85</v>
      </c>
      <c r="Q207" s="368">
        <v>384.21</v>
      </c>
      <c r="R207" s="368">
        <v>110099.6</v>
      </c>
      <c r="S207" s="368"/>
      <c r="T207" s="368">
        <v>63409</v>
      </c>
      <c r="U207" s="368">
        <v>1825</v>
      </c>
      <c r="V207" s="368"/>
      <c r="W207" s="368"/>
      <c r="X207" s="349">
        <f t="shared" si="10"/>
        <v>3092351.77</v>
      </c>
      <c r="Y207" s="34"/>
      <c r="Z207" s="353"/>
      <c r="AA207" s="34">
        <v>97763.3</v>
      </c>
      <c r="AB207" s="353"/>
      <c r="AC207" s="34">
        <v>39210.050000000003</v>
      </c>
      <c r="AD207" s="353"/>
      <c r="AE207" s="34"/>
      <c r="AF207" s="353"/>
      <c r="AG207" s="34">
        <v>224.25</v>
      </c>
      <c r="AH207" s="353">
        <v>54652</v>
      </c>
      <c r="AI207" s="34"/>
      <c r="AJ207" s="353"/>
      <c r="AK207" s="34"/>
      <c r="AL207" s="364">
        <f t="shared" si="11"/>
        <v>191849.60000000001</v>
      </c>
      <c r="AM207" s="17">
        <f>VLOOKUP(B207,'[1]2018'!$A$7:$F$349,6,FALSE)</f>
        <v>58</v>
      </c>
      <c r="AN207" s="32">
        <f>VLOOKUP(A207,'[2]2018 (2)'!$B$1:$D$318,3,FALSE)</f>
        <v>592</v>
      </c>
      <c r="AO207" s="15">
        <v>-12280.52</v>
      </c>
      <c r="AP207" s="34"/>
      <c r="AQ207" s="34">
        <v>-129.99</v>
      </c>
      <c r="AR207" s="455">
        <v>1</v>
      </c>
    </row>
    <row r="208" spans="1:44" x14ac:dyDescent="0.25">
      <c r="A208" s="356">
        <v>5729</v>
      </c>
      <c r="B208" s="348" t="s">
        <v>328</v>
      </c>
      <c r="C208" s="348">
        <v>6021217.2199999997</v>
      </c>
      <c r="D208" s="348">
        <v>1455667.41</v>
      </c>
      <c r="E208" s="348"/>
      <c r="F208" s="348"/>
      <c r="G208" s="348">
        <v>797090.35</v>
      </c>
      <c r="H208" s="348">
        <v>2687.95</v>
      </c>
      <c r="I208" s="348">
        <v>150067.6</v>
      </c>
      <c r="J208" s="348">
        <v>38776.949999999997</v>
      </c>
      <c r="K208" s="348">
        <v>2658.25</v>
      </c>
      <c r="L208" s="348">
        <v>801514.1</v>
      </c>
      <c r="M208" s="349">
        <f t="shared" si="9"/>
        <v>9269679.8299999982</v>
      </c>
      <c r="N208" s="368">
        <v>26471.25</v>
      </c>
      <c r="O208" s="368">
        <v>0</v>
      </c>
      <c r="P208" s="368">
        <v>354462.1</v>
      </c>
      <c r="Q208" s="368">
        <v>6420.02</v>
      </c>
      <c r="R208" s="368">
        <v>168773.95</v>
      </c>
      <c r="S208" s="368"/>
      <c r="T208" s="368"/>
      <c r="U208" s="368">
        <v>8640</v>
      </c>
      <c r="V208" s="368"/>
      <c r="W208" s="368"/>
      <c r="X208" s="349">
        <f t="shared" si="10"/>
        <v>9834447.1499999966</v>
      </c>
      <c r="Y208" s="34"/>
      <c r="Z208" s="353"/>
      <c r="AA208" s="34"/>
      <c r="AB208" s="353"/>
      <c r="AC208" s="34">
        <v>204056.4</v>
      </c>
      <c r="AD208" s="353"/>
      <c r="AE208" s="34"/>
      <c r="AF208" s="353"/>
      <c r="AG208" s="34">
        <v>836.38</v>
      </c>
      <c r="AH208" s="353"/>
      <c r="AI208" s="34"/>
      <c r="AJ208" s="353"/>
      <c r="AK208" s="34"/>
      <c r="AL208" s="364">
        <f t="shared" si="11"/>
        <v>204892.78</v>
      </c>
      <c r="AM208" s="17">
        <f>VLOOKUP(B208,'[1]2018'!$A$7:$F$349,6,FALSE)</f>
        <v>61</v>
      </c>
      <c r="AN208" s="32">
        <f>VLOOKUP(A208,'[2]2018 (2)'!$B$1:$D$318,3,FALSE)</f>
        <v>1593</v>
      </c>
      <c r="AO208" s="15">
        <v>-47005.3</v>
      </c>
      <c r="AP208" s="34"/>
      <c r="AQ208" s="34">
        <v>-3848.53</v>
      </c>
      <c r="AR208" s="455">
        <v>1.5</v>
      </c>
    </row>
    <row r="209" spans="1:44" x14ac:dyDescent="0.25">
      <c r="A209" s="356">
        <v>5730</v>
      </c>
      <c r="B209" s="348" t="s">
        <v>329</v>
      </c>
      <c r="C209" s="348">
        <v>6602565.0899999999</v>
      </c>
      <c r="D209" s="348">
        <v>1887225.68</v>
      </c>
      <c r="E209" s="348"/>
      <c r="F209" s="348"/>
      <c r="G209" s="348">
        <v>78099.100000000006</v>
      </c>
      <c r="H209" s="348">
        <v>1244.5999999999999</v>
      </c>
      <c r="I209" s="348">
        <v>69731.100000000006</v>
      </c>
      <c r="J209" s="348">
        <v>87946.76</v>
      </c>
      <c r="K209" s="348">
        <v>6328.2</v>
      </c>
      <c r="L209" s="348">
        <v>372721.05</v>
      </c>
      <c r="M209" s="349">
        <f t="shared" si="9"/>
        <v>9105861.5799999982</v>
      </c>
      <c r="N209" s="368">
        <v>9936.85</v>
      </c>
      <c r="O209" s="368">
        <v>57748.2</v>
      </c>
      <c r="P209" s="368">
        <v>243542.15</v>
      </c>
      <c r="Q209" s="368">
        <v>449.9</v>
      </c>
      <c r="R209" s="368">
        <v>242722.65</v>
      </c>
      <c r="S209" s="368"/>
      <c r="T209" s="368"/>
      <c r="U209" s="368">
        <v>4775</v>
      </c>
      <c r="V209" s="368"/>
      <c r="W209" s="368"/>
      <c r="X209" s="349">
        <f t="shared" si="10"/>
        <v>9665036.3299999982</v>
      </c>
      <c r="Y209" s="34"/>
      <c r="Z209" s="353"/>
      <c r="AA209" s="34">
        <v>171676.15</v>
      </c>
      <c r="AB209" s="353"/>
      <c r="AC209" s="34">
        <v>114473.88</v>
      </c>
      <c r="AD209" s="353"/>
      <c r="AE209" s="34"/>
      <c r="AF209" s="353"/>
      <c r="AG209" s="34"/>
      <c r="AH209" s="353"/>
      <c r="AI209" s="34"/>
      <c r="AJ209" s="353"/>
      <c r="AK209" s="34"/>
      <c r="AL209" s="364">
        <f t="shared" si="11"/>
        <v>286150.03000000003</v>
      </c>
      <c r="AM209" s="17">
        <f>VLOOKUP(B209,'[1]2018'!$A$7:$F$349,6,FALSE)</f>
        <v>57</v>
      </c>
      <c r="AN209" s="32">
        <f>VLOOKUP(A209,'[2]2018 (2)'!$B$1:$D$318,3,FALSE)</f>
        <v>1408</v>
      </c>
      <c r="AO209" s="15">
        <v>-15810.83</v>
      </c>
      <c r="AP209" s="34"/>
      <c r="AQ209" s="34">
        <v>-10364.26</v>
      </c>
      <c r="AR209" s="455">
        <v>0.9</v>
      </c>
    </row>
    <row r="210" spans="1:44" x14ac:dyDescent="0.25">
      <c r="A210" s="356">
        <v>5731</v>
      </c>
      <c r="B210" s="348" t="s">
        <v>330</v>
      </c>
      <c r="C210" s="348">
        <v>3302856.24</v>
      </c>
      <c r="D210" s="348">
        <v>403233.34</v>
      </c>
      <c r="E210" s="348"/>
      <c r="F210" s="348"/>
      <c r="G210" s="348">
        <v>9548.5</v>
      </c>
      <c r="H210" s="348">
        <v>683.8</v>
      </c>
      <c r="I210" s="348"/>
      <c r="J210" s="348">
        <v>2853.35</v>
      </c>
      <c r="K210" s="348">
        <v>5195.5</v>
      </c>
      <c r="L210" s="348">
        <v>377239.15</v>
      </c>
      <c r="M210" s="349">
        <f t="shared" si="9"/>
        <v>4101609.88</v>
      </c>
      <c r="N210" s="368">
        <v>31194.65</v>
      </c>
      <c r="O210" s="368">
        <v>362519.3</v>
      </c>
      <c r="P210" s="368">
        <v>192199.85</v>
      </c>
      <c r="Q210" s="368">
        <v>6738.99</v>
      </c>
      <c r="R210" s="368">
        <v>170338.2</v>
      </c>
      <c r="S210" s="368">
        <v>886.95</v>
      </c>
      <c r="T210" s="368"/>
      <c r="U210" s="368">
        <v>12550</v>
      </c>
      <c r="V210" s="368"/>
      <c r="W210" s="368"/>
      <c r="X210" s="349">
        <f t="shared" si="10"/>
        <v>4878037.82</v>
      </c>
      <c r="Y210" s="34">
        <v>191354.9</v>
      </c>
      <c r="Z210" s="353"/>
      <c r="AA210" s="34">
        <v>176330</v>
      </c>
      <c r="AB210" s="353"/>
      <c r="AC210" s="34">
        <v>126982.9</v>
      </c>
      <c r="AD210" s="353">
        <v>173464.9</v>
      </c>
      <c r="AE210" s="34"/>
      <c r="AF210" s="353"/>
      <c r="AG210" s="34">
        <v>12919.35</v>
      </c>
      <c r="AH210" s="353"/>
      <c r="AI210" s="34"/>
      <c r="AJ210" s="353"/>
      <c r="AK210" s="34"/>
      <c r="AL210" s="364">
        <f t="shared" si="11"/>
        <v>681052.05</v>
      </c>
      <c r="AM210" s="17">
        <f>VLOOKUP(B210,'[1]2018'!$A$7:$F$349,6,FALSE)</f>
        <v>75</v>
      </c>
      <c r="AN210" s="32">
        <f>VLOOKUP(A210,'[2]2018 (2)'!$B$1:$D$318,3,FALSE)</f>
        <v>1319</v>
      </c>
      <c r="AO210" s="15">
        <v>-19927.46</v>
      </c>
      <c r="AP210" s="34"/>
      <c r="AQ210" s="34">
        <v>-74.930000000000007</v>
      </c>
      <c r="AR210" s="455">
        <v>1.5</v>
      </c>
    </row>
    <row r="211" spans="1:44" x14ac:dyDescent="0.25">
      <c r="A211" s="356">
        <v>5732</v>
      </c>
      <c r="B211" s="348" t="s">
        <v>331</v>
      </c>
      <c r="C211" s="348">
        <v>2836834.71</v>
      </c>
      <c r="D211" s="348">
        <v>676078.82</v>
      </c>
      <c r="E211" s="348"/>
      <c r="F211" s="348"/>
      <c r="G211" s="348">
        <v>201336</v>
      </c>
      <c r="H211" s="348">
        <v>26931.5</v>
      </c>
      <c r="I211" s="348">
        <v>125649.60000000001</v>
      </c>
      <c r="J211" s="348">
        <v>140975.57</v>
      </c>
      <c r="K211" s="348">
        <v>16095.4</v>
      </c>
      <c r="L211" s="348">
        <v>310281.3</v>
      </c>
      <c r="M211" s="349">
        <f t="shared" si="9"/>
        <v>4334182.8999999994</v>
      </c>
      <c r="N211" s="368">
        <v>94359.45</v>
      </c>
      <c r="O211" s="368"/>
      <c r="P211" s="368">
        <v>484733.35</v>
      </c>
      <c r="Q211" s="368">
        <v>11623.78</v>
      </c>
      <c r="R211" s="368">
        <v>264370.5</v>
      </c>
      <c r="S211" s="368"/>
      <c r="T211" s="368"/>
      <c r="U211" s="368">
        <v>6800</v>
      </c>
      <c r="V211" s="368"/>
      <c r="W211" s="368"/>
      <c r="X211" s="349">
        <f t="shared" si="10"/>
        <v>5196069.9799999995</v>
      </c>
      <c r="Y211" s="34">
        <v>140954.65</v>
      </c>
      <c r="Z211" s="353"/>
      <c r="AA211" s="34">
        <v>168667.55</v>
      </c>
      <c r="AB211" s="353"/>
      <c r="AC211" s="34">
        <v>75305</v>
      </c>
      <c r="AD211" s="353">
        <v>265587.8</v>
      </c>
      <c r="AE211" s="34"/>
      <c r="AF211" s="353"/>
      <c r="AG211" s="34">
        <v>4347.2</v>
      </c>
      <c r="AH211" s="353">
        <v>57232</v>
      </c>
      <c r="AI211" s="34"/>
      <c r="AJ211" s="353"/>
      <c r="AK211" s="34"/>
      <c r="AL211" s="364">
        <f t="shared" si="11"/>
        <v>712094.2</v>
      </c>
      <c r="AM211" s="17">
        <f>VLOOKUP(B211,'[1]2018'!$A$7:$F$349,6,FALSE)</f>
        <v>67</v>
      </c>
      <c r="AN211" s="32">
        <f>VLOOKUP(A211,'[2]2018 (2)'!$B$1:$D$318,3,FALSE)</f>
        <v>1039</v>
      </c>
      <c r="AO211" s="15">
        <v>-17198.080000000002</v>
      </c>
      <c r="AP211" s="34"/>
      <c r="AQ211" s="34">
        <v>-3641.54</v>
      </c>
      <c r="AR211" s="455">
        <v>1</v>
      </c>
    </row>
    <row r="212" spans="1:44" x14ac:dyDescent="0.25">
      <c r="A212" s="356">
        <v>5741</v>
      </c>
      <c r="B212" s="348" t="s">
        <v>332</v>
      </c>
      <c r="C212" s="348">
        <v>519089.64</v>
      </c>
      <c r="D212" s="348">
        <v>57764.25</v>
      </c>
      <c r="E212" s="348"/>
      <c r="F212" s="348">
        <v>1430</v>
      </c>
      <c r="G212" s="348">
        <v>8283.75</v>
      </c>
      <c r="H212" s="348">
        <v>78.349999999999994</v>
      </c>
      <c r="I212" s="348"/>
      <c r="J212" s="348">
        <v>1758.91</v>
      </c>
      <c r="K212" s="348"/>
      <c r="L212" s="348">
        <v>42828.3</v>
      </c>
      <c r="M212" s="349">
        <f t="shared" si="9"/>
        <v>631233.20000000007</v>
      </c>
      <c r="N212" s="368">
        <v>6488.75</v>
      </c>
      <c r="O212" s="368"/>
      <c r="P212" s="368">
        <v>19970.599999999999</v>
      </c>
      <c r="Q212" s="368">
        <v>1982.75</v>
      </c>
      <c r="R212" s="368">
        <v>23772.9</v>
      </c>
      <c r="S212" s="368"/>
      <c r="T212" s="368"/>
      <c r="U212" s="368">
        <v>1060</v>
      </c>
      <c r="V212" s="368"/>
      <c r="W212" s="368"/>
      <c r="X212" s="349">
        <f t="shared" si="10"/>
        <v>684508.20000000007</v>
      </c>
      <c r="Y212" s="34">
        <v>21830</v>
      </c>
      <c r="Z212" s="353">
        <v>800</v>
      </c>
      <c r="AA212" s="34">
        <v>33912.5</v>
      </c>
      <c r="AB212" s="353">
        <v>3183</v>
      </c>
      <c r="AC212" s="34">
        <v>2201</v>
      </c>
      <c r="AD212" s="353">
        <v>26651.8</v>
      </c>
      <c r="AE212" s="34">
        <v>14780.95</v>
      </c>
      <c r="AF212" s="353">
        <v>880</v>
      </c>
      <c r="AG212" s="34"/>
      <c r="AH212" s="353"/>
      <c r="AI212" s="34"/>
      <c r="AJ212" s="353"/>
      <c r="AK212" s="34"/>
      <c r="AL212" s="364">
        <f t="shared" si="11"/>
        <v>104239.25</v>
      </c>
      <c r="AM212" s="17">
        <f>VLOOKUP(B212,'[1]2018'!$A$7:$F$349,6,FALSE)</f>
        <v>81</v>
      </c>
      <c r="AN212" s="32">
        <f>VLOOKUP(A212,'[2]2018 (2)'!$B$1:$D$318,3,FALSE)</f>
        <v>248</v>
      </c>
      <c r="AO212" s="15">
        <v>-21458.67</v>
      </c>
      <c r="AP212" s="34"/>
      <c r="AQ212" s="34">
        <v>-8.48</v>
      </c>
      <c r="AR212" s="455">
        <v>1.2</v>
      </c>
    </row>
    <row r="213" spans="1:44" x14ac:dyDescent="0.25">
      <c r="A213" s="356">
        <v>5742</v>
      </c>
      <c r="B213" s="348" t="s">
        <v>333</v>
      </c>
      <c r="C213" s="348">
        <v>554552.49</v>
      </c>
      <c r="D213" s="348">
        <v>51359.13</v>
      </c>
      <c r="E213" s="348"/>
      <c r="F213" s="348"/>
      <c r="G213" s="348">
        <v>14780.45</v>
      </c>
      <c r="H213" s="348">
        <v>155.30000000000001</v>
      </c>
      <c r="I213" s="348"/>
      <c r="J213" s="348">
        <v>24860.81</v>
      </c>
      <c r="K213" s="348">
        <v>743.3</v>
      </c>
      <c r="L213" s="348">
        <v>25016.25</v>
      </c>
      <c r="M213" s="349">
        <f t="shared" si="9"/>
        <v>671467.7300000001</v>
      </c>
      <c r="N213" s="368"/>
      <c r="O213" s="368">
        <v>74.599999999999994</v>
      </c>
      <c r="P213" s="368">
        <v>8781.7000000000007</v>
      </c>
      <c r="Q213" s="368"/>
      <c r="R213" s="368">
        <v>13127.9</v>
      </c>
      <c r="S213" s="368"/>
      <c r="T213" s="368"/>
      <c r="U213" s="368">
        <v>2040</v>
      </c>
      <c r="V213" s="368"/>
      <c r="W213" s="368"/>
      <c r="X213" s="349">
        <f t="shared" si="10"/>
        <v>695491.93</v>
      </c>
      <c r="Y213" s="34"/>
      <c r="Z213" s="353"/>
      <c r="AA213" s="34">
        <v>30086.75</v>
      </c>
      <c r="AB213" s="353"/>
      <c r="AC213" s="34">
        <v>28851</v>
      </c>
      <c r="AD213" s="353">
        <v>4415</v>
      </c>
      <c r="AE213" s="34"/>
      <c r="AF213" s="353"/>
      <c r="AG213" s="34"/>
      <c r="AH213" s="353"/>
      <c r="AI213" s="34"/>
      <c r="AJ213" s="353"/>
      <c r="AK213" s="34"/>
      <c r="AL213" s="364">
        <f t="shared" si="11"/>
        <v>63352.75</v>
      </c>
      <c r="AM213" s="17">
        <f>VLOOKUP(B213,'[1]2018'!$A$7:$F$349,6,FALSE)</f>
        <v>76</v>
      </c>
      <c r="AN213" s="32">
        <f>VLOOKUP(A213,'[2]2018 (2)'!$B$1:$D$318,3,FALSE)</f>
        <v>327</v>
      </c>
      <c r="AO213" s="15">
        <v>-2413.75</v>
      </c>
      <c r="AP213" s="34"/>
      <c r="AQ213" s="34">
        <v>0</v>
      </c>
      <c r="AR213" s="455">
        <v>0.5</v>
      </c>
    </row>
    <row r="214" spans="1:44" x14ac:dyDescent="0.25">
      <c r="A214" s="356">
        <v>5743</v>
      </c>
      <c r="B214" s="348" t="s">
        <v>270</v>
      </c>
      <c r="C214" s="348">
        <v>1099020.1399999999</v>
      </c>
      <c r="D214" s="348">
        <v>133154.35</v>
      </c>
      <c r="E214" s="348"/>
      <c r="F214" s="348"/>
      <c r="G214" s="348">
        <v>-1072.1500000000001</v>
      </c>
      <c r="H214" s="348">
        <v>561.4</v>
      </c>
      <c r="I214" s="348"/>
      <c r="J214" s="348">
        <v>26297.83</v>
      </c>
      <c r="K214" s="348"/>
      <c r="L214" s="348">
        <v>66987.95</v>
      </c>
      <c r="M214" s="349">
        <f t="shared" si="9"/>
        <v>1324949.52</v>
      </c>
      <c r="N214" s="368">
        <v>28250.799999999999</v>
      </c>
      <c r="O214" s="368">
        <v>210098.3</v>
      </c>
      <c r="P214" s="368">
        <v>23557.8</v>
      </c>
      <c r="Q214" s="368">
        <v>9230.08</v>
      </c>
      <c r="R214" s="368">
        <v>49618.7</v>
      </c>
      <c r="S214" s="368"/>
      <c r="T214" s="368"/>
      <c r="U214" s="368">
        <v>2290</v>
      </c>
      <c r="V214" s="368"/>
      <c r="W214" s="368"/>
      <c r="X214" s="349">
        <f t="shared" si="10"/>
        <v>1647995.2000000002</v>
      </c>
      <c r="Y214" s="34">
        <v>27268</v>
      </c>
      <c r="Z214" s="353"/>
      <c r="AA214" s="34">
        <v>55600.2</v>
      </c>
      <c r="AB214" s="353"/>
      <c r="AC214" s="34">
        <v>29057.7</v>
      </c>
      <c r="AD214" s="353">
        <v>551.29999999999995</v>
      </c>
      <c r="AE214" s="34"/>
      <c r="AF214" s="353"/>
      <c r="AG214" s="34"/>
      <c r="AH214" s="353"/>
      <c r="AI214" s="34"/>
      <c r="AJ214" s="353"/>
      <c r="AK214" s="34"/>
      <c r="AL214" s="364">
        <f t="shared" si="11"/>
        <v>112477.2</v>
      </c>
      <c r="AM214" s="17">
        <f>VLOOKUP(B214,'[1]2018'!$A$7:$F$349,6,FALSE)</f>
        <v>73</v>
      </c>
      <c r="AN214" s="32">
        <f>VLOOKUP(A214,'[2]2018 (2)'!$B$1:$D$318,3,FALSE)</f>
        <v>631</v>
      </c>
      <c r="AO214" s="15">
        <v>-10345.41</v>
      </c>
      <c r="AP214" s="34"/>
      <c r="AQ214" s="34">
        <v>-89.1</v>
      </c>
      <c r="AR214" s="455">
        <v>0.8</v>
      </c>
    </row>
    <row r="215" spans="1:44" x14ac:dyDescent="0.25">
      <c r="A215" s="356">
        <v>5744</v>
      </c>
      <c r="B215" s="348" t="s">
        <v>271</v>
      </c>
      <c r="C215" s="348">
        <v>1387017.55</v>
      </c>
      <c r="D215" s="348">
        <v>218820.59</v>
      </c>
      <c r="E215" s="348"/>
      <c r="F215" s="348">
        <v>6180</v>
      </c>
      <c r="G215" s="348">
        <v>1519164.7</v>
      </c>
      <c r="H215" s="348">
        <v>-213226.65</v>
      </c>
      <c r="I215" s="348"/>
      <c r="J215" s="348">
        <v>20499.759999999998</v>
      </c>
      <c r="K215" s="348"/>
      <c r="L215" s="348">
        <v>168929.9</v>
      </c>
      <c r="M215" s="349">
        <f t="shared" si="9"/>
        <v>3107385.8499999996</v>
      </c>
      <c r="N215" s="368">
        <v>1259054.6499999999</v>
      </c>
      <c r="O215" s="368">
        <v>48906</v>
      </c>
      <c r="P215" s="368">
        <v>37562.1</v>
      </c>
      <c r="Q215" s="368">
        <v>-2184.1</v>
      </c>
      <c r="R215" s="368">
        <v>31561.599999999999</v>
      </c>
      <c r="S215" s="368">
        <v>125</v>
      </c>
      <c r="T215" s="368"/>
      <c r="U215" s="368">
        <v>4245</v>
      </c>
      <c r="V215" s="368">
        <v>60</v>
      </c>
      <c r="W215" s="368"/>
      <c r="X215" s="349">
        <f t="shared" si="10"/>
        <v>4486716.0999999996</v>
      </c>
      <c r="Y215" s="34">
        <v>37418.699999999997</v>
      </c>
      <c r="Z215" s="353"/>
      <c r="AA215" s="34">
        <v>65096.6</v>
      </c>
      <c r="AB215" s="353"/>
      <c r="AC215" s="34">
        <v>103388.6</v>
      </c>
      <c r="AD215" s="353">
        <v>38611.699999999997</v>
      </c>
      <c r="AE215" s="34"/>
      <c r="AF215" s="353"/>
      <c r="AG215" s="34"/>
      <c r="AH215" s="353">
        <v>105975.8</v>
      </c>
      <c r="AI215" s="34"/>
      <c r="AJ215" s="353"/>
      <c r="AK215" s="34"/>
      <c r="AL215" s="364">
        <f t="shared" si="11"/>
        <v>350491.39999999997</v>
      </c>
      <c r="AM215" s="17">
        <f>VLOOKUP(B215,'[1]2018'!$A$7:$F$349,6,FALSE)</f>
        <v>66</v>
      </c>
      <c r="AN215" s="32">
        <f>VLOOKUP(A215,'[2]2018 (2)'!$B$1:$D$318,3,FALSE)</f>
        <v>1075</v>
      </c>
      <c r="AO215" s="15">
        <v>-67670.95</v>
      </c>
      <c r="AP215" s="34"/>
      <c r="AQ215" s="34">
        <v>-515.66</v>
      </c>
      <c r="AR215" s="455">
        <v>1</v>
      </c>
    </row>
    <row r="216" spans="1:44" x14ac:dyDescent="0.25">
      <c r="A216" s="356">
        <v>5745</v>
      </c>
      <c r="B216" s="348" t="s">
        <v>272</v>
      </c>
      <c r="C216" s="348">
        <v>1690969.85</v>
      </c>
      <c r="D216" s="348">
        <v>232470.76</v>
      </c>
      <c r="E216" s="348"/>
      <c r="F216" s="348"/>
      <c r="G216" s="348">
        <v>96495.45</v>
      </c>
      <c r="H216" s="348">
        <v>334.7</v>
      </c>
      <c r="I216" s="348"/>
      <c r="J216" s="348">
        <v>20439.599999999999</v>
      </c>
      <c r="K216" s="348"/>
      <c r="L216" s="348">
        <v>124424.6</v>
      </c>
      <c r="M216" s="349">
        <f t="shared" si="9"/>
        <v>2165134.96</v>
      </c>
      <c r="N216" s="368">
        <v>206170.15</v>
      </c>
      <c r="O216" s="368">
        <v>115901.1</v>
      </c>
      <c r="P216" s="368">
        <v>79709.55</v>
      </c>
      <c r="Q216" s="368">
        <v>10009.02</v>
      </c>
      <c r="R216" s="368">
        <v>107866.15</v>
      </c>
      <c r="S216" s="368"/>
      <c r="T216" s="368"/>
      <c r="U216" s="368">
        <v>3175</v>
      </c>
      <c r="V216" s="368"/>
      <c r="W216" s="368"/>
      <c r="X216" s="349">
        <f t="shared" si="10"/>
        <v>2687965.9299999997</v>
      </c>
      <c r="Y216" s="34"/>
      <c r="Z216" s="353"/>
      <c r="AA216" s="34">
        <v>131504.07</v>
      </c>
      <c r="AB216" s="353"/>
      <c r="AC216" s="34">
        <v>66873.45</v>
      </c>
      <c r="AD216" s="353"/>
      <c r="AE216" s="34"/>
      <c r="AF216" s="353"/>
      <c r="AG216" s="34"/>
      <c r="AH216" s="353">
        <v>25092.45</v>
      </c>
      <c r="AI216" s="34"/>
      <c r="AJ216" s="353"/>
      <c r="AK216" s="34"/>
      <c r="AL216" s="364">
        <f t="shared" si="11"/>
        <v>223469.97000000003</v>
      </c>
      <c r="AM216" s="17">
        <f>VLOOKUP(B216,'[1]2018'!$A$7:$F$349,6,FALSE)</f>
        <v>78</v>
      </c>
      <c r="AN216" s="32">
        <f>VLOOKUP(A216,'[2]2018 (2)'!$B$1:$D$318,3,FALSE)</f>
        <v>1027</v>
      </c>
      <c r="AO216" s="15">
        <v>-66102.69</v>
      </c>
      <c r="AP216" s="34"/>
      <c r="AQ216" s="34">
        <v>-24.58</v>
      </c>
      <c r="AR216" s="455">
        <v>1</v>
      </c>
    </row>
    <row r="217" spans="1:44" x14ac:dyDescent="0.25">
      <c r="A217" s="356">
        <v>5746</v>
      </c>
      <c r="B217" s="348" t="s">
        <v>273</v>
      </c>
      <c r="C217" s="348">
        <v>1613870.55</v>
      </c>
      <c r="D217" s="348">
        <v>161623.41</v>
      </c>
      <c r="E217" s="348"/>
      <c r="F217" s="348"/>
      <c r="G217" s="348">
        <v>32473.8</v>
      </c>
      <c r="H217" s="348">
        <v>479.05</v>
      </c>
      <c r="I217" s="348"/>
      <c r="J217" s="348">
        <v>21384.93</v>
      </c>
      <c r="K217" s="348"/>
      <c r="L217" s="348">
        <v>204317.3</v>
      </c>
      <c r="M217" s="349">
        <f t="shared" si="9"/>
        <v>2034149.04</v>
      </c>
      <c r="N217" s="368">
        <v>25740.55</v>
      </c>
      <c r="O217" s="368">
        <v>3444.1</v>
      </c>
      <c r="P217" s="368">
        <v>92831.15</v>
      </c>
      <c r="Q217" s="368">
        <v>18143.740000000002</v>
      </c>
      <c r="R217" s="368">
        <v>31771.25</v>
      </c>
      <c r="S217" s="368">
        <v>375</v>
      </c>
      <c r="T217" s="368">
        <v>1547.25</v>
      </c>
      <c r="U217" s="368">
        <v>5160</v>
      </c>
      <c r="V217" s="368">
        <v>681.15</v>
      </c>
      <c r="W217" s="368"/>
      <c r="X217" s="349">
        <f t="shared" si="10"/>
        <v>2213843.2300000004</v>
      </c>
      <c r="Y217" s="34">
        <v>26001</v>
      </c>
      <c r="Z217" s="353"/>
      <c r="AA217" s="34">
        <v>104561.8</v>
      </c>
      <c r="AB217" s="353"/>
      <c r="AC217" s="34">
        <v>67669.399999999994</v>
      </c>
      <c r="AD217" s="353">
        <v>3718.1</v>
      </c>
      <c r="AE217" s="34"/>
      <c r="AF217" s="353"/>
      <c r="AG217" s="34"/>
      <c r="AH217" s="353">
        <v>29104.3</v>
      </c>
      <c r="AI217" s="34"/>
      <c r="AJ217" s="353"/>
      <c r="AK217" s="34"/>
      <c r="AL217" s="364">
        <f t="shared" si="11"/>
        <v>231054.6</v>
      </c>
      <c r="AM217" s="17">
        <f>VLOOKUP(B217,'[1]2018'!$A$7:$F$349,6,FALSE)</f>
        <v>73</v>
      </c>
      <c r="AN217" s="32">
        <f>VLOOKUP(A217,'[2]2018 (2)'!$B$1:$D$318,3,FALSE)</f>
        <v>942</v>
      </c>
      <c r="AO217" s="15">
        <v>-65197.52</v>
      </c>
      <c r="AP217" s="34"/>
      <c r="AQ217" s="34">
        <v>-34.4</v>
      </c>
      <c r="AR217" s="455">
        <v>1.2</v>
      </c>
    </row>
    <row r="218" spans="1:44" x14ac:dyDescent="0.25">
      <c r="A218" s="356">
        <v>5747</v>
      </c>
      <c r="B218" s="348" t="s">
        <v>274</v>
      </c>
      <c r="C218" s="348">
        <v>278681.28999999998</v>
      </c>
      <c r="D218" s="348">
        <v>37399.050000000003</v>
      </c>
      <c r="E218" s="348"/>
      <c r="F218" s="348"/>
      <c r="G218" s="348">
        <v>2061.1</v>
      </c>
      <c r="H218" s="348">
        <v>233.15</v>
      </c>
      <c r="I218" s="348"/>
      <c r="J218" s="348">
        <v>120.99</v>
      </c>
      <c r="K218" s="348"/>
      <c r="L218" s="348">
        <v>28996.75</v>
      </c>
      <c r="M218" s="349">
        <f t="shared" si="9"/>
        <v>347492.32999999996</v>
      </c>
      <c r="N218" s="368"/>
      <c r="O218" s="368">
        <v>4093.2</v>
      </c>
      <c r="P218" s="368">
        <v>25300</v>
      </c>
      <c r="Q218" s="368"/>
      <c r="R218" s="368">
        <v>9631.4</v>
      </c>
      <c r="S218" s="368"/>
      <c r="T218" s="368"/>
      <c r="U218" s="368">
        <v>520</v>
      </c>
      <c r="V218" s="368"/>
      <c r="W218" s="368"/>
      <c r="X218" s="349">
        <f t="shared" si="10"/>
        <v>387036.93</v>
      </c>
      <c r="Y218" s="34" t="s">
        <v>649</v>
      </c>
      <c r="Z218" s="34" t="s">
        <v>649</v>
      </c>
      <c r="AA218" s="34">
        <v>18790</v>
      </c>
      <c r="AB218" s="34" t="s">
        <v>649</v>
      </c>
      <c r="AC218" s="34">
        <v>16672.25</v>
      </c>
      <c r="AD218" s="34">
        <v>8640</v>
      </c>
      <c r="AE218" s="34" t="s">
        <v>649</v>
      </c>
      <c r="AF218" s="34" t="s">
        <v>649</v>
      </c>
      <c r="AG218" s="34" t="s">
        <v>649</v>
      </c>
      <c r="AH218" s="34"/>
      <c r="AI218" s="34"/>
      <c r="AJ218" s="34"/>
      <c r="AK218" s="34"/>
      <c r="AL218" s="364">
        <f t="shared" si="11"/>
        <v>44102.25</v>
      </c>
      <c r="AM218" s="17">
        <f>VLOOKUP(B218,'[1]2018'!$A$7:$F$349,6,FALSE)</f>
        <v>69</v>
      </c>
      <c r="AN218" s="32">
        <f>VLOOKUP(A218,'[2]2018 (2)'!$B$1:$D$318,3,FALSE)</f>
        <v>196</v>
      </c>
      <c r="AO218" s="15">
        <v>-3497.6</v>
      </c>
      <c r="AP218" s="34"/>
      <c r="AQ218" s="34">
        <v>0</v>
      </c>
      <c r="AR218" s="455">
        <v>1</v>
      </c>
    </row>
    <row r="219" spans="1:44" x14ac:dyDescent="0.25">
      <c r="A219" s="356">
        <v>5748</v>
      </c>
      <c r="B219" s="348" t="s">
        <v>275</v>
      </c>
      <c r="C219" s="348">
        <v>334437.09000000003</v>
      </c>
      <c r="D219" s="348">
        <v>35082.21</v>
      </c>
      <c r="E219" s="348"/>
      <c r="F219" s="348">
        <v>2110</v>
      </c>
      <c r="G219" s="348">
        <v>993.95</v>
      </c>
      <c r="H219" s="348">
        <v>53.45</v>
      </c>
      <c r="I219" s="348"/>
      <c r="J219" s="348">
        <v>1202.69</v>
      </c>
      <c r="K219" s="348"/>
      <c r="L219" s="348">
        <v>21433.75</v>
      </c>
      <c r="M219" s="349">
        <f t="shared" si="9"/>
        <v>395313.14000000007</v>
      </c>
      <c r="N219" s="368">
        <v>5549.6</v>
      </c>
      <c r="O219" s="368">
        <v>27639.599999999999</v>
      </c>
      <c r="P219" s="368">
        <v>11385</v>
      </c>
      <c r="Q219" s="368"/>
      <c r="R219" s="368">
        <v>5162.5</v>
      </c>
      <c r="S219" s="368">
        <v>75</v>
      </c>
      <c r="T219" s="368"/>
      <c r="U219" s="368">
        <v>1375</v>
      </c>
      <c r="V219" s="368"/>
      <c r="W219" s="368"/>
      <c r="X219" s="349">
        <f t="shared" si="10"/>
        <v>446499.84000000003</v>
      </c>
      <c r="Y219" s="34">
        <v>3414</v>
      </c>
      <c r="Z219" s="34">
        <v>366</v>
      </c>
      <c r="AA219" s="34">
        <v>31370</v>
      </c>
      <c r="AB219" s="34">
        <v>0</v>
      </c>
      <c r="AC219" s="34">
        <v>23828</v>
      </c>
      <c r="AD219" s="34">
        <v>2049</v>
      </c>
      <c r="AE219" s="34">
        <v>733</v>
      </c>
      <c r="AF219" s="34">
        <v>0</v>
      </c>
      <c r="AG219" s="34">
        <v>0</v>
      </c>
      <c r="AH219" s="34">
        <v>0</v>
      </c>
      <c r="AI219" s="34">
        <v>0</v>
      </c>
      <c r="AJ219" s="34">
        <v>0</v>
      </c>
      <c r="AK219" s="34">
        <v>0</v>
      </c>
      <c r="AL219" s="364">
        <f t="shared" si="11"/>
        <v>61760</v>
      </c>
      <c r="AM219" s="17">
        <f>VLOOKUP(B219,'[1]2018'!$A$7:$F$349,6,FALSE)</f>
        <v>72</v>
      </c>
      <c r="AN219" s="32">
        <f>VLOOKUP(A219,'[2]2018 (2)'!$B$1:$D$318,3,FALSE)</f>
        <v>265</v>
      </c>
      <c r="AO219" s="15">
        <v>-9761.6299999999992</v>
      </c>
      <c r="AP219" s="34"/>
      <c r="AQ219" s="34">
        <v>0</v>
      </c>
      <c r="AR219" s="455">
        <v>0.6</v>
      </c>
    </row>
    <row r="220" spans="1:44" x14ac:dyDescent="0.25">
      <c r="A220" s="356">
        <v>5749</v>
      </c>
      <c r="B220" s="348" t="s">
        <v>276</v>
      </c>
      <c r="C220" s="348">
        <v>7831525.5999999996</v>
      </c>
      <c r="D220" s="348">
        <v>738004.66</v>
      </c>
      <c r="E220" s="348"/>
      <c r="F220" s="348"/>
      <c r="G220" s="348">
        <v>665793.69999999995</v>
      </c>
      <c r="H220" s="348">
        <v>14550.4</v>
      </c>
      <c r="I220" s="348"/>
      <c r="J220" s="348">
        <v>194960.79</v>
      </c>
      <c r="K220" s="348">
        <v>68217.850000000006</v>
      </c>
      <c r="L220" s="348">
        <v>771803.55</v>
      </c>
      <c r="M220" s="349">
        <f t="shared" si="9"/>
        <v>10284856.549999999</v>
      </c>
      <c r="N220" s="368">
        <v>656402.80000000005</v>
      </c>
      <c r="O220" s="368">
        <v>5808</v>
      </c>
      <c r="P220" s="368">
        <v>243609.45</v>
      </c>
      <c r="Q220" s="368">
        <v>66804.34</v>
      </c>
      <c r="R220" s="368">
        <v>140242.1</v>
      </c>
      <c r="S220" s="368"/>
      <c r="T220" s="368">
        <v>10979.45</v>
      </c>
      <c r="U220" s="368">
        <v>26200</v>
      </c>
      <c r="V220" s="368"/>
      <c r="W220" s="368"/>
      <c r="X220" s="349">
        <f t="shared" si="10"/>
        <v>11434902.689999998</v>
      </c>
      <c r="Y220" s="34">
        <v>68463.899999999994</v>
      </c>
      <c r="Z220" s="353"/>
      <c r="AA220" s="34">
        <v>739432.8</v>
      </c>
      <c r="AB220" s="353"/>
      <c r="AC220" s="34">
        <v>620168.77</v>
      </c>
      <c r="AD220" s="353">
        <v>56294.05</v>
      </c>
      <c r="AE220" s="34"/>
      <c r="AF220" s="353"/>
      <c r="AG220" s="34"/>
      <c r="AH220" s="353">
        <v>173620.15</v>
      </c>
      <c r="AI220" s="34"/>
      <c r="AJ220" s="353"/>
      <c r="AK220" s="34"/>
      <c r="AL220" s="364">
        <f t="shared" si="11"/>
        <v>1657979.6700000002</v>
      </c>
      <c r="AM220" s="17">
        <f>VLOOKUP(B220,'[1]2018'!$A$7:$F$349,6,FALSE)</f>
        <v>72</v>
      </c>
      <c r="AN220" s="32">
        <f>VLOOKUP(A220,'[2]2018 (2)'!$B$1:$D$318,3,FALSE)</f>
        <v>4996</v>
      </c>
      <c r="AO220" s="15">
        <v>-215149.95</v>
      </c>
      <c r="AP220" s="34"/>
      <c r="AQ220" s="34">
        <v>-696.82</v>
      </c>
      <c r="AR220" s="455">
        <v>1</v>
      </c>
    </row>
    <row r="221" spans="1:44" x14ac:dyDescent="0.25">
      <c r="A221" s="356">
        <v>5750</v>
      </c>
      <c r="B221" s="348" t="s">
        <v>277</v>
      </c>
      <c r="C221" s="348">
        <v>361478.21</v>
      </c>
      <c r="D221" s="348">
        <v>46803.76</v>
      </c>
      <c r="E221" s="348"/>
      <c r="F221" s="348">
        <v>1070</v>
      </c>
      <c r="G221" s="348">
        <v>-735.55</v>
      </c>
      <c r="H221" s="348">
        <v>83.35</v>
      </c>
      <c r="I221" s="348"/>
      <c r="J221" s="348">
        <v>10349.67</v>
      </c>
      <c r="K221" s="348">
        <v>230.65</v>
      </c>
      <c r="L221" s="348">
        <v>13456.95</v>
      </c>
      <c r="M221" s="349">
        <f t="shared" si="9"/>
        <v>432737.04000000004</v>
      </c>
      <c r="N221" s="368"/>
      <c r="O221" s="368"/>
      <c r="P221" s="368"/>
      <c r="Q221" s="368">
        <v>31379.14</v>
      </c>
      <c r="R221" s="368">
        <v>174.95</v>
      </c>
      <c r="S221" s="368"/>
      <c r="T221" s="368"/>
      <c r="U221" s="368">
        <v>800</v>
      </c>
      <c r="V221" s="368"/>
      <c r="W221" s="368"/>
      <c r="X221" s="349">
        <f t="shared" si="10"/>
        <v>465091.13000000006</v>
      </c>
      <c r="Y221" s="34">
        <v>1707.3</v>
      </c>
      <c r="Z221" s="34">
        <v>0</v>
      </c>
      <c r="AA221" s="34">
        <v>35234</v>
      </c>
      <c r="AB221" s="34">
        <v>0</v>
      </c>
      <c r="AC221" s="34">
        <v>20241.02</v>
      </c>
      <c r="AD221" s="34">
        <v>1748.85</v>
      </c>
      <c r="AE221" s="34" t="s">
        <v>649</v>
      </c>
      <c r="AF221" s="34" t="s">
        <v>649</v>
      </c>
      <c r="AG221" s="34">
        <v>246</v>
      </c>
      <c r="AH221" s="34">
        <v>4688.1499999999996</v>
      </c>
      <c r="AI221" s="34"/>
      <c r="AJ221" s="34"/>
      <c r="AK221" s="34"/>
      <c r="AL221" s="364">
        <f t="shared" si="11"/>
        <v>63865.320000000007</v>
      </c>
      <c r="AM221" s="17">
        <f>VLOOKUP(B221,'[1]2018'!$A$7:$F$349,6,FALSE)</f>
        <v>80</v>
      </c>
      <c r="AN221" s="32">
        <f>VLOOKUP(A221,'[2]2018 (2)'!$B$1:$D$318,3,FALSE)</f>
        <v>185</v>
      </c>
      <c r="AO221" s="15">
        <v>-60324.88</v>
      </c>
      <c r="AP221" s="34"/>
      <c r="AQ221" s="34">
        <v>-337.25</v>
      </c>
      <c r="AR221" s="455">
        <v>0.6</v>
      </c>
    </row>
    <row r="222" spans="1:44" x14ac:dyDescent="0.25">
      <c r="A222" s="356">
        <v>5752</v>
      </c>
      <c r="B222" s="348" t="s">
        <v>338</v>
      </c>
      <c r="C222" s="348">
        <v>677979.36</v>
      </c>
      <c r="D222" s="348">
        <v>89370.63</v>
      </c>
      <c r="E222" s="348"/>
      <c r="F222" s="348"/>
      <c r="G222" s="348">
        <v>1153.4000000000001</v>
      </c>
      <c r="H222" s="348">
        <v>633.35</v>
      </c>
      <c r="I222" s="348"/>
      <c r="J222" s="348">
        <v>16741.73</v>
      </c>
      <c r="K222" s="348">
        <v>741.3</v>
      </c>
      <c r="L222" s="348">
        <v>37278.199999999997</v>
      </c>
      <c r="M222" s="349">
        <f t="shared" si="9"/>
        <v>823897.97</v>
      </c>
      <c r="N222" s="368">
        <v>27809.35</v>
      </c>
      <c r="O222" s="368">
        <v>6783.4</v>
      </c>
      <c r="P222" s="368">
        <v>16997.2</v>
      </c>
      <c r="Q222" s="368">
        <v>4712.21</v>
      </c>
      <c r="R222" s="368">
        <v>13223.5</v>
      </c>
      <c r="S222" s="368"/>
      <c r="T222" s="368"/>
      <c r="U222" s="368">
        <v>1850</v>
      </c>
      <c r="V222" s="368"/>
      <c r="W222" s="368"/>
      <c r="X222" s="349">
        <f t="shared" si="10"/>
        <v>895273.62999999989</v>
      </c>
      <c r="Y222" s="34"/>
      <c r="Z222" s="353"/>
      <c r="AA222" s="34">
        <v>58804.800000000003</v>
      </c>
      <c r="AB222" s="353"/>
      <c r="AC222" s="34">
        <v>28735</v>
      </c>
      <c r="AD222" s="353"/>
      <c r="AE222" s="34"/>
      <c r="AF222" s="353"/>
      <c r="AG222" s="34"/>
      <c r="AH222" s="353"/>
      <c r="AI222" s="34"/>
      <c r="AJ222" s="353"/>
      <c r="AK222" s="34"/>
      <c r="AL222" s="364">
        <f t="shared" si="11"/>
        <v>87539.8</v>
      </c>
      <c r="AM222" s="17">
        <f>VLOOKUP(B222,'[1]2018'!$A$7:$F$349,6,FALSE)</f>
        <v>74</v>
      </c>
      <c r="AN222" s="32">
        <f>VLOOKUP(A222,'[2]2018 (2)'!$B$1:$D$318,3,FALSE)</f>
        <v>404</v>
      </c>
      <c r="AO222" s="15">
        <v>-47433.3</v>
      </c>
      <c r="AP222" s="34"/>
      <c r="AQ222" s="34">
        <v>-1430.85</v>
      </c>
      <c r="AR222" s="455">
        <v>0.7</v>
      </c>
    </row>
    <row r="223" spans="1:44" x14ac:dyDescent="0.25">
      <c r="A223" s="356">
        <v>5754</v>
      </c>
      <c r="B223" s="348" t="s">
        <v>339</v>
      </c>
      <c r="C223" s="348">
        <v>528866.04</v>
      </c>
      <c r="D223" s="348">
        <v>53497.9</v>
      </c>
      <c r="E223" s="348"/>
      <c r="F223" s="348"/>
      <c r="G223" s="348">
        <v>712.4</v>
      </c>
      <c r="H223" s="348">
        <v>705.8</v>
      </c>
      <c r="I223" s="348"/>
      <c r="J223" s="348">
        <v>13714.27</v>
      </c>
      <c r="K223" s="348">
        <v>931</v>
      </c>
      <c r="L223" s="348">
        <v>38354.1</v>
      </c>
      <c r="M223" s="349">
        <f t="shared" si="9"/>
        <v>636781.51000000013</v>
      </c>
      <c r="N223" s="368">
        <v>1446.55</v>
      </c>
      <c r="O223" s="368"/>
      <c r="P223" s="368">
        <v>8614.9</v>
      </c>
      <c r="Q223" s="368"/>
      <c r="R223" s="368"/>
      <c r="S223" s="368"/>
      <c r="T223" s="368"/>
      <c r="U223" s="368">
        <v>1520</v>
      </c>
      <c r="V223" s="368"/>
      <c r="W223" s="368"/>
      <c r="X223" s="349">
        <f t="shared" si="10"/>
        <v>648362.9600000002</v>
      </c>
      <c r="Y223" s="34">
        <v>22150</v>
      </c>
      <c r="Z223" s="353"/>
      <c r="AA223" s="34">
        <v>39590</v>
      </c>
      <c r="AB223" s="353"/>
      <c r="AC223" s="34">
        <v>20613</v>
      </c>
      <c r="AD223" s="353">
        <v>7760</v>
      </c>
      <c r="AE223" s="34"/>
      <c r="AF223" s="353"/>
      <c r="AG223" s="34"/>
      <c r="AH223" s="353">
        <v>6949</v>
      </c>
      <c r="AI223" s="34"/>
      <c r="AJ223" s="353"/>
      <c r="AK223" s="34"/>
      <c r="AL223" s="364">
        <f t="shared" si="11"/>
        <v>97062</v>
      </c>
      <c r="AM223" s="17">
        <f>VLOOKUP(B223,'[1]2018'!$A$7:$F$349,6,FALSE)</f>
        <v>79</v>
      </c>
      <c r="AN223" s="32">
        <f>VLOOKUP(A223,'[2]2018 (2)'!$B$1:$D$318,3,FALSE)</f>
        <v>308</v>
      </c>
      <c r="AO223" s="15">
        <v>-1905.45</v>
      </c>
      <c r="AP223" s="34"/>
      <c r="AQ223" s="34">
        <v>-35.479999999999997</v>
      </c>
      <c r="AR223" s="455">
        <v>1</v>
      </c>
    </row>
    <row r="224" spans="1:44" x14ac:dyDescent="0.25">
      <c r="A224" s="356">
        <v>5755</v>
      </c>
      <c r="B224" s="348" t="s">
        <v>340</v>
      </c>
      <c r="C224" s="348">
        <v>622915.04</v>
      </c>
      <c r="D224" s="348">
        <v>66279.960000000006</v>
      </c>
      <c r="E224" s="348"/>
      <c r="F224" s="348"/>
      <c r="G224" s="348">
        <v>15008.7</v>
      </c>
      <c r="H224" s="348">
        <v>1078.55</v>
      </c>
      <c r="I224" s="348">
        <v>7604</v>
      </c>
      <c r="J224" s="348">
        <v>11297.85</v>
      </c>
      <c r="K224" s="348">
        <v>852.6</v>
      </c>
      <c r="L224" s="348">
        <v>41295.199999999997</v>
      </c>
      <c r="M224" s="349">
        <f t="shared" si="9"/>
        <v>766331.89999999991</v>
      </c>
      <c r="N224" s="368">
        <v>18805.45</v>
      </c>
      <c r="O224" s="368"/>
      <c r="P224" s="368">
        <v>22234.65</v>
      </c>
      <c r="Q224" s="368">
        <v>449.88</v>
      </c>
      <c r="R224" s="368">
        <v>8883.5</v>
      </c>
      <c r="S224" s="368"/>
      <c r="T224" s="368"/>
      <c r="U224" s="368">
        <v>2850</v>
      </c>
      <c r="V224" s="368"/>
      <c r="W224" s="368"/>
      <c r="X224" s="349">
        <f t="shared" si="10"/>
        <v>819555.37999999989</v>
      </c>
      <c r="Y224" s="34">
        <v>4320</v>
      </c>
      <c r="Z224" s="353"/>
      <c r="AA224" s="34">
        <v>59396.75</v>
      </c>
      <c r="AB224" s="353"/>
      <c r="AC224" s="34">
        <v>48284.98</v>
      </c>
      <c r="AD224" s="353">
        <v>4320</v>
      </c>
      <c r="AE224" s="34"/>
      <c r="AF224" s="353"/>
      <c r="AG224" s="34"/>
      <c r="AH224" s="353"/>
      <c r="AI224" s="34"/>
      <c r="AJ224" s="353"/>
      <c r="AK224" s="34"/>
      <c r="AL224" s="364">
        <f t="shared" si="11"/>
        <v>116321.73000000001</v>
      </c>
      <c r="AM224" s="17">
        <f>VLOOKUP(B224,'[1]2018'!$A$7:$F$349,6,FALSE)</f>
        <v>80</v>
      </c>
      <c r="AN224" s="32">
        <f>VLOOKUP(A224,'[2]2018 (2)'!$B$1:$D$318,3,FALSE)</f>
        <v>422</v>
      </c>
      <c r="AO224" s="15">
        <v>-17680.38</v>
      </c>
      <c r="AP224" s="34"/>
      <c r="AQ224" s="34">
        <v>-16.329999999999998</v>
      </c>
      <c r="AR224" s="455">
        <v>0.7</v>
      </c>
    </row>
    <row r="225" spans="1:44" x14ac:dyDescent="0.25">
      <c r="A225" s="356">
        <v>5756</v>
      </c>
      <c r="B225" s="348" t="s">
        <v>341</v>
      </c>
      <c r="C225" s="348">
        <v>968987.22</v>
      </c>
      <c r="D225" s="348">
        <v>156462.89000000001</v>
      </c>
      <c r="E225" s="348"/>
      <c r="F225" s="348"/>
      <c r="G225" s="348">
        <v>-77892</v>
      </c>
      <c r="H225" s="348">
        <v>2472.4</v>
      </c>
      <c r="I225" s="348"/>
      <c r="J225" s="348">
        <v>13298.65</v>
      </c>
      <c r="K225" s="348">
        <v>214.3</v>
      </c>
      <c r="L225" s="348">
        <v>82008.2</v>
      </c>
      <c r="M225" s="349">
        <f t="shared" si="9"/>
        <v>1145551.6599999997</v>
      </c>
      <c r="N225" s="368">
        <v>22927.65</v>
      </c>
      <c r="O225" s="368"/>
      <c r="P225" s="368">
        <v>13260.8</v>
      </c>
      <c r="Q225" s="368">
        <v>3430.66</v>
      </c>
      <c r="R225" s="368">
        <v>1978.45</v>
      </c>
      <c r="S225" s="368"/>
      <c r="T225" s="368">
        <v>1425</v>
      </c>
      <c r="U225" s="368">
        <v>2700</v>
      </c>
      <c r="V225" s="368"/>
      <c r="W225" s="368"/>
      <c r="X225" s="349">
        <f t="shared" si="10"/>
        <v>1191274.2199999995</v>
      </c>
      <c r="Y225" s="34">
        <v>4393.3500000000004</v>
      </c>
      <c r="Z225" s="353"/>
      <c r="AA225" s="34">
        <v>55046</v>
      </c>
      <c r="AB225" s="353"/>
      <c r="AC225" s="34">
        <v>29933</v>
      </c>
      <c r="AD225" s="353">
        <v>1537.65</v>
      </c>
      <c r="AE225" s="34"/>
      <c r="AF225" s="353"/>
      <c r="AG225" s="34">
        <v>172.8</v>
      </c>
      <c r="AH225" s="353">
        <v>9951.25</v>
      </c>
      <c r="AI225" s="34"/>
      <c r="AJ225" s="353"/>
      <c r="AK225" s="34"/>
      <c r="AL225" s="364">
        <f t="shared" si="11"/>
        <v>101034.05</v>
      </c>
      <c r="AM225" s="17">
        <f>VLOOKUP(B225,'[1]2018'!$A$7:$F$349,6,FALSE)</f>
        <v>72</v>
      </c>
      <c r="AN225" s="32">
        <f>VLOOKUP(A225,'[2]2018 (2)'!$B$1:$D$318,3,FALSE)</f>
        <v>489</v>
      </c>
      <c r="AO225" s="15">
        <v>-8166.04</v>
      </c>
      <c r="AP225" s="34"/>
      <c r="AQ225" s="34">
        <v>0</v>
      </c>
      <c r="AR225" s="455">
        <v>1</v>
      </c>
    </row>
    <row r="226" spans="1:44" x14ac:dyDescent="0.25">
      <c r="A226" s="356">
        <v>5757</v>
      </c>
      <c r="B226" s="348" t="s">
        <v>342</v>
      </c>
      <c r="C226" s="348">
        <v>11075629.85</v>
      </c>
      <c r="D226" s="348">
        <v>956347.22</v>
      </c>
      <c r="E226" s="348"/>
      <c r="F226" s="348"/>
      <c r="G226" s="348">
        <v>3843794.95</v>
      </c>
      <c r="H226" s="348">
        <v>49555.75</v>
      </c>
      <c r="I226" s="348"/>
      <c r="J226" s="348">
        <v>382468.85</v>
      </c>
      <c r="K226" s="348">
        <v>88823.9</v>
      </c>
      <c r="L226" s="348">
        <v>1281024.1499999999</v>
      </c>
      <c r="M226" s="349">
        <f t="shared" si="9"/>
        <v>17677644.669999998</v>
      </c>
      <c r="N226" s="368">
        <v>2769162.05</v>
      </c>
      <c r="O226" s="368">
        <v>355462.8</v>
      </c>
      <c r="P226" s="368">
        <v>492875.3</v>
      </c>
      <c r="Q226" s="368">
        <v>159287.6</v>
      </c>
      <c r="R226" s="368">
        <v>334359.05</v>
      </c>
      <c r="S226" s="368">
        <v>39837.5</v>
      </c>
      <c r="T226" s="368"/>
      <c r="U226" s="368">
        <v>45680</v>
      </c>
      <c r="V226" s="368">
        <v>618</v>
      </c>
      <c r="W226" s="368"/>
      <c r="X226" s="349">
        <f t="shared" si="10"/>
        <v>21874926.970000003</v>
      </c>
      <c r="Y226" s="34">
        <v>505975</v>
      </c>
      <c r="Z226" s="353"/>
      <c r="AA226" s="34">
        <v>1370463.29</v>
      </c>
      <c r="AB226" s="353"/>
      <c r="AC226" s="34">
        <v>930251.07</v>
      </c>
      <c r="AD226" s="353">
        <v>382474.8</v>
      </c>
      <c r="AE226" s="34"/>
      <c r="AF226" s="353"/>
      <c r="AG226" s="34">
        <v>15209.8</v>
      </c>
      <c r="AH226" s="353"/>
      <c r="AI226" s="34">
        <v>159597.79999999999</v>
      </c>
      <c r="AJ226" s="353">
        <v>159597.75</v>
      </c>
      <c r="AK226" s="34"/>
      <c r="AL226" s="364">
        <f t="shared" si="11"/>
        <v>3523569.5099999993</v>
      </c>
      <c r="AM226" s="17">
        <f>VLOOKUP(B226,'[1]2018'!$A$7:$F$349,6,FALSE)</f>
        <v>77</v>
      </c>
      <c r="AN226" s="32">
        <f>VLOOKUP(A226,'[2]2018 (2)'!$B$1:$D$318,3,FALSE)</f>
        <v>6942</v>
      </c>
      <c r="AO226" s="15">
        <v>-315448.21000000002</v>
      </c>
      <c r="AP226" s="34"/>
      <c r="AQ226" s="34">
        <v>-464.95</v>
      </c>
      <c r="AR226" s="455">
        <v>1</v>
      </c>
    </row>
    <row r="227" spans="1:44" x14ac:dyDescent="0.25">
      <c r="A227" s="356">
        <v>5758</v>
      </c>
      <c r="B227" s="348" t="s">
        <v>222</v>
      </c>
      <c r="C227" s="348">
        <v>303647.90999999997</v>
      </c>
      <c r="D227" s="348">
        <v>39202.83</v>
      </c>
      <c r="E227" s="348"/>
      <c r="F227" s="348">
        <v>980</v>
      </c>
      <c r="G227" s="348">
        <v>1361.1</v>
      </c>
      <c r="H227" s="348">
        <v>460.05</v>
      </c>
      <c r="I227" s="348"/>
      <c r="J227" s="348">
        <v>1215.27</v>
      </c>
      <c r="K227" s="348"/>
      <c r="L227" s="348">
        <v>21365.4</v>
      </c>
      <c r="M227" s="349">
        <f t="shared" si="9"/>
        <v>368232.56</v>
      </c>
      <c r="N227" s="368"/>
      <c r="O227" s="368">
        <v>3013</v>
      </c>
      <c r="P227" s="368">
        <v>31142.35</v>
      </c>
      <c r="Q227" s="368"/>
      <c r="R227" s="368">
        <v>31124.3</v>
      </c>
      <c r="S227" s="368"/>
      <c r="T227" s="368"/>
      <c r="U227" s="368">
        <v>940</v>
      </c>
      <c r="V227" s="368"/>
      <c r="W227" s="368"/>
      <c r="X227" s="349">
        <f t="shared" si="10"/>
        <v>434452.20999999996</v>
      </c>
      <c r="Y227" s="34">
        <v>5121</v>
      </c>
      <c r="Z227" s="353"/>
      <c r="AA227" s="34">
        <v>44548.2</v>
      </c>
      <c r="AB227" s="353"/>
      <c r="AC227" s="34">
        <v>13160.05</v>
      </c>
      <c r="AD227" s="353">
        <v>16900</v>
      </c>
      <c r="AE227" s="34"/>
      <c r="AF227" s="353"/>
      <c r="AG227" s="34"/>
      <c r="AH227" s="353">
        <v>4069.45</v>
      </c>
      <c r="AI227" s="34"/>
      <c r="AJ227" s="353"/>
      <c r="AK227" s="34"/>
      <c r="AL227" s="364">
        <f t="shared" si="11"/>
        <v>83798.7</v>
      </c>
      <c r="AM227" s="17">
        <f>VLOOKUP(B227,'[1]2018'!$A$7:$F$349,6,FALSE)</f>
        <v>83</v>
      </c>
      <c r="AN227" s="32">
        <f>VLOOKUP(A227,'[2]2018 (2)'!$B$1:$D$318,3,FALSE)</f>
        <v>165</v>
      </c>
      <c r="AO227" s="15">
        <v>-1057.51</v>
      </c>
      <c r="AP227" s="34"/>
      <c r="AQ227" s="34">
        <v>0</v>
      </c>
      <c r="AR227" s="455">
        <v>0.9</v>
      </c>
    </row>
    <row r="228" spans="1:44" x14ac:dyDescent="0.25">
      <c r="A228" s="356">
        <v>5759</v>
      </c>
      <c r="B228" s="348" t="s">
        <v>223</v>
      </c>
      <c r="C228" s="348">
        <v>311190.07</v>
      </c>
      <c r="D228" s="348">
        <v>46412.33</v>
      </c>
      <c r="E228" s="348"/>
      <c r="F228" s="348"/>
      <c r="G228" s="348">
        <v>-8.94999999999993</v>
      </c>
      <c r="H228" s="348">
        <v>10.95</v>
      </c>
      <c r="I228" s="348"/>
      <c r="J228" s="348">
        <v>5748.19</v>
      </c>
      <c r="K228" s="348">
        <v>242.95</v>
      </c>
      <c r="L228" s="348">
        <v>26670.5</v>
      </c>
      <c r="M228" s="349">
        <f t="shared" si="9"/>
        <v>390266.04000000004</v>
      </c>
      <c r="N228" s="368">
        <v>2720.8</v>
      </c>
      <c r="O228" s="368"/>
      <c r="P228" s="368">
        <v>37367</v>
      </c>
      <c r="Q228" s="368">
        <v>813.8</v>
      </c>
      <c r="R228" s="368">
        <v>22213.4</v>
      </c>
      <c r="S228" s="368"/>
      <c r="T228" s="368"/>
      <c r="U228" s="368">
        <v>950</v>
      </c>
      <c r="V228" s="368"/>
      <c r="W228" s="368"/>
      <c r="X228" s="349">
        <f t="shared" si="10"/>
        <v>454331.04000000004</v>
      </c>
      <c r="Y228" s="34">
        <v>0</v>
      </c>
      <c r="Z228" s="34">
        <v>0</v>
      </c>
      <c r="AA228" s="34">
        <v>27122.85</v>
      </c>
      <c r="AB228" s="34">
        <v>0</v>
      </c>
      <c r="AC228" s="34">
        <v>18003</v>
      </c>
      <c r="AD228" s="34">
        <v>0</v>
      </c>
      <c r="AE228" s="34">
        <v>0</v>
      </c>
      <c r="AF228" s="34">
        <v>0</v>
      </c>
      <c r="AG228" s="34">
        <v>0</v>
      </c>
      <c r="AH228" s="34">
        <v>0</v>
      </c>
      <c r="AI228" s="34">
        <v>0</v>
      </c>
      <c r="AJ228" s="34">
        <v>0</v>
      </c>
      <c r="AK228" s="34">
        <v>0</v>
      </c>
      <c r="AL228" s="364">
        <f t="shared" si="11"/>
        <v>45125.85</v>
      </c>
      <c r="AM228" s="17">
        <f>VLOOKUP(B228,'[1]2018'!$A$7:$F$349,6,FALSE)</f>
        <v>81</v>
      </c>
      <c r="AN228" s="32">
        <f>VLOOKUP(A228,'[2]2018 (2)'!$B$1:$D$318,3,FALSE)</f>
        <v>213</v>
      </c>
      <c r="AO228" s="15">
        <v>-6732.12</v>
      </c>
      <c r="AP228" s="34"/>
      <c r="AQ228" s="34">
        <v>-29.68</v>
      </c>
      <c r="AR228" s="455">
        <v>1</v>
      </c>
    </row>
    <row r="229" spans="1:44" x14ac:dyDescent="0.25">
      <c r="A229" s="356">
        <v>5760</v>
      </c>
      <c r="B229" s="348" t="s">
        <v>224</v>
      </c>
      <c r="C229" s="348">
        <v>776442.6</v>
      </c>
      <c r="D229" s="348">
        <v>57624.07</v>
      </c>
      <c r="E229" s="348"/>
      <c r="F229" s="348"/>
      <c r="G229" s="348">
        <v>2776.65</v>
      </c>
      <c r="H229" s="348">
        <v>587.1</v>
      </c>
      <c r="I229" s="348"/>
      <c r="J229" s="348">
        <v>1336.93</v>
      </c>
      <c r="K229" s="348"/>
      <c r="L229" s="348">
        <v>104477.65</v>
      </c>
      <c r="M229" s="349">
        <f t="shared" si="9"/>
        <v>943245</v>
      </c>
      <c r="N229" s="368">
        <v>17708.400000000001</v>
      </c>
      <c r="O229" s="368">
        <v>15202.8</v>
      </c>
      <c r="P229" s="368">
        <v>38335.199999999997</v>
      </c>
      <c r="Q229" s="368">
        <v>752.95</v>
      </c>
      <c r="R229" s="368">
        <v>22201.35</v>
      </c>
      <c r="S229" s="368"/>
      <c r="T229" s="368"/>
      <c r="U229" s="368">
        <v>2915</v>
      </c>
      <c r="V229" s="368"/>
      <c r="W229" s="368"/>
      <c r="X229" s="349">
        <f t="shared" si="10"/>
        <v>1040360.7</v>
      </c>
      <c r="Y229" s="34" t="s">
        <v>649</v>
      </c>
      <c r="Z229" s="34">
        <v>1191.75</v>
      </c>
      <c r="AA229" s="34">
        <v>43450.1</v>
      </c>
      <c r="AB229" s="34">
        <v>62193.25</v>
      </c>
      <c r="AC229" s="34">
        <v>26186.95</v>
      </c>
      <c r="AD229" s="34" t="s">
        <v>649</v>
      </c>
      <c r="AE229" s="34" t="s">
        <v>649</v>
      </c>
      <c r="AF229" s="34" t="s">
        <v>649</v>
      </c>
      <c r="AG229" s="34" t="s">
        <v>649</v>
      </c>
      <c r="AH229" s="34"/>
      <c r="AI229" s="34"/>
      <c r="AJ229" s="34"/>
      <c r="AK229" s="34"/>
      <c r="AL229" s="364">
        <f t="shared" si="11"/>
        <v>133022.05000000002</v>
      </c>
      <c r="AM229" s="17">
        <f>VLOOKUP(B229,'[1]2018'!$A$7:$F$349,6,FALSE)</f>
        <v>78</v>
      </c>
      <c r="AN229" s="32">
        <f>VLOOKUP(A229,'[2]2018 (2)'!$B$1:$D$318,3,FALSE)</f>
        <v>482</v>
      </c>
      <c r="AO229" s="15">
        <v>-16440.45</v>
      </c>
      <c r="AP229" s="34"/>
      <c r="AQ229" s="34">
        <v>-1362.07</v>
      </c>
      <c r="AR229" s="455">
        <v>1.5</v>
      </c>
    </row>
    <row r="230" spans="1:44" x14ac:dyDescent="0.25">
      <c r="A230" s="356">
        <v>5761</v>
      </c>
      <c r="B230" s="348" t="s">
        <v>140</v>
      </c>
      <c r="C230" s="348">
        <v>978614.86</v>
      </c>
      <c r="D230" s="348">
        <v>103770.19</v>
      </c>
      <c r="E230" s="348"/>
      <c r="F230" s="348"/>
      <c r="G230" s="348">
        <v>51992.7</v>
      </c>
      <c r="H230" s="348">
        <v>231.05</v>
      </c>
      <c r="I230" s="348"/>
      <c r="J230" s="348">
        <v>12301.44</v>
      </c>
      <c r="K230" s="348">
        <v>-1363.45</v>
      </c>
      <c r="L230" s="348">
        <v>83089.2</v>
      </c>
      <c r="M230" s="349">
        <f t="shared" si="9"/>
        <v>1228635.99</v>
      </c>
      <c r="N230" s="368">
        <v>53214.400000000001</v>
      </c>
      <c r="O230" s="368">
        <v>1307.5</v>
      </c>
      <c r="P230" s="368">
        <v>38763.35</v>
      </c>
      <c r="Q230" s="368">
        <v>17663.939999999999</v>
      </c>
      <c r="R230" s="368">
        <v>43319.65</v>
      </c>
      <c r="S230" s="368">
        <v>1070.7</v>
      </c>
      <c r="T230" s="368"/>
      <c r="U230" s="368">
        <v>3132</v>
      </c>
      <c r="V230" s="368">
        <v>4222.2</v>
      </c>
      <c r="W230" s="368"/>
      <c r="X230" s="349">
        <f t="shared" si="10"/>
        <v>1391329.7299999997</v>
      </c>
      <c r="Y230" s="34">
        <v>1914</v>
      </c>
      <c r="Z230" s="353"/>
      <c r="AA230" s="34">
        <v>93102.85</v>
      </c>
      <c r="AB230" s="353"/>
      <c r="AC230" s="34">
        <v>51357.25</v>
      </c>
      <c r="AD230" s="353">
        <v>1015.2</v>
      </c>
      <c r="AE230" s="34"/>
      <c r="AF230" s="353"/>
      <c r="AG230" s="34"/>
      <c r="AH230" s="353">
        <v>15974.5</v>
      </c>
      <c r="AI230" s="34"/>
      <c r="AJ230" s="353"/>
      <c r="AK230" s="34"/>
      <c r="AL230" s="364">
        <f t="shared" si="11"/>
        <v>163363.80000000002</v>
      </c>
      <c r="AM230" s="17">
        <f>VLOOKUP(B230,'[1]2018'!$A$7:$F$349,6,FALSE)</f>
        <v>81</v>
      </c>
      <c r="AN230" s="32">
        <f>VLOOKUP(A230,'[2]2018 (2)'!$B$1:$D$318,3,FALSE)</f>
        <v>540</v>
      </c>
      <c r="AO230" s="15">
        <v>-36432.97</v>
      </c>
      <c r="AP230" s="34"/>
      <c r="AQ230" s="34">
        <v>0</v>
      </c>
      <c r="AR230" s="455">
        <v>1.1000000000000001</v>
      </c>
    </row>
    <row r="231" spans="1:44" x14ac:dyDescent="0.25">
      <c r="A231" s="356">
        <v>5762</v>
      </c>
      <c r="B231" s="348" t="s">
        <v>141</v>
      </c>
      <c r="C231" s="348">
        <v>241966.8</v>
      </c>
      <c r="D231" s="348">
        <v>26256.34</v>
      </c>
      <c r="E231" s="348"/>
      <c r="F231" s="348"/>
      <c r="G231" s="348">
        <v>9168.15</v>
      </c>
      <c r="H231" s="348">
        <v>92.65</v>
      </c>
      <c r="I231" s="348"/>
      <c r="J231" s="348">
        <v>402.1</v>
      </c>
      <c r="K231" s="348">
        <v>75</v>
      </c>
      <c r="L231" s="348">
        <v>19828.599999999999</v>
      </c>
      <c r="M231" s="349">
        <f t="shared" si="9"/>
        <v>297789.64</v>
      </c>
      <c r="N231" s="368">
        <v>2645.8</v>
      </c>
      <c r="O231" s="368"/>
      <c r="P231" s="368">
        <v>1924.95</v>
      </c>
      <c r="Q231" s="368"/>
      <c r="R231" s="368">
        <v>746.75</v>
      </c>
      <c r="S231" s="368"/>
      <c r="T231" s="368"/>
      <c r="U231" s="368">
        <v>1200</v>
      </c>
      <c r="V231" s="368"/>
      <c r="W231" s="368"/>
      <c r="X231" s="349">
        <f t="shared" si="10"/>
        <v>304307.14</v>
      </c>
      <c r="Y231" s="34"/>
      <c r="Z231" s="353"/>
      <c r="AA231" s="34">
        <v>5828</v>
      </c>
      <c r="AB231" s="353"/>
      <c r="AC231" s="34">
        <v>14087.3</v>
      </c>
      <c r="AD231" s="353"/>
      <c r="AE231" s="34"/>
      <c r="AF231" s="353"/>
      <c r="AG231" s="34"/>
      <c r="AH231" s="353"/>
      <c r="AI231" s="34"/>
      <c r="AJ231" s="353"/>
      <c r="AK231" s="34"/>
      <c r="AL231" s="364">
        <f t="shared" si="11"/>
        <v>19915.3</v>
      </c>
      <c r="AM231" s="17">
        <f>VLOOKUP(B231,'[1]2018'!$A$7:$F$349,6,FALSE)</f>
        <v>78</v>
      </c>
      <c r="AN231" s="32">
        <f>VLOOKUP(A231,'[2]2018 (2)'!$B$1:$D$318,3,FALSE)</f>
        <v>146</v>
      </c>
      <c r="AO231" s="15">
        <v>-55.46</v>
      </c>
      <c r="AP231" s="34"/>
      <c r="AQ231" s="34">
        <v>0</v>
      </c>
      <c r="AR231" s="455">
        <v>1</v>
      </c>
    </row>
    <row r="232" spans="1:44" x14ac:dyDescent="0.25">
      <c r="A232" s="356">
        <v>5763</v>
      </c>
      <c r="B232" s="348" t="s">
        <v>142</v>
      </c>
      <c r="C232" s="348">
        <v>1081168.95</v>
      </c>
      <c r="D232" s="348">
        <v>160524.51</v>
      </c>
      <c r="E232" s="348"/>
      <c r="F232" s="348">
        <v>3300</v>
      </c>
      <c r="G232" s="348">
        <v>17452.45</v>
      </c>
      <c r="H232" s="348">
        <v>-46.35</v>
      </c>
      <c r="I232" s="348"/>
      <c r="J232" s="348">
        <v>17396.189999999999</v>
      </c>
      <c r="K232" s="348">
        <v>3554.35</v>
      </c>
      <c r="L232" s="348">
        <v>86290.95</v>
      </c>
      <c r="M232" s="349">
        <f t="shared" si="9"/>
        <v>1369641.0499999998</v>
      </c>
      <c r="N232" s="368">
        <v>37741.050000000003</v>
      </c>
      <c r="O232" s="368"/>
      <c r="P232" s="368">
        <v>6944.55</v>
      </c>
      <c r="Q232" s="368">
        <v>895.5</v>
      </c>
      <c r="R232" s="368">
        <v>-18894.849999999999</v>
      </c>
      <c r="S232" s="368"/>
      <c r="T232" s="368">
        <v>2801.8</v>
      </c>
      <c r="U232" s="368">
        <v>4750</v>
      </c>
      <c r="V232" s="368"/>
      <c r="W232" s="368"/>
      <c r="X232" s="349">
        <f t="shared" si="10"/>
        <v>1403879.0999999999</v>
      </c>
      <c r="Y232" s="34">
        <v>10667.35</v>
      </c>
      <c r="Z232" s="353"/>
      <c r="AA232" s="34">
        <v>96926.2</v>
      </c>
      <c r="AB232" s="353"/>
      <c r="AC232" s="34">
        <v>53720.1</v>
      </c>
      <c r="AD232" s="353">
        <v>4529</v>
      </c>
      <c r="AE232" s="34"/>
      <c r="AF232" s="353"/>
      <c r="AG232" s="34"/>
      <c r="AH232" s="353"/>
      <c r="AI232" s="34"/>
      <c r="AJ232" s="353"/>
      <c r="AK232" s="34"/>
      <c r="AL232" s="364">
        <f t="shared" si="11"/>
        <v>165842.65</v>
      </c>
      <c r="AM232" s="17">
        <f>VLOOKUP(B232,'[1]2018'!$A$7:$F$349,6,FALSE)</f>
        <v>65</v>
      </c>
      <c r="AN232" s="32">
        <f>VLOOKUP(A232,'[2]2018 (2)'!$B$1:$D$318,3,FALSE)</f>
        <v>622</v>
      </c>
      <c r="AO232" s="15">
        <v>-2612.66</v>
      </c>
      <c r="AP232" s="34"/>
      <c r="AQ232" s="34">
        <v>-97.74</v>
      </c>
      <c r="AR232" s="455">
        <v>1</v>
      </c>
    </row>
    <row r="233" spans="1:44" x14ac:dyDescent="0.25">
      <c r="A233" s="356">
        <v>5764</v>
      </c>
      <c r="B233" s="348" t="s">
        <v>343</v>
      </c>
      <c r="C233" s="348">
        <v>4820711.46</v>
      </c>
      <c r="D233" s="348">
        <v>436142.53</v>
      </c>
      <c r="E233" s="348"/>
      <c r="F233" s="348"/>
      <c r="G233" s="348">
        <v>516703.6</v>
      </c>
      <c r="H233" s="348">
        <v>34381.35</v>
      </c>
      <c r="I233" s="348"/>
      <c r="J233" s="348">
        <v>199584.39</v>
      </c>
      <c r="K233" s="348">
        <v>27389.25</v>
      </c>
      <c r="L233" s="348">
        <v>434829.6</v>
      </c>
      <c r="M233" s="349">
        <f t="shared" si="9"/>
        <v>6469742.1799999988</v>
      </c>
      <c r="N233" s="368">
        <v>2339312.5499999998</v>
      </c>
      <c r="O233" s="368">
        <v>39526.300000000003</v>
      </c>
      <c r="P233" s="368">
        <v>153058.45000000001</v>
      </c>
      <c r="Q233" s="368">
        <v>42914.03</v>
      </c>
      <c r="R233" s="368">
        <v>131337.29999999999</v>
      </c>
      <c r="S233" s="368">
        <v>456.25</v>
      </c>
      <c r="T233" s="368">
        <v>8135.8</v>
      </c>
      <c r="U233" s="368">
        <v>25275</v>
      </c>
      <c r="V233" s="368">
        <v>47791.8</v>
      </c>
      <c r="W233" s="368"/>
      <c r="X233" s="349">
        <f t="shared" si="10"/>
        <v>9257549.6600000001</v>
      </c>
      <c r="Y233" s="34">
        <v>32830</v>
      </c>
      <c r="Z233" s="353">
        <v>2140</v>
      </c>
      <c r="AA233" s="34">
        <v>536765.25</v>
      </c>
      <c r="AB233" s="353"/>
      <c r="AC233" s="34">
        <v>515306.32</v>
      </c>
      <c r="AD233" s="353">
        <v>14968.05</v>
      </c>
      <c r="AE233" s="34">
        <v>14206.1</v>
      </c>
      <c r="AF233" s="353"/>
      <c r="AG233" s="34">
        <v>6662.8</v>
      </c>
      <c r="AH233" s="353">
        <v>194747.7</v>
      </c>
      <c r="AI233" s="34"/>
      <c r="AJ233" s="353"/>
      <c r="AK233" s="34"/>
      <c r="AL233" s="364">
        <f t="shared" si="11"/>
        <v>1317626.2200000002</v>
      </c>
      <c r="AM233" s="17">
        <f>VLOOKUP(B233,'[1]2018'!$A$7:$F$349,6,FALSE)</f>
        <v>73</v>
      </c>
      <c r="AN233" s="32">
        <f>VLOOKUP(A233,'[2]2018 (2)'!$B$1:$D$318,3,FALSE)</f>
        <v>3852</v>
      </c>
      <c r="AO233" s="15">
        <v>-213166.29</v>
      </c>
      <c r="AP233" s="34"/>
      <c r="AQ233" s="34">
        <v>-385.34</v>
      </c>
      <c r="AR233" s="455">
        <v>1</v>
      </c>
    </row>
    <row r="234" spans="1:44" x14ac:dyDescent="0.25">
      <c r="A234" s="356">
        <v>5765</v>
      </c>
      <c r="B234" s="348" t="s">
        <v>344</v>
      </c>
      <c r="C234" s="348">
        <v>662656.34</v>
      </c>
      <c r="D234" s="348">
        <v>73266.350000000006</v>
      </c>
      <c r="E234" s="348"/>
      <c r="F234" s="348"/>
      <c r="G234" s="348">
        <v>12424.4</v>
      </c>
      <c r="H234" s="348">
        <v>202.85</v>
      </c>
      <c r="I234" s="348"/>
      <c r="J234" s="348">
        <v>13266.24</v>
      </c>
      <c r="K234" s="348"/>
      <c r="L234" s="348">
        <v>30878.25</v>
      </c>
      <c r="M234" s="349">
        <f t="shared" si="9"/>
        <v>792694.42999999993</v>
      </c>
      <c r="N234" s="368">
        <v>44268</v>
      </c>
      <c r="O234" s="368">
        <v>7144.6</v>
      </c>
      <c r="P234" s="368">
        <v>26719</v>
      </c>
      <c r="Q234" s="368">
        <v>2574.25</v>
      </c>
      <c r="R234" s="368">
        <v>21557.05</v>
      </c>
      <c r="S234" s="368"/>
      <c r="T234" s="368">
        <v>1042.05</v>
      </c>
      <c r="U234" s="368">
        <v>3630</v>
      </c>
      <c r="V234" s="368">
        <v>526</v>
      </c>
      <c r="W234" s="368"/>
      <c r="X234" s="349">
        <f t="shared" si="10"/>
        <v>900155.38</v>
      </c>
      <c r="Y234" s="34">
        <v>21208</v>
      </c>
      <c r="Z234" s="353">
        <v>840</v>
      </c>
      <c r="AA234" s="34">
        <v>116257.35</v>
      </c>
      <c r="AB234" s="353"/>
      <c r="AC234" s="34">
        <v>64942.6</v>
      </c>
      <c r="AD234" s="353">
        <v>857</v>
      </c>
      <c r="AE234" s="34">
        <v>8631.2000000000007</v>
      </c>
      <c r="AF234" s="353"/>
      <c r="AG234" s="34"/>
      <c r="AH234" s="353"/>
      <c r="AI234" s="34"/>
      <c r="AJ234" s="353"/>
      <c r="AK234" s="34"/>
      <c r="AL234" s="364">
        <f t="shared" si="11"/>
        <v>212736.15000000002</v>
      </c>
      <c r="AM234" s="17">
        <f>VLOOKUP(B234,'[1]2018'!$A$7:$F$349,6,FALSE)</f>
        <v>81</v>
      </c>
      <c r="AN234" s="32">
        <f>VLOOKUP(A234,'[2]2018 (2)'!$B$1:$D$318,3,FALSE)</f>
        <v>469</v>
      </c>
      <c r="AO234" s="15">
        <v>-29131.37</v>
      </c>
      <c r="AP234" s="34"/>
      <c r="AQ234" s="34">
        <v>-3.03</v>
      </c>
      <c r="AR234" s="455">
        <v>0.5</v>
      </c>
    </row>
    <row r="235" spans="1:44" x14ac:dyDescent="0.25">
      <c r="A235" s="356">
        <v>5766</v>
      </c>
      <c r="B235" s="348" t="s">
        <v>345</v>
      </c>
      <c r="C235" s="348">
        <v>795833.8</v>
      </c>
      <c r="D235" s="348">
        <v>94872.68</v>
      </c>
      <c r="E235" s="348"/>
      <c r="F235" s="348"/>
      <c r="G235" s="348">
        <v>31061.4</v>
      </c>
      <c r="H235" s="348">
        <v>556.79999999999995</v>
      </c>
      <c r="I235" s="348"/>
      <c r="J235" s="348">
        <v>29140.080000000002</v>
      </c>
      <c r="K235" s="348">
        <v>3268.65</v>
      </c>
      <c r="L235" s="348">
        <v>56367.75</v>
      </c>
      <c r="M235" s="349">
        <f t="shared" si="9"/>
        <v>1011101.16</v>
      </c>
      <c r="N235" s="368">
        <v>22902.3</v>
      </c>
      <c r="O235" s="368"/>
      <c r="P235" s="368">
        <v>31873.9</v>
      </c>
      <c r="Q235" s="368">
        <v>1766.89</v>
      </c>
      <c r="R235" s="368">
        <v>10413.6</v>
      </c>
      <c r="S235" s="368"/>
      <c r="T235" s="368"/>
      <c r="U235" s="368">
        <v>2000</v>
      </c>
      <c r="V235" s="368"/>
      <c r="W235" s="368"/>
      <c r="X235" s="349">
        <f t="shared" si="10"/>
        <v>1080057.8500000001</v>
      </c>
      <c r="Y235" s="34"/>
      <c r="Z235" s="353"/>
      <c r="AA235" s="34">
        <v>44406.2</v>
      </c>
      <c r="AB235" s="353"/>
      <c r="AC235" s="34">
        <v>36303.360000000001</v>
      </c>
      <c r="AD235" s="353"/>
      <c r="AE235" s="34"/>
      <c r="AF235" s="353"/>
      <c r="AG235" s="34"/>
      <c r="AH235" s="353">
        <v>15627.9</v>
      </c>
      <c r="AI235" s="34"/>
      <c r="AJ235" s="353"/>
      <c r="AK235" s="34"/>
      <c r="AL235" s="364">
        <f t="shared" si="11"/>
        <v>96337.459999999992</v>
      </c>
      <c r="AM235" s="17">
        <f>VLOOKUP(B235,'[1]2018'!$A$7:$F$349,6,FALSE)</f>
        <v>77</v>
      </c>
      <c r="AN235" s="32">
        <f>VLOOKUP(A235,'[2]2018 (2)'!$B$1:$D$318,3,FALSE)</f>
        <v>584</v>
      </c>
      <c r="AO235" s="15">
        <v>-10140.41</v>
      </c>
      <c r="AP235" s="34"/>
      <c r="AQ235" s="34">
        <v>-11.92</v>
      </c>
      <c r="AR235" s="455">
        <v>0.7</v>
      </c>
    </row>
    <row r="236" spans="1:44" x14ac:dyDescent="0.25">
      <c r="A236" s="356">
        <v>5785</v>
      </c>
      <c r="B236" s="348" t="s">
        <v>284</v>
      </c>
      <c r="C236" s="348">
        <v>894021.4</v>
      </c>
      <c r="D236" s="348">
        <v>183269.03</v>
      </c>
      <c r="E236" s="348"/>
      <c r="F236" s="348"/>
      <c r="G236" s="348">
        <v>14006.25</v>
      </c>
      <c r="H236" s="348">
        <v>412.05</v>
      </c>
      <c r="I236" s="348"/>
      <c r="J236" s="348">
        <v>47042.95</v>
      </c>
      <c r="K236" s="348">
        <v>599.1</v>
      </c>
      <c r="L236" s="348">
        <v>68797.850000000006</v>
      </c>
      <c r="M236" s="349">
        <f t="shared" si="9"/>
        <v>1208148.6300000001</v>
      </c>
      <c r="N236" s="368"/>
      <c r="O236" s="368"/>
      <c r="P236" s="368">
        <v>34574.25</v>
      </c>
      <c r="Q236" s="368"/>
      <c r="R236" s="368">
        <v>16880</v>
      </c>
      <c r="S236" s="368"/>
      <c r="T236" s="368"/>
      <c r="U236" s="368">
        <v>2720</v>
      </c>
      <c r="V236" s="368"/>
      <c r="W236" s="368"/>
      <c r="X236" s="349">
        <f t="shared" si="10"/>
        <v>1262322.8800000001</v>
      </c>
      <c r="Y236" s="34" t="s">
        <v>649</v>
      </c>
      <c r="Z236" s="34" t="s">
        <v>649</v>
      </c>
      <c r="AA236" s="34">
        <v>93188.25</v>
      </c>
      <c r="AB236" s="34" t="s">
        <v>649</v>
      </c>
      <c r="AC236" s="34">
        <v>40937.25</v>
      </c>
      <c r="AD236" s="34" t="s">
        <v>649</v>
      </c>
      <c r="AE236" s="34" t="s">
        <v>649</v>
      </c>
      <c r="AF236" s="34" t="s">
        <v>649</v>
      </c>
      <c r="AG236" s="34" t="s">
        <v>649</v>
      </c>
      <c r="AH236" s="34"/>
      <c r="AI236" s="34"/>
      <c r="AJ236" s="34"/>
      <c r="AK236" s="34"/>
      <c r="AL236" s="364">
        <f t="shared" si="11"/>
        <v>134125.5</v>
      </c>
      <c r="AM236" s="17">
        <f>VLOOKUP(B236,'[1]2018'!$A$7:$F$349,6,FALSE)</f>
        <v>77</v>
      </c>
      <c r="AN236" s="32">
        <f>VLOOKUP(A236,'[2]2018 (2)'!$B$1:$D$318,3,FALSE)</f>
        <v>445</v>
      </c>
      <c r="AO236" s="15">
        <v>-2855.19</v>
      </c>
      <c r="AP236" s="34"/>
      <c r="AQ236" s="34">
        <v>-244.89</v>
      </c>
      <c r="AR236" s="455">
        <v>1</v>
      </c>
    </row>
    <row r="237" spans="1:44" x14ac:dyDescent="0.25">
      <c r="A237" s="356">
        <v>5788</v>
      </c>
      <c r="B237" s="348" t="s">
        <v>285</v>
      </c>
      <c r="C237" s="348">
        <v>644025.61</v>
      </c>
      <c r="D237" s="348">
        <v>125571.93</v>
      </c>
      <c r="E237" s="348"/>
      <c r="F237" s="348"/>
      <c r="G237" s="348">
        <v>10339.35</v>
      </c>
      <c r="H237" s="348">
        <v>90.65</v>
      </c>
      <c r="I237" s="348"/>
      <c r="J237" s="348">
        <v>30928.33</v>
      </c>
      <c r="K237" s="348">
        <v>2450.5</v>
      </c>
      <c r="L237" s="348">
        <v>77246.899999999994</v>
      </c>
      <c r="M237" s="349">
        <f t="shared" si="9"/>
        <v>890653.27</v>
      </c>
      <c r="N237" s="368"/>
      <c r="O237" s="368">
        <v>3</v>
      </c>
      <c r="P237" s="368">
        <v>29755</v>
      </c>
      <c r="Q237" s="368"/>
      <c r="R237" s="368">
        <v>16773.05</v>
      </c>
      <c r="S237" s="368"/>
      <c r="T237" s="368">
        <v>150</v>
      </c>
      <c r="U237" s="368">
        <v>2100</v>
      </c>
      <c r="V237" s="368"/>
      <c r="W237" s="368"/>
      <c r="X237" s="349">
        <f t="shared" si="10"/>
        <v>939434.32000000007</v>
      </c>
      <c r="Y237" s="34">
        <v>5715</v>
      </c>
      <c r="Z237" s="353"/>
      <c r="AA237" s="34">
        <v>48552.55</v>
      </c>
      <c r="AB237" s="353"/>
      <c r="AC237" s="34">
        <v>25099.599999999999</v>
      </c>
      <c r="AD237" s="353"/>
      <c r="AE237" s="34"/>
      <c r="AF237" s="353"/>
      <c r="AG237" s="34"/>
      <c r="AH237" s="353"/>
      <c r="AI237" s="34"/>
      <c r="AJ237" s="353"/>
      <c r="AK237" s="34"/>
      <c r="AL237" s="364">
        <f t="shared" si="11"/>
        <v>79367.149999999994</v>
      </c>
      <c r="AM237" s="17">
        <f>VLOOKUP(B237,'[1]2018'!$A$7:$F$349,6,FALSE)</f>
        <v>72</v>
      </c>
      <c r="AN237" s="32">
        <f>VLOOKUP(A237,'[2]2018 (2)'!$B$1:$D$318,3,FALSE)</f>
        <v>374</v>
      </c>
      <c r="AO237" s="15">
        <v>-14843.16</v>
      </c>
      <c r="AP237" s="34"/>
      <c r="AQ237" s="34">
        <v>0</v>
      </c>
      <c r="AR237" s="455">
        <v>1.25</v>
      </c>
    </row>
    <row r="238" spans="1:44" x14ac:dyDescent="0.25">
      <c r="A238" s="356">
        <v>5790</v>
      </c>
      <c r="B238" s="348" t="s">
        <v>286</v>
      </c>
      <c r="C238" s="348">
        <v>767528.77</v>
      </c>
      <c r="D238" s="348">
        <v>115033.54</v>
      </c>
      <c r="E238" s="348"/>
      <c r="F238" s="348"/>
      <c r="G238" s="348">
        <v>6318.5</v>
      </c>
      <c r="H238" s="348">
        <v>336.1</v>
      </c>
      <c r="I238" s="348"/>
      <c r="J238" s="348">
        <v>37556.47</v>
      </c>
      <c r="K238" s="348">
        <v>4128</v>
      </c>
      <c r="L238" s="348">
        <v>82667.199999999997</v>
      </c>
      <c r="M238" s="349">
        <f t="shared" si="9"/>
        <v>1013568.58</v>
      </c>
      <c r="N238" s="368">
        <v>10203.049999999999</v>
      </c>
      <c r="O238" s="368"/>
      <c r="P238" s="368">
        <v>111342.15</v>
      </c>
      <c r="Q238" s="368"/>
      <c r="R238" s="368">
        <v>19566</v>
      </c>
      <c r="S238" s="368"/>
      <c r="T238" s="368"/>
      <c r="U238" s="368">
        <v>5100</v>
      </c>
      <c r="V238" s="368"/>
      <c r="W238" s="368"/>
      <c r="X238" s="349">
        <f t="shared" si="10"/>
        <v>1159779.78</v>
      </c>
      <c r="Y238" s="34">
        <v>19416</v>
      </c>
      <c r="Z238" s="353"/>
      <c r="AA238" s="34">
        <v>68471.100000000006</v>
      </c>
      <c r="AB238" s="353"/>
      <c r="AC238" s="34">
        <v>26776</v>
      </c>
      <c r="AD238" s="353">
        <v>9255</v>
      </c>
      <c r="AE238" s="34"/>
      <c r="AF238" s="353"/>
      <c r="AG238" s="34"/>
      <c r="AH238" s="353"/>
      <c r="AI238" s="34"/>
      <c r="AJ238" s="353"/>
      <c r="AK238" s="34"/>
      <c r="AL238" s="364">
        <f t="shared" si="11"/>
        <v>123918.1</v>
      </c>
      <c r="AM238" s="17">
        <f>VLOOKUP(B238,'[1]2018'!$A$7:$F$349,6,FALSE)</f>
        <v>76</v>
      </c>
      <c r="AN238" s="32">
        <f>VLOOKUP(A238,'[2]2018 (2)'!$B$1:$D$318,3,FALSE)</f>
        <v>492</v>
      </c>
      <c r="AO238" s="15">
        <v>-3469.62</v>
      </c>
      <c r="AP238" s="34"/>
      <c r="AQ238" s="34">
        <v>-123.43</v>
      </c>
      <c r="AR238" s="455">
        <v>1</v>
      </c>
    </row>
    <row r="239" spans="1:44" x14ac:dyDescent="0.25">
      <c r="A239" s="356">
        <v>5792</v>
      </c>
      <c r="B239" s="348" t="s">
        <v>287</v>
      </c>
      <c r="C239" s="348">
        <v>1173688.96</v>
      </c>
      <c r="D239" s="348">
        <v>127995.19</v>
      </c>
      <c r="E239" s="348"/>
      <c r="F239" s="348"/>
      <c r="G239" s="348">
        <v>6315.85</v>
      </c>
      <c r="H239" s="348">
        <v>659.95</v>
      </c>
      <c r="I239" s="348"/>
      <c r="J239" s="348">
        <v>29087.37</v>
      </c>
      <c r="K239" s="348">
        <v>2682</v>
      </c>
      <c r="L239" s="348">
        <v>108982.75</v>
      </c>
      <c r="M239" s="349">
        <f t="shared" si="9"/>
        <v>1449412.07</v>
      </c>
      <c r="N239" s="368">
        <v>16.149999999999999</v>
      </c>
      <c r="O239" s="368"/>
      <c r="P239" s="368">
        <v>113292.7</v>
      </c>
      <c r="Q239" s="368">
        <v>9674.76</v>
      </c>
      <c r="R239" s="368">
        <v>27873.05</v>
      </c>
      <c r="S239" s="368"/>
      <c r="T239" s="368"/>
      <c r="U239" s="368">
        <v>2975</v>
      </c>
      <c r="V239" s="368"/>
      <c r="W239" s="368"/>
      <c r="X239" s="349">
        <f t="shared" si="10"/>
        <v>1603243.73</v>
      </c>
      <c r="Y239" s="34">
        <v>-15575.4</v>
      </c>
      <c r="Z239" s="353"/>
      <c r="AA239" s="34">
        <v>97776.45</v>
      </c>
      <c r="AB239" s="353"/>
      <c r="AC239" s="34">
        <v>46520</v>
      </c>
      <c r="AD239" s="353">
        <v>-57839.05</v>
      </c>
      <c r="AE239" s="34"/>
      <c r="AF239" s="353"/>
      <c r="AG239" s="34"/>
      <c r="AH239" s="353">
        <v>7600</v>
      </c>
      <c r="AI239" s="34"/>
      <c r="AJ239" s="353"/>
      <c r="AK239" s="34"/>
      <c r="AL239" s="364">
        <f t="shared" si="11"/>
        <v>78482</v>
      </c>
      <c r="AM239" s="17">
        <f>VLOOKUP(B239,'[1]2018'!$A$7:$F$349,6,FALSE)</f>
        <v>77</v>
      </c>
      <c r="AN239" s="32">
        <f>VLOOKUP(A239,'[2]2018 (2)'!$B$1:$D$318,3,FALSE)</f>
        <v>643</v>
      </c>
      <c r="AO239" s="15">
        <v>-15056.05</v>
      </c>
      <c r="AP239" s="34"/>
      <c r="AQ239" s="34">
        <v>-21.06</v>
      </c>
      <c r="AR239" s="455">
        <v>1</v>
      </c>
    </row>
    <row r="240" spans="1:44" x14ac:dyDescent="0.25">
      <c r="A240" s="356">
        <v>5798</v>
      </c>
      <c r="B240" s="348" t="s">
        <v>288</v>
      </c>
      <c r="C240" s="348">
        <v>844107.98</v>
      </c>
      <c r="D240" s="348">
        <v>106336.72</v>
      </c>
      <c r="E240" s="348"/>
      <c r="F240" s="348"/>
      <c r="G240" s="348">
        <v>10752.4</v>
      </c>
      <c r="H240" s="348">
        <v>1471.8</v>
      </c>
      <c r="I240" s="348"/>
      <c r="J240" s="348">
        <v>30285.200000000001</v>
      </c>
      <c r="K240" s="348">
        <v>4079.5</v>
      </c>
      <c r="L240" s="348">
        <v>37795.65</v>
      </c>
      <c r="M240" s="349">
        <f t="shared" si="9"/>
        <v>1034829.25</v>
      </c>
      <c r="N240" s="368">
        <v>7800.35</v>
      </c>
      <c r="O240" s="368">
        <v>20443.2</v>
      </c>
      <c r="P240" s="368">
        <v>61510.75</v>
      </c>
      <c r="Q240" s="368">
        <v>2945.2</v>
      </c>
      <c r="R240" s="368">
        <v>11393.1</v>
      </c>
      <c r="S240" s="368">
        <v>75</v>
      </c>
      <c r="T240" s="368"/>
      <c r="U240" s="368">
        <v>3120</v>
      </c>
      <c r="V240" s="368"/>
      <c r="W240" s="368"/>
      <c r="X240" s="349">
        <f t="shared" si="10"/>
        <v>1142116.8500000001</v>
      </c>
      <c r="Y240" s="34">
        <v>34560</v>
      </c>
      <c r="Z240" s="353"/>
      <c r="AA240" s="34">
        <v>42295</v>
      </c>
      <c r="AB240" s="353"/>
      <c r="AC240" s="34">
        <v>37112.6</v>
      </c>
      <c r="AD240" s="353">
        <v>35299.199999999997</v>
      </c>
      <c r="AE240" s="34"/>
      <c r="AF240" s="353"/>
      <c r="AG240" s="34"/>
      <c r="AH240" s="353"/>
      <c r="AI240" s="34"/>
      <c r="AJ240" s="353"/>
      <c r="AK240" s="34"/>
      <c r="AL240" s="364">
        <f>SUM(Y240:AK240)</f>
        <v>149266.79999999999</v>
      </c>
      <c r="AM240" s="17">
        <f>VLOOKUP(B240,'[1]2018'!$A$7:$F$349,6,FALSE)</f>
        <v>77.5</v>
      </c>
      <c r="AN240" s="32">
        <f>VLOOKUP(A240,'[2]2018 (2)'!$B$1:$D$318,3,FALSE)</f>
        <v>494</v>
      </c>
      <c r="AO240" s="15">
        <v>-8736.27</v>
      </c>
      <c r="AP240" s="34"/>
      <c r="AQ240" s="34">
        <v>-66.56</v>
      </c>
      <c r="AR240" s="455">
        <v>0.5</v>
      </c>
    </row>
    <row r="241" spans="1:44" x14ac:dyDescent="0.25">
      <c r="A241" s="356">
        <v>5799</v>
      </c>
      <c r="B241" s="348" t="s">
        <v>289</v>
      </c>
      <c r="C241" s="348">
        <v>3773422.88</v>
      </c>
      <c r="D241" s="348">
        <v>498030.53</v>
      </c>
      <c r="E241" s="348"/>
      <c r="F241" s="348"/>
      <c r="G241" s="348">
        <v>96047.5</v>
      </c>
      <c r="H241" s="348">
        <v>1537.6</v>
      </c>
      <c r="I241" s="348"/>
      <c r="J241" s="348">
        <v>49829.599999999999</v>
      </c>
      <c r="K241" s="348">
        <v>15188.2</v>
      </c>
      <c r="L241" s="348">
        <v>362185.35</v>
      </c>
      <c r="M241" s="349">
        <f t="shared" si="9"/>
        <v>4796241.6599999992</v>
      </c>
      <c r="N241" s="368">
        <v>22437.1</v>
      </c>
      <c r="O241" s="368">
        <v>230859.9</v>
      </c>
      <c r="P241" s="368">
        <v>225102.85</v>
      </c>
      <c r="Q241" s="368">
        <v>10763.61</v>
      </c>
      <c r="R241" s="368">
        <v>166727.35</v>
      </c>
      <c r="S241" s="368"/>
      <c r="T241" s="368"/>
      <c r="U241" s="368">
        <v>9300</v>
      </c>
      <c r="V241" s="368">
        <v>67216.45</v>
      </c>
      <c r="W241" s="368">
        <v>593.1</v>
      </c>
      <c r="X241" s="349">
        <f t="shared" si="10"/>
        <v>5529242.0199999986</v>
      </c>
      <c r="Y241" s="34">
        <v>52143.65</v>
      </c>
      <c r="Z241" s="353"/>
      <c r="AA241" s="34">
        <v>367492.8</v>
      </c>
      <c r="AB241" s="353"/>
      <c r="AC241" s="34">
        <v>127818.55</v>
      </c>
      <c r="AD241" s="353"/>
      <c r="AE241" s="34"/>
      <c r="AF241" s="353"/>
      <c r="AG241" s="34"/>
      <c r="AH241" s="353">
        <v>57095.199999999997</v>
      </c>
      <c r="AI241" s="34"/>
      <c r="AJ241" s="353"/>
      <c r="AK241" s="34"/>
      <c r="AL241" s="364">
        <f t="shared" si="11"/>
        <v>604550.19999999995</v>
      </c>
      <c r="AM241" s="17">
        <f>VLOOKUP(B241,'[1]2018'!$A$7:$F$349,6,FALSE)</f>
        <v>69</v>
      </c>
      <c r="AN241" s="32">
        <f>VLOOKUP(A241,'[2]2018 (2)'!$B$1:$D$318,3,FALSE)</f>
        <v>1942</v>
      </c>
      <c r="AO241" s="15">
        <v>-22582.12</v>
      </c>
      <c r="AP241" s="34"/>
      <c r="AQ241" s="34">
        <v>-239.74</v>
      </c>
      <c r="AR241" s="455">
        <v>1</v>
      </c>
    </row>
    <row r="242" spans="1:44" x14ac:dyDescent="0.25">
      <c r="A242" s="356">
        <v>5803</v>
      </c>
      <c r="B242" s="348" t="s">
        <v>391</v>
      </c>
      <c r="C242" s="348">
        <v>1063984.54</v>
      </c>
      <c r="D242" s="348">
        <v>116924.48</v>
      </c>
      <c r="E242" s="348"/>
      <c r="F242" s="348"/>
      <c r="G242" s="348">
        <v>12900.8</v>
      </c>
      <c r="H242" s="348">
        <v>233.6</v>
      </c>
      <c r="I242" s="348"/>
      <c r="J242" s="348">
        <v>15537.11</v>
      </c>
      <c r="K242" s="348"/>
      <c r="L242" s="348">
        <v>89383.65</v>
      </c>
      <c r="M242" s="349">
        <f t="shared" si="9"/>
        <v>1298964.1800000002</v>
      </c>
      <c r="N242" s="368"/>
      <c r="O242" s="368"/>
      <c r="P242" s="368">
        <v>118559.95</v>
      </c>
      <c r="Q242" s="368"/>
      <c r="R242" s="368">
        <v>12630</v>
      </c>
      <c r="S242" s="368">
        <v>1069.25</v>
      </c>
      <c r="T242" s="368"/>
      <c r="U242" s="368">
        <v>5750</v>
      </c>
      <c r="V242" s="368"/>
      <c r="W242" s="368">
        <v>200</v>
      </c>
      <c r="X242" s="349">
        <f t="shared" si="10"/>
        <v>1437173.3800000001</v>
      </c>
      <c r="Y242" s="34">
        <v>13750</v>
      </c>
      <c r="Z242" s="34" t="s">
        <v>649</v>
      </c>
      <c r="AA242" s="34">
        <v>48800</v>
      </c>
      <c r="AB242" s="34" t="s">
        <v>649</v>
      </c>
      <c r="AC242" s="34">
        <v>33172.5</v>
      </c>
      <c r="AD242" s="34">
        <v>28237.5</v>
      </c>
      <c r="AE242" s="34">
        <v>12700</v>
      </c>
      <c r="AF242" s="34" t="s">
        <v>649</v>
      </c>
      <c r="AG242" s="34" t="s">
        <v>649</v>
      </c>
      <c r="AH242" s="34"/>
      <c r="AI242" s="34"/>
      <c r="AJ242" s="34"/>
      <c r="AK242" s="34"/>
      <c r="AL242" s="364">
        <f t="shared" si="11"/>
        <v>136660</v>
      </c>
      <c r="AM242" s="17">
        <f>VLOOKUP(B242,'[1]2018'!$A$7:$F$349,6,FALSE)</f>
        <v>78</v>
      </c>
      <c r="AN242" s="32">
        <f>VLOOKUP(A242,'[2]2018 (2)'!$B$1:$D$318,3,FALSE)</f>
        <v>595</v>
      </c>
      <c r="AO242" s="15">
        <v>-2626.78</v>
      </c>
      <c r="AP242" s="34"/>
      <c r="AQ242" s="34">
        <v>-2.21</v>
      </c>
      <c r="AR242" s="455">
        <v>1</v>
      </c>
    </row>
    <row r="243" spans="1:44" x14ac:dyDescent="0.25">
      <c r="A243" s="356">
        <v>5804</v>
      </c>
      <c r="B243" s="348" t="s">
        <v>442</v>
      </c>
      <c r="C243" s="348">
        <v>2831722.52</v>
      </c>
      <c r="D243" s="348">
        <v>353727.46</v>
      </c>
      <c r="E243" s="348"/>
      <c r="F243" s="348"/>
      <c r="G243" s="348">
        <v>10545.25</v>
      </c>
      <c r="H243" s="348">
        <v>725.95</v>
      </c>
      <c r="I243" s="348"/>
      <c r="J243" s="348">
        <v>63919.16</v>
      </c>
      <c r="K243" s="348">
        <v>2028.1</v>
      </c>
      <c r="L243" s="348">
        <v>257016.35</v>
      </c>
      <c r="M243" s="349">
        <f t="shared" si="9"/>
        <v>3519684.7900000005</v>
      </c>
      <c r="N243" s="368">
        <v>5038.1000000000004</v>
      </c>
      <c r="O243" s="368">
        <v>8057.55</v>
      </c>
      <c r="P243" s="368">
        <v>65212.5</v>
      </c>
      <c r="Q243" s="368">
        <v>12784.31</v>
      </c>
      <c r="R243" s="368">
        <v>23597.9</v>
      </c>
      <c r="S243" s="368"/>
      <c r="T243" s="368"/>
      <c r="U243" s="368">
        <v>13300</v>
      </c>
      <c r="V243" s="368">
        <v>2301.15</v>
      </c>
      <c r="W243" s="368"/>
      <c r="X243" s="349">
        <f t="shared" si="10"/>
        <v>3649976.3000000003</v>
      </c>
      <c r="Y243" s="34">
        <v>3392.55</v>
      </c>
      <c r="Z243" s="34" t="s">
        <v>649</v>
      </c>
      <c r="AA243" s="34">
        <v>278687.55</v>
      </c>
      <c r="AB243" s="34" t="s">
        <v>649</v>
      </c>
      <c r="AC243" s="34">
        <v>176486.1</v>
      </c>
      <c r="AD243" s="34">
        <v>2306.25</v>
      </c>
      <c r="AE243" s="34" t="s">
        <v>649</v>
      </c>
      <c r="AF243" s="34" t="s">
        <v>649</v>
      </c>
      <c r="AG243" s="34" t="s">
        <v>649</v>
      </c>
      <c r="AH243" s="34">
        <v>41404.85</v>
      </c>
      <c r="AI243" s="34"/>
      <c r="AJ243" s="34"/>
      <c r="AK243" s="34"/>
      <c r="AL243" s="364">
        <f t="shared" si="11"/>
        <v>502277.29999999993</v>
      </c>
      <c r="AM243" s="17">
        <f>VLOOKUP(B243,'[1]2018'!$A$7:$F$349,6,FALSE)</f>
        <v>72</v>
      </c>
      <c r="AN243" s="32">
        <f>VLOOKUP(A243,'[2]2018 (2)'!$B$1:$D$318,3,FALSE)</f>
        <v>1586</v>
      </c>
      <c r="AO243" s="15">
        <v>-108086.48</v>
      </c>
      <c r="AP243" s="34"/>
      <c r="AQ243" s="34">
        <v>-96.32</v>
      </c>
      <c r="AR243" s="455">
        <v>1</v>
      </c>
    </row>
    <row r="244" spans="1:44" x14ac:dyDescent="0.25">
      <c r="A244" s="356">
        <v>5805</v>
      </c>
      <c r="B244" s="348" t="s">
        <v>444</v>
      </c>
      <c r="C244" s="348">
        <v>8068439.3799999999</v>
      </c>
      <c r="D244" s="348">
        <v>947434.12</v>
      </c>
      <c r="E244" s="348"/>
      <c r="F244" s="348"/>
      <c r="G244" s="348">
        <v>875187.6</v>
      </c>
      <c r="H244" s="348">
        <v>52765.4</v>
      </c>
      <c r="I244" s="348"/>
      <c r="J244" s="348">
        <v>173382.53</v>
      </c>
      <c r="K244" s="348">
        <v>87534.8</v>
      </c>
      <c r="L244" s="348">
        <v>967819.65</v>
      </c>
      <c r="M244" s="349">
        <f t="shared" si="9"/>
        <v>11172563.48</v>
      </c>
      <c r="N244" s="368">
        <v>71863.5</v>
      </c>
      <c r="O244" s="368">
        <v>443187.5</v>
      </c>
      <c r="P244" s="368">
        <v>452989.3</v>
      </c>
      <c r="Q244" s="368">
        <v>75929.83</v>
      </c>
      <c r="R244" s="368">
        <v>294095.75</v>
      </c>
      <c r="S244" s="368">
        <v>52030.6</v>
      </c>
      <c r="T244" s="368"/>
      <c r="U244" s="368">
        <v>43570</v>
      </c>
      <c r="V244" s="368">
        <v>2000</v>
      </c>
      <c r="W244" s="368">
        <v>4147.1499999999996</v>
      </c>
      <c r="X244" s="349">
        <f t="shared" si="10"/>
        <v>12612377.110000001</v>
      </c>
      <c r="Y244" s="34">
        <v>50990.25</v>
      </c>
      <c r="Z244" s="353"/>
      <c r="AA244" s="34">
        <v>855465.35</v>
      </c>
      <c r="AB244" s="353"/>
      <c r="AC244" s="34">
        <v>375895</v>
      </c>
      <c r="AD244" s="353">
        <v>88348.1</v>
      </c>
      <c r="AE244" s="34"/>
      <c r="AF244" s="353"/>
      <c r="AG244" s="34"/>
      <c r="AH244" s="353">
        <v>181572.8</v>
      </c>
      <c r="AI244" s="34"/>
      <c r="AJ244" s="353"/>
      <c r="AK244" s="34"/>
      <c r="AL244" s="364">
        <f t="shared" si="11"/>
        <v>1552271.5000000002</v>
      </c>
      <c r="AM244" s="17">
        <f>VLOOKUP(B244,'[1]2018'!$A$7:$F$349,6,FALSE)</f>
        <v>69</v>
      </c>
      <c r="AN244" s="32">
        <f>VLOOKUP(A244,'[2]2018 (2)'!$B$1:$D$318,3,FALSE)</f>
        <v>5501</v>
      </c>
      <c r="AO244" s="15">
        <v>-303244.34999999998</v>
      </c>
      <c r="AP244" s="34"/>
      <c r="AQ244" s="34">
        <v>-525.83000000000004</v>
      </c>
      <c r="AR244" s="455">
        <v>1.1000000000000001</v>
      </c>
    </row>
    <row r="245" spans="1:44" x14ac:dyDescent="0.25">
      <c r="A245" s="356">
        <v>5806</v>
      </c>
      <c r="B245" s="348" t="s">
        <v>546</v>
      </c>
      <c r="C245" s="348">
        <v>5568790.3099999996</v>
      </c>
      <c r="D245" s="348">
        <v>603953.53</v>
      </c>
      <c r="E245" s="348"/>
      <c r="F245" s="348"/>
      <c r="G245" s="348">
        <v>135932.29999999999</v>
      </c>
      <c r="H245" s="348">
        <v>5454.4</v>
      </c>
      <c r="I245" s="348">
        <v>54947.5</v>
      </c>
      <c r="J245" s="348">
        <v>61537.65</v>
      </c>
      <c r="K245" s="348">
        <v>22111.9</v>
      </c>
      <c r="L245" s="348">
        <v>487312.2</v>
      </c>
      <c r="M245" s="349">
        <f t="shared" ref="M245" si="12">SUM(C245:L245)</f>
        <v>6940039.790000001</v>
      </c>
      <c r="N245" s="368">
        <v>38920.85</v>
      </c>
      <c r="O245" s="368">
        <v>198523.9</v>
      </c>
      <c r="P245" s="368">
        <v>224496.8</v>
      </c>
      <c r="Q245" s="368">
        <v>29906.52</v>
      </c>
      <c r="R245" s="368">
        <v>236140.25</v>
      </c>
      <c r="S245" s="368"/>
      <c r="T245" s="368"/>
      <c r="U245" s="368">
        <v>11490</v>
      </c>
      <c r="V245" s="368">
        <v>21350</v>
      </c>
      <c r="W245" s="368"/>
      <c r="X245" s="349">
        <f t="shared" si="10"/>
        <v>7700868.1100000003</v>
      </c>
      <c r="Y245" s="34">
        <v>307982.59999999998</v>
      </c>
      <c r="Z245" s="353"/>
      <c r="AA245" s="34">
        <v>531970</v>
      </c>
      <c r="AB245" s="353"/>
      <c r="AC245" s="34">
        <v>289032.75</v>
      </c>
      <c r="AD245" s="353">
        <v>207216.4</v>
      </c>
      <c r="AE245" s="34"/>
      <c r="AF245" s="353"/>
      <c r="AG245" s="34">
        <v>2891</v>
      </c>
      <c r="AH245" s="353"/>
      <c r="AI245" s="34"/>
      <c r="AJ245" s="353"/>
      <c r="AK245" s="34"/>
      <c r="AL245" s="364">
        <f t="shared" si="11"/>
        <v>1339092.75</v>
      </c>
      <c r="AM245" s="17">
        <f>VLOOKUP(B245,'[1]2018'!$A$7:$F$349,6,FALSE)</f>
        <v>76</v>
      </c>
      <c r="AN245" s="32">
        <f>VLOOKUP(A245,'[2]2018 (2)'!$B$1:$D$318,3,FALSE)</f>
        <v>2869</v>
      </c>
      <c r="AO245" s="15">
        <v>-86193.34</v>
      </c>
      <c r="AP245" s="34"/>
      <c r="AQ245" s="34">
        <v>-329.98</v>
      </c>
      <c r="AR245" s="455">
        <v>1</v>
      </c>
    </row>
    <row r="246" spans="1:44" x14ac:dyDescent="0.25">
      <c r="A246" s="356">
        <v>5812</v>
      </c>
      <c r="B246" s="348" t="s">
        <v>392</v>
      </c>
      <c r="C246" s="348">
        <v>162997.14000000001</v>
      </c>
      <c r="D246" s="348">
        <v>20871.93</v>
      </c>
      <c r="E246" s="348"/>
      <c r="F246" s="348"/>
      <c r="G246" s="348">
        <v>77.900000000000006</v>
      </c>
      <c r="H246" s="348">
        <v>477.55</v>
      </c>
      <c r="I246" s="348"/>
      <c r="J246" s="348"/>
      <c r="K246" s="348">
        <v>613</v>
      </c>
      <c r="L246" s="348">
        <v>11997.7</v>
      </c>
      <c r="M246" s="349">
        <f t="shared" si="9"/>
        <v>197035.22</v>
      </c>
      <c r="N246" s="368"/>
      <c r="O246" s="368"/>
      <c r="P246" s="368">
        <v>16434.150000000001</v>
      </c>
      <c r="Q246" s="368"/>
      <c r="R246" s="368">
        <v>4469.2</v>
      </c>
      <c r="S246" s="368"/>
      <c r="T246" s="368"/>
      <c r="U246" s="368">
        <v>440</v>
      </c>
      <c r="V246" s="368"/>
      <c r="W246" s="368"/>
      <c r="X246" s="349">
        <f t="shared" si="10"/>
        <v>218378.57</v>
      </c>
      <c r="Y246" s="34">
        <v>23800</v>
      </c>
      <c r="Z246" s="353"/>
      <c r="AA246" s="34">
        <v>9946.25</v>
      </c>
      <c r="AB246" s="353"/>
      <c r="AC246" s="34">
        <v>12107.36</v>
      </c>
      <c r="AD246" s="353">
        <v>14000</v>
      </c>
      <c r="AE246" s="34"/>
      <c r="AF246" s="353"/>
      <c r="AG246" s="34"/>
      <c r="AH246" s="353">
        <v>2925.05</v>
      </c>
      <c r="AI246" s="34"/>
      <c r="AJ246" s="353"/>
      <c r="AK246" s="34"/>
      <c r="AL246" s="364">
        <f t="shared" si="11"/>
        <v>62778.66</v>
      </c>
      <c r="AM246" s="17">
        <f>VLOOKUP(B246,'[1]2018'!$A$7:$F$349,6,FALSE)</f>
        <v>77</v>
      </c>
      <c r="AN246" s="32">
        <f>VLOOKUP(A246,'[2]2018 (2)'!$B$1:$D$318,3,FALSE)</f>
        <v>122</v>
      </c>
      <c r="AO246" s="15">
        <v>-13299.86</v>
      </c>
      <c r="AP246" s="34"/>
      <c r="AQ246" s="34">
        <v>0</v>
      </c>
      <c r="AR246" s="455">
        <v>0.8</v>
      </c>
    </row>
    <row r="247" spans="1:44" x14ac:dyDescent="0.25">
      <c r="A247" s="356">
        <v>5813</v>
      </c>
      <c r="B247" s="348" t="s">
        <v>393</v>
      </c>
      <c r="C247" s="348">
        <v>685981.48</v>
      </c>
      <c r="D247" s="348">
        <v>103473.17</v>
      </c>
      <c r="E247" s="348"/>
      <c r="F247" s="348">
        <v>3020</v>
      </c>
      <c r="G247" s="348">
        <v>41062.800000000003</v>
      </c>
      <c r="H247" s="348">
        <v>112.5</v>
      </c>
      <c r="I247" s="348"/>
      <c r="J247" s="348">
        <v>5164.9799999999996</v>
      </c>
      <c r="K247" s="348"/>
      <c r="L247" s="348">
        <v>98955.1</v>
      </c>
      <c r="M247" s="349">
        <f t="shared" si="9"/>
        <v>937770.03</v>
      </c>
      <c r="N247" s="368"/>
      <c r="O247" s="368">
        <v>108057.8</v>
      </c>
      <c r="P247" s="368">
        <v>30593.45</v>
      </c>
      <c r="Q247" s="368">
        <v>-2179.37</v>
      </c>
      <c r="R247" s="368">
        <v>33904.85</v>
      </c>
      <c r="S247" s="368"/>
      <c r="T247" s="368">
        <v>2477.5</v>
      </c>
      <c r="U247" s="368">
        <v>5200</v>
      </c>
      <c r="V247" s="368"/>
      <c r="W247" s="368"/>
      <c r="X247" s="349">
        <f t="shared" si="10"/>
        <v>1115824.26</v>
      </c>
      <c r="Y247" s="34">
        <v>13568</v>
      </c>
      <c r="Z247" s="353"/>
      <c r="AA247" s="34">
        <v>52027.5</v>
      </c>
      <c r="AB247" s="353"/>
      <c r="AC247" s="34">
        <v>56652.05</v>
      </c>
      <c r="AD247" s="353">
        <v>7053.59</v>
      </c>
      <c r="AE247" s="34"/>
      <c r="AF247" s="353"/>
      <c r="AG247" s="34">
        <v>86293.5</v>
      </c>
      <c r="AH247" s="353"/>
      <c r="AI247" s="34">
        <v>19035.3</v>
      </c>
      <c r="AJ247" s="353"/>
      <c r="AK247" s="34"/>
      <c r="AL247" s="364">
        <f t="shared" si="11"/>
        <v>234629.94</v>
      </c>
      <c r="AM247" s="17">
        <f>VLOOKUP(B247,'[1]2018'!$A$7:$F$349,6,FALSE)</f>
        <v>70</v>
      </c>
      <c r="AN247" s="32">
        <f>VLOOKUP(A247,'[2]2018 (2)'!$B$1:$D$318,3,FALSE)</f>
        <v>480</v>
      </c>
      <c r="AO247" s="15">
        <v>-1102.45</v>
      </c>
      <c r="AP247" s="34"/>
      <c r="AQ247" s="34">
        <v>-9.0500000000000007</v>
      </c>
      <c r="AR247" s="455">
        <v>1.2</v>
      </c>
    </row>
    <row r="248" spans="1:44" x14ac:dyDescent="0.25">
      <c r="A248" s="356">
        <v>5816</v>
      </c>
      <c r="B248" s="348" t="s">
        <v>10</v>
      </c>
      <c r="C248" s="348">
        <v>3150854.94</v>
      </c>
      <c r="D248" s="348">
        <v>288038.42</v>
      </c>
      <c r="E248" s="348"/>
      <c r="F248" s="348"/>
      <c r="G248" s="348">
        <v>178693.2</v>
      </c>
      <c r="H248" s="348">
        <v>13080.9</v>
      </c>
      <c r="I248" s="348"/>
      <c r="J248" s="348">
        <v>184926.58</v>
      </c>
      <c r="K248" s="348">
        <v>38400.550000000003</v>
      </c>
      <c r="L248" s="348">
        <v>234399.65</v>
      </c>
      <c r="M248" s="349">
        <f t="shared" si="9"/>
        <v>4088394.2399999998</v>
      </c>
      <c r="N248" s="368">
        <v>7944.55</v>
      </c>
      <c r="O248" s="368">
        <v>6500.4</v>
      </c>
      <c r="P248" s="368">
        <v>148533.85</v>
      </c>
      <c r="Q248" s="368">
        <v>32903.730000000003</v>
      </c>
      <c r="R248" s="368">
        <v>101749.85</v>
      </c>
      <c r="S248" s="368">
        <v>375</v>
      </c>
      <c r="T248" s="368">
        <v>9402.94</v>
      </c>
      <c r="U248" s="368">
        <v>9240</v>
      </c>
      <c r="V248" s="368">
        <v>588</v>
      </c>
      <c r="W248" s="368"/>
      <c r="X248" s="349">
        <f t="shared" si="10"/>
        <v>4405632.5599999996</v>
      </c>
      <c r="Y248" s="34">
        <v>54777.8</v>
      </c>
      <c r="Z248" s="353"/>
      <c r="AA248" s="34">
        <v>493061.75</v>
      </c>
      <c r="AB248" s="353"/>
      <c r="AC248" s="34">
        <v>222896.8</v>
      </c>
      <c r="AD248" s="353">
        <v>38137.4</v>
      </c>
      <c r="AE248" s="34"/>
      <c r="AF248" s="353"/>
      <c r="AG248" s="34"/>
      <c r="AH248" s="353"/>
      <c r="AI248" s="34"/>
      <c r="AJ248" s="353"/>
      <c r="AK248" s="34"/>
      <c r="AL248" s="364">
        <f t="shared" si="11"/>
        <v>808873.75000000012</v>
      </c>
      <c r="AM248" s="17">
        <f>VLOOKUP(B248,'[1]2018'!$A$7:$F$349,6,FALSE)</f>
        <v>72</v>
      </c>
      <c r="AN248" s="32">
        <f>VLOOKUP(A248,'[2]2018 (2)'!$B$1:$D$318,3,FALSE)</f>
        <v>2479</v>
      </c>
      <c r="AO248" s="15">
        <v>-171902.18</v>
      </c>
      <c r="AP248" s="34"/>
      <c r="AQ248" s="34">
        <v>-5.25</v>
      </c>
      <c r="AR248" s="455">
        <v>0.7</v>
      </c>
    </row>
    <row r="249" spans="1:44" x14ac:dyDescent="0.25">
      <c r="A249" s="356">
        <v>5817</v>
      </c>
      <c r="B249" s="348" t="s">
        <v>11</v>
      </c>
      <c r="C249" s="348">
        <v>1544567.32</v>
      </c>
      <c r="D249" s="348">
        <v>143914.88</v>
      </c>
      <c r="E249" s="348"/>
      <c r="F249" s="348">
        <v>5250</v>
      </c>
      <c r="G249" s="348">
        <v>28812.1</v>
      </c>
      <c r="H249" s="348">
        <v>443.85</v>
      </c>
      <c r="I249" s="348"/>
      <c r="J249" s="348">
        <v>21506.38</v>
      </c>
      <c r="K249" s="348">
        <v>6302.65</v>
      </c>
      <c r="L249" s="348">
        <v>110760.5</v>
      </c>
      <c r="M249" s="349">
        <f t="shared" si="9"/>
        <v>1861557.6800000002</v>
      </c>
      <c r="N249" s="368"/>
      <c r="O249" s="368">
        <v>163854</v>
      </c>
      <c r="P249" s="368">
        <v>59338.25</v>
      </c>
      <c r="Q249" s="368">
        <v>1216.1099999999999</v>
      </c>
      <c r="R249" s="368">
        <v>43570.9</v>
      </c>
      <c r="S249" s="368"/>
      <c r="T249" s="368">
        <v>1616.8</v>
      </c>
      <c r="U249" s="368">
        <v>4225</v>
      </c>
      <c r="V249" s="368"/>
      <c r="W249" s="368"/>
      <c r="X249" s="349">
        <f t="shared" si="10"/>
        <v>2135378.7400000002</v>
      </c>
      <c r="Y249" s="34">
        <v>197357.25</v>
      </c>
      <c r="Z249" s="353"/>
      <c r="AA249" s="34">
        <v>255588.25</v>
      </c>
      <c r="AB249" s="353"/>
      <c r="AC249" s="34">
        <v>81728.25</v>
      </c>
      <c r="AD249" s="353">
        <v>4373.1000000000004</v>
      </c>
      <c r="AE249" s="34"/>
      <c r="AF249" s="353"/>
      <c r="AG249" s="34"/>
      <c r="AH249" s="353">
        <v>27936.65</v>
      </c>
      <c r="AI249" s="34"/>
      <c r="AJ249" s="353"/>
      <c r="AK249" s="34"/>
      <c r="AL249" s="364">
        <f t="shared" si="11"/>
        <v>566983.5</v>
      </c>
      <c r="AM249" s="17">
        <f>VLOOKUP(B249,'[1]2018'!$A$7:$F$349,6,FALSE)</f>
        <v>77</v>
      </c>
      <c r="AN249" s="32">
        <f>VLOOKUP(A249,'[2]2018 (2)'!$B$1:$D$318,3,FALSE)</f>
        <v>929</v>
      </c>
      <c r="AO249" s="15">
        <v>-47617.56</v>
      </c>
      <c r="AP249" s="34"/>
      <c r="AQ249" s="34">
        <v>-5.0199999999999996</v>
      </c>
      <c r="AR249" s="455">
        <v>1</v>
      </c>
    </row>
    <row r="250" spans="1:44" x14ac:dyDescent="0.25">
      <c r="A250" s="356">
        <v>5819</v>
      </c>
      <c r="B250" s="348" t="s">
        <v>12</v>
      </c>
      <c r="C250" s="348">
        <v>501931.17</v>
      </c>
      <c r="D250" s="348">
        <v>189732.89</v>
      </c>
      <c r="E250" s="348"/>
      <c r="F250" s="348"/>
      <c r="G250" s="348">
        <v>171347.05</v>
      </c>
      <c r="H250" s="348">
        <v>2342.6999999999998</v>
      </c>
      <c r="I250" s="348"/>
      <c r="J250" s="348">
        <v>12719.06</v>
      </c>
      <c r="K250" s="348">
        <v>1942.95</v>
      </c>
      <c r="L250" s="348">
        <v>82763.649999999994</v>
      </c>
      <c r="M250" s="349">
        <f t="shared" si="9"/>
        <v>962779.47000000009</v>
      </c>
      <c r="N250" s="368">
        <v>19038.25</v>
      </c>
      <c r="O250" s="368">
        <v>18931.400000000001</v>
      </c>
      <c r="P250" s="368">
        <v>22358.6</v>
      </c>
      <c r="Q250" s="368">
        <v>1133.3699999999999</v>
      </c>
      <c r="R250" s="368">
        <v>23548.5</v>
      </c>
      <c r="S250" s="368"/>
      <c r="T250" s="368"/>
      <c r="U250" s="368">
        <v>880</v>
      </c>
      <c r="V250" s="368"/>
      <c r="W250" s="368"/>
      <c r="X250" s="349">
        <f t="shared" si="10"/>
        <v>1048669.5900000001</v>
      </c>
      <c r="Y250" s="34">
        <v>16392</v>
      </c>
      <c r="Z250" s="353"/>
      <c r="AA250" s="34">
        <v>75143.199999999997</v>
      </c>
      <c r="AB250" s="353"/>
      <c r="AC250" s="34">
        <v>32272.25</v>
      </c>
      <c r="AD250" s="353">
        <v>5732.7</v>
      </c>
      <c r="AE250" s="34"/>
      <c r="AF250" s="353"/>
      <c r="AG250" s="34"/>
      <c r="AH250" s="353">
        <v>56751</v>
      </c>
      <c r="AI250" s="34"/>
      <c r="AJ250" s="353"/>
      <c r="AK250" s="34"/>
      <c r="AL250" s="364">
        <f t="shared" si="11"/>
        <v>186291.15</v>
      </c>
      <c r="AM250" s="17">
        <f>VLOOKUP(B250,'[1]2018'!$A$7:$F$349,6,FALSE)</f>
        <v>69</v>
      </c>
      <c r="AN250" s="32">
        <f>VLOOKUP(A250,'[2]2018 (2)'!$B$1:$D$318,3,FALSE)</f>
        <v>341</v>
      </c>
      <c r="AO250" s="15">
        <v>-28333.69</v>
      </c>
      <c r="AP250" s="34"/>
      <c r="AQ250" s="34">
        <v>-42.79</v>
      </c>
      <c r="AR250" s="455">
        <v>1</v>
      </c>
    </row>
    <row r="251" spans="1:44" x14ac:dyDescent="0.25">
      <c r="A251" s="356">
        <v>5821</v>
      </c>
      <c r="B251" s="348" t="s">
        <v>13</v>
      </c>
      <c r="C251" s="348">
        <v>497706.71</v>
      </c>
      <c r="D251" s="348">
        <v>52737.84</v>
      </c>
      <c r="E251" s="348"/>
      <c r="F251" s="348">
        <v>2030</v>
      </c>
      <c r="G251" s="348">
        <v>4754.75</v>
      </c>
      <c r="H251" s="348">
        <v>161.9</v>
      </c>
      <c r="I251" s="348"/>
      <c r="J251" s="348">
        <v>11941.58</v>
      </c>
      <c r="K251" s="348">
        <v>1311.65</v>
      </c>
      <c r="L251" s="348">
        <v>49531.7</v>
      </c>
      <c r="M251" s="349">
        <f t="shared" si="9"/>
        <v>620176.13</v>
      </c>
      <c r="N251" s="368"/>
      <c r="O251" s="368">
        <v>6269.6</v>
      </c>
      <c r="P251" s="368">
        <v>6503.7</v>
      </c>
      <c r="Q251" s="368"/>
      <c r="R251" s="368">
        <v>17438.75</v>
      </c>
      <c r="S251" s="368"/>
      <c r="T251" s="368"/>
      <c r="U251" s="368">
        <v>2750</v>
      </c>
      <c r="V251" s="368"/>
      <c r="W251" s="368"/>
      <c r="X251" s="349">
        <f t="shared" si="10"/>
        <v>653138.17999999993</v>
      </c>
      <c r="Y251" s="34">
        <v>15312</v>
      </c>
      <c r="Z251" s="353"/>
      <c r="AA251" s="34">
        <v>52105.5</v>
      </c>
      <c r="AB251" s="353"/>
      <c r="AC251" s="34">
        <v>23939.65</v>
      </c>
      <c r="AD251" s="353"/>
      <c r="AE251" s="34"/>
      <c r="AF251" s="353"/>
      <c r="AG251" s="34"/>
      <c r="AH251" s="353">
        <v>8891.0499999999993</v>
      </c>
      <c r="AI251" s="34"/>
      <c r="AJ251" s="353">
        <v>163.35</v>
      </c>
      <c r="AK251" s="34"/>
      <c r="AL251" s="364">
        <f t="shared" si="11"/>
        <v>100411.55</v>
      </c>
      <c r="AM251" s="17">
        <f>VLOOKUP(B251,'[1]2018'!$A$7:$F$349,6,FALSE)</f>
        <v>72</v>
      </c>
      <c r="AN251" s="32">
        <f>VLOOKUP(A251,'[2]2018 (2)'!$B$1:$D$318,3,FALSE)</f>
        <v>368</v>
      </c>
      <c r="AO251" s="15">
        <v>-668.16</v>
      </c>
      <c r="AP251" s="34"/>
      <c r="AQ251" s="34">
        <v>-51.3</v>
      </c>
      <c r="AR251" s="455">
        <v>1</v>
      </c>
    </row>
    <row r="252" spans="1:44" x14ac:dyDescent="0.25">
      <c r="A252" s="356">
        <v>5822</v>
      </c>
      <c r="B252" s="348" t="s">
        <v>14</v>
      </c>
      <c r="C252" s="348">
        <v>13578074.35</v>
      </c>
      <c r="D252" s="348">
        <v>1378896.42</v>
      </c>
      <c r="E252" s="348"/>
      <c r="F252" s="348"/>
      <c r="G252" s="348">
        <v>2074217.65</v>
      </c>
      <c r="H252" s="348">
        <v>38410.949999999997</v>
      </c>
      <c r="I252" s="348"/>
      <c r="J252" s="348">
        <v>666696.86</v>
      </c>
      <c r="K252" s="348">
        <v>192225.3</v>
      </c>
      <c r="L252" s="348">
        <v>1327217.3</v>
      </c>
      <c r="M252" s="349">
        <f t="shared" si="9"/>
        <v>19255738.829999998</v>
      </c>
      <c r="N252" s="368">
        <v>67583.05</v>
      </c>
      <c r="O252" s="368">
        <v>420748.7</v>
      </c>
      <c r="P252" s="368">
        <v>687566.8</v>
      </c>
      <c r="Q252" s="368">
        <v>84157.4</v>
      </c>
      <c r="R252" s="368">
        <v>335449.8</v>
      </c>
      <c r="S252" s="368">
        <v>95891</v>
      </c>
      <c r="T252" s="368">
        <v>32355</v>
      </c>
      <c r="U252" s="368">
        <v>22500</v>
      </c>
      <c r="V252" s="368">
        <v>58290.55</v>
      </c>
      <c r="W252" s="368"/>
      <c r="X252" s="349">
        <f t="shared" si="10"/>
        <v>21060281.129999999</v>
      </c>
      <c r="Y252" s="34">
        <v>37184</v>
      </c>
      <c r="Z252" s="353"/>
      <c r="AA252" s="34">
        <v>2440986.85</v>
      </c>
      <c r="AB252" s="353"/>
      <c r="AC252" s="34">
        <v>1194055.47</v>
      </c>
      <c r="AD252" s="353">
        <v>20209.91</v>
      </c>
      <c r="AE252" s="34"/>
      <c r="AF252" s="353"/>
      <c r="AG252" s="34">
        <v>1410</v>
      </c>
      <c r="AH252" s="353"/>
      <c r="AI252" s="34"/>
      <c r="AJ252" s="353"/>
      <c r="AK252" s="34"/>
      <c r="AL252" s="364">
        <f t="shared" si="11"/>
        <v>3693846.2300000004</v>
      </c>
      <c r="AM252" s="17">
        <f>VLOOKUP(B252,'[1]2018'!$A$7:$F$349,6,FALSE)</f>
        <v>75</v>
      </c>
      <c r="AN252" s="32">
        <f>VLOOKUP(A252,'[2]2018 (2)'!$B$1:$D$318,3,FALSE)</f>
        <v>9971</v>
      </c>
      <c r="AO252" s="15">
        <v>-640420.86</v>
      </c>
      <c r="AP252" s="34"/>
      <c r="AQ252" s="34">
        <v>-547.98</v>
      </c>
      <c r="AR252" s="455">
        <v>1</v>
      </c>
    </row>
    <row r="253" spans="1:44" x14ac:dyDescent="0.25">
      <c r="A253" s="356">
        <v>5827</v>
      </c>
      <c r="B253" s="348" t="s">
        <v>15</v>
      </c>
      <c r="C253" s="348">
        <v>456867.82</v>
      </c>
      <c r="D253" s="348">
        <v>56252.74</v>
      </c>
      <c r="E253" s="348"/>
      <c r="F253" s="348"/>
      <c r="G253" s="348">
        <v>26085.65</v>
      </c>
      <c r="H253" s="348">
        <v>304.8</v>
      </c>
      <c r="I253" s="348"/>
      <c r="J253" s="348">
        <v>14639.52</v>
      </c>
      <c r="K253" s="348">
        <v>-709.65</v>
      </c>
      <c r="L253" s="348">
        <v>36354.050000000003</v>
      </c>
      <c r="M253" s="349">
        <f t="shared" si="9"/>
        <v>589794.93000000005</v>
      </c>
      <c r="N253" s="368"/>
      <c r="O253" s="368">
        <v>28587.599999999999</v>
      </c>
      <c r="P253" s="368">
        <v>9667.9</v>
      </c>
      <c r="Q253" s="368">
        <v>53.52</v>
      </c>
      <c r="R253" s="368"/>
      <c r="S253" s="368"/>
      <c r="T253" s="368"/>
      <c r="U253" s="368">
        <v>1725</v>
      </c>
      <c r="V253" s="368"/>
      <c r="W253" s="368"/>
      <c r="X253" s="349">
        <f t="shared" si="10"/>
        <v>629828.95000000007</v>
      </c>
      <c r="Y253" s="34">
        <v>6000</v>
      </c>
      <c r="Z253" s="353"/>
      <c r="AA253" s="34">
        <v>40336.800000000003</v>
      </c>
      <c r="AB253" s="353"/>
      <c r="AC253" s="34">
        <v>13540</v>
      </c>
      <c r="AD253" s="353">
        <v>4332.3999999999996</v>
      </c>
      <c r="AE253" s="34"/>
      <c r="AF253" s="353"/>
      <c r="AG253" s="34"/>
      <c r="AH253" s="353"/>
      <c r="AI253" s="34"/>
      <c r="AJ253" s="353"/>
      <c r="AK253" s="34"/>
      <c r="AL253" s="364">
        <f t="shared" si="11"/>
        <v>64209.200000000004</v>
      </c>
      <c r="AM253" s="17">
        <f>VLOOKUP(B253,'[1]2018'!$A$7:$F$349,6,FALSE)</f>
        <v>80</v>
      </c>
      <c r="AN253" s="32">
        <f>VLOOKUP(A253,'[2]2018 (2)'!$B$1:$D$318,3,FALSE)</f>
        <v>267</v>
      </c>
      <c r="AO253" s="15">
        <v>-11539.65</v>
      </c>
      <c r="AP253" s="34"/>
      <c r="AQ253" s="34">
        <v>0</v>
      </c>
      <c r="AR253" s="455">
        <v>1</v>
      </c>
    </row>
    <row r="254" spans="1:44" x14ac:dyDescent="0.25">
      <c r="A254" s="356">
        <v>5828</v>
      </c>
      <c r="B254" s="348" t="s">
        <v>530</v>
      </c>
      <c r="C254" s="348">
        <v>193395.55</v>
      </c>
      <c r="D254" s="348">
        <v>18717.41</v>
      </c>
      <c r="E254" s="348"/>
      <c r="F254" s="348"/>
      <c r="G254" s="348">
        <v>149.94999999999999</v>
      </c>
      <c r="H254" s="348">
        <v>112.25</v>
      </c>
      <c r="I254" s="348"/>
      <c r="J254" s="348">
        <v>140.04</v>
      </c>
      <c r="K254" s="348"/>
      <c r="L254" s="348">
        <v>22323.95</v>
      </c>
      <c r="M254" s="349">
        <f t="shared" si="9"/>
        <v>234839.15000000002</v>
      </c>
      <c r="N254" s="368"/>
      <c r="O254" s="368">
        <v>848.7</v>
      </c>
      <c r="P254" s="368">
        <v>7007.6</v>
      </c>
      <c r="Q254" s="368"/>
      <c r="R254" s="368">
        <v>14019.6</v>
      </c>
      <c r="S254" s="368"/>
      <c r="T254" s="368"/>
      <c r="U254" s="368">
        <v>540</v>
      </c>
      <c r="V254" s="368"/>
      <c r="W254" s="368"/>
      <c r="X254" s="349">
        <f t="shared" si="10"/>
        <v>257255.05000000005</v>
      </c>
      <c r="Y254" s="34"/>
      <c r="Z254" s="353"/>
      <c r="AA254" s="34">
        <v>19689</v>
      </c>
      <c r="AB254" s="353"/>
      <c r="AC254" s="34">
        <v>9664.1</v>
      </c>
      <c r="AD254" s="353"/>
      <c r="AE254" s="34"/>
      <c r="AF254" s="353"/>
      <c r="AG254" s="34"/>
      <c r="AH254" s="353">
        <v>3525.7</v>
      </c>
      <c r="AI254" s="34"/>
      <c r="AJ254" s="353"/>
      <c r="AK254" s="34"/>
      <c r="AL254" s="364">
        <f t="shared" si="11"/>
        <v>32878.799999999996</v>
      </c>
      <c r="AM254" s="17">
        <f>VLOOKUP(B254,'[1]2018'!$A$7:$F$349,6,FALSE)</f>
        <v>84</v>
      </c>
      <c r="AN254" s="32">
        <f>VLOOKUP(A254,'[2]2018 (2)'!$B$1:$D$318,3,FALSE)</f>
        <v>119</v>
      </c>
      <c r="AO254" s="15">
        <v>-2925.75</v>
      </c>
      <c r="AP254" s="34"/>
      <c r="AQ254" s="34">
        <v>0</v>
      </c>
      <c r="AR254" s="455">
        <v>1.5</v>
      </c>
    </row>
    <row r="255" spans="1:44" x14ac:dyDescent="0.25">
      <c r="A255" s="356">
        <v>5830</v>
      </c>
      <c r="B255" s="348" t="s">
        <v>16</v>
      </c>
      <c r="C255" s="348">
        <v>789989.46</v>
      </c>
      <c r="D255" s="348">
        <v>87415.3</v>
      </c>
      <c r="E255" s="348"/>
      <c r="F255" s="348"/>
      <c r="G255" s="348">
        <v>3765.2</v>
      </c>
      <c r="H255" s="348">
        <v>125.6</v>
      </c>
      <c r="I255" s="348"/>
      <c r="J255" s="348">
        <v>14595.19</v>
      </c>
      <c r="K255" s="348">
        <v>188.7</v>
      </c>
      <c r="L255" s="348">
        <v>55629.7</v>
      </c>
      <c r="M255" s="349">
        <f t="shared" si="9"/>
        <v>951709.14999999979</v>
      </c>
      <c r="N255" s="368"/>
      <c r="O255" s="368"/>
      <c r="P255" s="368">
        <v>31680</v>
      </c>
      <c r="Q255" s="368">
        <v>16141.64</v>
      </c>
      <c r="R255" s="368">
        <v>26408.15</v>
      </c>
      <c r="S255" s="368"/>
      <c r="T255" s="368"/>
      <c r="U255" s="368">
        <v>3360</v>
      </c>
      <c r="V255" s="368"/>
      <c r="W255" s="368"/>
      <c r="X255" s="349">
        <f t="shared" si="10"/>
        <v>1029298.9399999998</v>
      </c>
      <c r="Y255" s="34">
        <v>27000</v>
      </c>
      <c r="Z255" s="353"/>
      <c r="AA255" s="34">
        <v>53077</v>
      </c>
      <c r="AB255" s="353"/>
      <c r="AC255" s="34">
        <v>21228</v>
      </c>
      <c r="AD255" s="353">
        <v>9000</v>
      </c>
      <c r="AE255" s="34"/>
      <c r="AF255" s="353"/>
      <c r="AG255" s="34"/>
      <c r="AH255" s="353"/>
      <c r="AI255" s="34"/>
      <c r="AJ255" s="353"/>
      <c r="AK255" s="34"/>
      <c r="AL255" s="364">
        <f t="shared" si="11"/>
        <v>110305</v>
      </c>
      <c r="AM255" s="17">
        <f>VLOOKUP(B255,'[1]2018'!$A$7:$F$349,6,FALSE)</f>
        <v>79</v>
      </c>
      <c r="AN255" s="32">
        <f>VLOOKUP(A255,'[2]2018 (2)'!$B$1:$D$318,3,FALSE)</f>
        <v>446</v>
      </c>
      <c r="AO255" s="15">
        <v>-8971.84</v>
      </c>
      <c r="AP255" s="34"/>
      <c r="AQ255" s="34">
        <v>-0.32</v>
      </c>
      <c r="AR255" s="455">
        <v>1</v>
      </c>
    </row>
    <row r="256" spans="1:44" x14ac:dyDescent="0.25">
      <c r="A256" s="356">
        <v>5831</v>
      </c>
      <c r="B256" s="348" t="s">
        <v>443</v>
      </c>
      <c r="C256" s="348">
        <v>4614656.33</v>
      </c>
      <c r="D256" s="348">
        <v>680740.1</v>
      </c>
      <c r="E256" s="348"/>
      <c r="F256" s="348"/>
      <c r="G256" s="348">
        <v>403047.55</v>
      </c>
      <c r="H256" s="348">
        <v>15489.75</v>
      </c>
      <c r="I256" s="348"/>
      <c r="J256" s="348">
        <v>186928.65</v>
      </c>
      <c r="K256" s="348">
        <v>19910.3</v>
      </c>
      <c r="L256" s="348">
        <v>260124.35</v>
      </c>
      <c r="M256" s="349">
        <f t="shared" si="9"/>
        <v>6180897.0299999993</v>
      </c>
      <c r="N256" s="368">
        <v>18680.75</v>
      </c>
      <c r="O256" s="368">
        <v>176316.15</v>
      </c>
      <c r="P256" s="368">
        <v>256060.7</v>
      </c>
      <c r="Q256" s="368">
        <v>52794.77</v>
      </c>
      <c r="R256" s="368">
        <v>245583.95</v>
      </c>
      <c r="S256" s="368"/>
      <c r="T256" s="368"/>
      <c r="U256" s="368">
        <v>15725</v>
      </c>
      <c r="V256" s="368"/>
      <c r="W256" s="368"/>
      <c r="X256" s="349">
        <f t="shared" si="10"/>
        <v>6946058.3499999996</v>
      </c>
      <c r="Y256" s="34">
        <v>138000</v>
      </c>
      <c r="Z256" s="353"/>
      <c r="AA256" s="34">
        <v>349788</v>
      </c>
      <c r="AB256" s="353"/>
      <c r="AC256" s="34">
        <v>278312</v>
      </c>
      <c r="AD256" s="353">
        <v>64985.2</v>
      </c>
      <c r="AE256" s="34"/>
      <c r="AF256" s="353"/>
      <c r="AG256" s="34"/>
      <c r="AH256" s="353">
        <v>153180</v>
      </c>
      <c r="AI256" s="34"/>
      <c r="AJ256" s="353"/>
      <c r="AK256" s="34"/>
      <c r="AL256" s="364">
        <f t="shared" si="11"/>
        <v>984265.2</v>
      </c>
      <c r="AM256" s="17">
        <f>VLOOKUP(B256,'[1]2018'!$A$7:$F$349,6,FALSE)</f>
        <v>73</v>
      </c>
      <c r="AN256" s="32">
        <f>VLOOKUP(A256,'[2]2018 (2)'!$B$1:$D$318,3,FALSE)</f>
        <v>3174</v>
      </c>
      <c r="AO256" s="15">
        <v>-131749.88</v>
      </c>
      <c r="AP256" s="34"/>
      <c r="AQ256" s="34">
        <v>-255.42</v>
      </c>
      <c r="AR256" s="455">
        <v>0.6</v>
      </c>
    </row>
    <row r="257" spans="1:44" x14ac:dyDescent="0.25">
      <c r="A257" s="356">
        <v>5841</v>
      </c>
      <c r="B257" s="348" t="s">
        <v>17</v>
      </c>
      <c r="C257" s="348">
        <v>5438018.9100000001</v>
      </c>
      <c r="D257" s="348">
        <v>1690630.41</v>
      </c>
      <c r="E257" s="348"/>
      <c r="F257" s="348"/>
      <c r="G257" s="348">
        <v>497999.85</v>
      </c>
      <c r="H257" s="348">
        <v>56012.85</v>
      </c>
      <c r="I257" s="348">
        <v>877263.5</v>
      </c>
      <c r="J257" s="348">
        <v>288446.65999999997</v>
      </c>
      <c r="K257" s="348">
        <v>7931.3</v>
      </c>
      <c r="L257" s="348">
        <v>1521220.5</v>
      </c>
      <c r="M257" s="349">
        <f t="shared" ref="M257:M315" si="13">SUM(C257:L257)</f>
        <v>10377523.98</v>
      </c>
      <c r="N257" s="368">
        <v>5396.8</v>
      </c>
      <c r="O257" s="368">
        <v>399110.5</v>
      </c>
      <c r="P257" s="368">
        <v>364905.85</v>
      </c>
      <c r="Q257" s="368">
        <v>31709.94</v>
      </c>
      <c r="R257" s="368">
        <v>234119.35</v>
      </c>
      <c r="S257" s="368"/>
      <c r="T257" s="368">
        <v>33547.15</v>
      </c>
      <c r="U257" s="368">
        <v>19260</v>
      </c>
      <c r="V257" s="368">
        <v>420</v>
      </c>
      <c r="W257" s="368">
        <v>800</v>
      </c>
      <c r="X257" s="349">
        <f t="shared" si="10"/>
        <v>11466793.57</v>
      </c>
      <c r="Y257" s="34">
        <v>149628.59</v>
      </c>
      <c r="Z257" s="353"/>
      <c r="AA257" s="34">
        <v>1100011.8799999999</v>
      </c>
      <c r="AB257" s="353"/>
      <c r="AC257" s="34">
        <v>602965.99</v>
      </c>
      <c r="AD257" s="353"/>
      <c r="AE257" s="34"/>
      <c r="AF257" s="353"/>
      <c r="AG257" s="34">
        <v>580531.94999999995</v>
      </c>
      <c r="AH257" s="353">
        <v>156546.35</v>
      </c>
      <c r="AI257" s="34"/>
      <c r="AJ257" s="353"/>
      <c r="AK257" s="34"/>
      <c r="AL257" s="364">
        <f t="shared" si="11"/>
        <v>2589684.7600000002</v>
      </c>
      <c r="AM257" s="17">
        <f>VLOOKUP(B257,'[1]2018'!$A$7:$F$349,6,FALSE)</f>
        <v>83</v>
      </c>
      <c r="AN257" s="32">
        <f>VLOOKUP(A257,'[2]2018 (2)'!$B$1:$D$318,3,FALSE)</f>
        <v>3460</v>
      </c>
      <c r="AO257" s="15">
        <v>-90835.23</v>
      </c>
      <c r="AP257" s="34"/>
      <c r="AQ257" s="34">
        <v>-981.09</v>
      </c>
      <c r="AR257" s="455">
        <v>1.5</v>
      </c>
    </row>
    <row r="258" spans="1:44" x14ac:dyDescent="0.25">
      <c r="A258" s="356">
        <v>5842</v>
      </c>
      <c r="B258" s="348" t="s">
        <v>18</v>
      </c>
      <c r="C258" s="348">
        <v>935677.04</v>
      </c>
      <c r="D258" s="348">
        <v>212156.38</v>
      </c>
      <c r="E258" s="348"/>
      <c r="F258" s="348"/>
      <c r="G258" s="348">
        <v>15631.6</v>
      </c>
      <c r="H258" s="348">
        <v>330.9</v>
      </c>
      <c r="I258" s="348">
        <v>32242.85</v>
      </c>
      <c r="J258" s="348">
        <v>20403.900000000001</v>
      </c>
      <c r="K258" s="348">
        <v>369.65</v>
      </c>
      <c r="L258" s="348">
        <v>137465.60000000001</v>
      </c>
      <c r="M258" s="349">
        <f t="shared" si="13"/>
        <v>1354277.92</v>
      </c>
      <c r="N258" s="368"/>
      <c r="O258" s="368">
        <v>27000</v>
      </c>
      <c r="P258" s="368">
        <v>54790.15</v>
      </c>
      <c r="Q258" s="368">
        <v>6051.37</v>
      </c>
      <c r="R258" s="368">
        <v>28913.25</v>
      </c>
      <c r="S258" s="368"/>
      <c r="T258" s="368"/>
      <c r="U258" s="368">
        <v>3840</v>
      </c>
      <c r="V258" s="368"/>
      <c r="W258" s="368"/>
      <c r="X258" s="349">
        <f t="shared" si="10"/>
        <v>1474872.69</v>
      </c>
      <c r="Y258" s="34">
        <v>14685.9</v>
      </c>
      <c r="Z258" s="353"/>
      <c r="AA258" s="34">
        <v>83542.399999999994</v>
      </c>
      <c r="AB258" s="353"/>
      <c r="AC258" s="34">
        <v>40772.1</v>
      </c>
      <c r="AD258" s="353">
        <v>14685.9</v>
      </c>
      <c r="AE258" s="34"/>
      <c r="AF258" s="353"/>
      <c r="AG258" s="34"/>
      <c r="AH258" s="353"/>
      <c r="AI258" s="34"/>
      <c r="AJ258" s="353"/>
      <c r="AK258" s="34"/>
      <c r="AL258" s="364">
        <f t="shared" si="11"/>
        <v>153686.29999999999</v>
      </c>
      <c r="AM258" s="17">
        <f>VLOOKUP(B258,'[1]2018'!$A$7:$F$349,6,FALSE)</f>
        <v>81</v>
      </c>
      <c r="AN258" s="32">
        <f>VLOOKUP(A258,'[2]2018 (2)'!$B$1:$D$318,3,FALSE)</f>
        <v>548</v>
      </c>
      <c r="AO258" s="15">
        <v>-3538.6</v>
      </c>
      <c r="AP258" s="34"/>
      <c r="AQ258" s="34">
        <v>-479.24</v>
      </c>
      <c r="AR258" s="455">
        <v>1.5</v>
      </c>
    </row>
    <row r="259" spans="1:44" x14ac:dyDescent="0.25">
      <c r="A259" s="356">
        <v>5843</v>
      </c>
      <c r="B259" s="348" t="s">
        <v>19</v>
      </c>
      <c r="C259" s="348">
        <v>2773846.6</v>
      </c>
      <c r="D259" s="348">
        <v>1778257.78</v>
      </c>
      <c r="E259" s="348"/>
      <c r="F259" s="348"/>
      <c r="G259" s="348">
        <v>406179.85</v>
      </c>
      <c r="H259" s="348">
        <v>11107.6</v>
      </c>
      <c r="I259" s="348">
        <v>1352956.19</v>
      </c>
      <c r="J259" s="348">
        <v>101221.48</v>
      </c>
      <c r="K259" s="348">
        <v>17979.400000000001</v>
      </c>
      <c r="L259" s="348">
        <v>1147822.7</v>
      </c>
      <c r="M259" s="349">
        <f t="shared" si="13"/>
        <v>7589371.6000000006</v>
      </c>
      <c r="N259" s="368"/>
      <c r="O259" s="368">
        <v>216096.3</v>
      </c>
      <c r="P259" s="368">
        <v>626154.1</v>
      </c>
      <c r="Q259" s="368">
        <v>15843.49</v>
      </c>
      <c r="R259" s="368">
        <v>417944.25</v>
      </c>
      <c r="S259" s="368"/>
      <c r="T259" s="368">
        <v>2968.45</v>
      </c>
      <c r="U259" s="368">
        <v>5610</v>
      </c>
      <c r="V259" s="368"/>
      <c r="W259" s="368"/>
      <c r="X259" s="349">
        <f t="shared" si="10"/>
        <v>8873988.1899999995</v>
      </c>
      <c r="Y259" s="34">
        <v>35212.5</v>
      </c>
      <c r="Z259" s="34" t="s">
        <v>649</v>
      </c>
      <c r="AA259" s="34">
        <v>239900.76</v>
      </c>
      <c r="AB259" s="34" t="s">
        <v>649</v>
      </c>
      <c r="AC259" s="34">
        <v>225428.26</v>
      </c>
      <c r="AD259" s="34">
        <v>45337.5</v>
      </c>
      <c r="AE259" s="34" t="s">
        <v>649</v>
      </c>
      <c r="AF259" s="34" t="s">
        <v>649</v>
      </c>
      <c r="AG259" s="34">
        <v>800144.76</v>
      </c>
      <c r="AH259" s="34">
        <v>87982.3</v>
      </c>
      <c r="AI259" s="34"/>
      <c r="AJ259" s="34"/>
      <c r="AK259" s="34"/>
      <c r="AL259" s="364">
        <f t="shared" si="11"/>
        <v>1434006.08</v>
      </c>
      <c r="AM259" s="17">
        <f>VLOOKUP(B259,'[1]2018'!$A$7:$F$349,6,FALSE)</f>
        <v>74</v>
      </c>
      <c r="AN259" s="32">
        <f>VLOOKUP(A259,'[2]2018 (2)'!$B$1:$D$318,3,FALSE)</f>
        <v>882</v>
      </c>
      <c r="AO259" s="15">
        <v>-77651.62</v>
      </c>
      <c r="AP259" s="34"/>
      <c r="AQ259" s="34">
        <v>-2621.62</v>
      </c>
      <c r="AR259" s="455">
        <v>1.5</v>
      </c>
    </row>
    <row r="260" spans="1:44" x14ac:dyDescent="0.25">
      <c r="A260" s="356">
        <v>5851</v>
      </c>
      <c r="B260" s="348" t="s">
        <v>20</v>
      </c>
      <c r="C260" s="348">
        <v>1124362.07</v>
      </c>
      <c r="D260" s="348">
        <v>221330.1</v>
      </c>
      <c r="E260" s="348"/>
      <c r="F260" s="348"/>
      <c r="G260" s="348">
        <v>109833.15</v>
      </c>
      <c r="H260" s="348">
        <v>7215.4</v>
      </c>
      <c r="I260" s="348">
        <v>75789.25</v>
      </c>
      <c r="J260" s="348">
        <v>103031.22</v>
      </c>
      <c r="K260" s="348">
        <v>29049.3</v>
      </c>
      <c r="L260" s="348">
        <v>241740.85</v>
      </c>
      <c r="M260" s="349">
        <f t="shared" si="13"/>
        <v>1912351.34</v>
      </c>
      <c r="N260" s="368">
        <v>45630.25</v>
      </c>
      <c r="O260" s="368">
        <v>173965.4</v>
      </c>
      <c r="P260" s="368">
        <v>135740</v>
      </c>
      <c r="Q260" s="368">
        <v>1348.36</v>
      </c>
      <c r="R260" s="368">
        <v>231824.3</v>
      </c>
      <c r="S260" s="368">
        <v>43586.25</v>
      </c>
      <c r="T260" s="368"/>
      <c r="U260" s="368">
        <v>1750</v>
      </c>
      <c r="V260" s="368"/>
      <c r="W260" s="368"/>
      <c r="X260" s="349">
        <f t="shared" si="10"/>
        <v>2546195.9</v>
      </c>
      <c r="Y260" s="34"/>
      <c r="Z260" s="353"/>
      <c r="AA260" s="34">
        <v>168998.56</v>
      </c>
      <c r="AB260" s="353"/>
      <c r="AC260" s="34">
        <v>32990.300000000003</v>
      </c>
      <c r="AD260" s="353"/>
      <c r="AE260" s="34"/>
      <c r="AF260" s="353"/>
      <c r="AG260" s="34"/>
      <c r="AH260" s="353">
        <v>56290.1</v>
      </c>
      <c r="AI260" s="34"/>
      <c r="AJ260" s="353"/>
      <c r="AK260" s="34"/>
      <c r="AL260" s="364">
        <f t="shared" si="11"/>
        <v>258278.96</v>
      </c>
      <c r="AM260" s="17">
        <f>VLOOKUP(B260,'[1]2018'!$A$7:$F$349,6,FALSE)</f>
        <v>62</v>
      </c>
      <c r="AN260" s="32">
        <f>VLOOKUP(A260,'[2]2018 (2)'!$B$1:$D$318,3,FALSE)</f>
        <v>434</v>
      </c>
      <c r="AO260" s="15">
        <v>-61802.16</v>
      </c>
      <c r="AP260" s="34"/>
      <c r="AQ260" s="34">
        <v>-227.32</v>
      </c>
      <c r="AR260" s="455">
        <v>1.1000000000000001</v>
      </c>
    </row>
    <row r="261" spans="1:44" x14ac:dyDescent="0.25">
      <c r="A261" s="356">
        <v>5852</v>
      </c>
      <c r="B261" s="348" t="s">
        <v>21</v>
      </c>
      <c r="C261" s="348">
        <v>1555736.83</v>
      </c>
      <c r="D261" s="348">
        <v>530808.55000000005</v>
      </c>
      <c r="E261" s="348"/>
      <c r="F261" s="348"/>
      <c r="G261" s="348">
        <v>21267.35</v>
      </c>
      <c r="H261" s="348">
        <v>3978.55</v>
      </c>
      <c r="I261" s="348">
        <v>336538.95</v>
      </c>
      <c r="J261" s="348">
        <v>85066.9</v>
      </c>
      <c r="K261" s="348">
        <v>7929.85</v>
      </c>
      <c r="L261" s="348">
        <v>176607.5</v>
      </c>
      <c r="M261" s="349">
        <f t="shared" si="13"/>
        <v>2717934.48</v>
      </c>
      <c r="N261" s="368">
        <v>10718.8</v>
      </c>
      <c r="O261" s="368"/>
      <c r="P261" s="368">
        <v>90200</v>
      </c>
      <c r="Q261" s="368"/>
      <c r="R261" s="368">
        <v>216384.5</v>
      </c>
      <c r="S261" s="368"/>
      <c r="T261" s="368"/>
      <c r="U261" s="368">
        <v>3527.5</v>
      </c>
      <c r="V261" s="368"/>
      <c r="W261" s="368"/>
      <c r="X261" s="349">
        <f t="shared" si="10"/>
        <v>3038765.28</v>
      </c>
      <c r="Y261" s="34">
        <v>-1849.8</v>
      </c>
      <c r="Z261" s="353"/>
      <c r="AA261" s="34">
        <v>76812.399999999994</v>
      </c>
      <c r="AB261" s="353"/>
      <c r="AC261" s="34">
        <v>21877.7</v>
      </c>
      <c r="AD261" s="353"/>
      <c r="AE261" s="34"/>
      <c r="AF261" s="353"/>
      <c r="AG261" s="34">
        <v>7925.75</v>
      </c>
      <c r="AH261" s="353"/>
      <c r="AI261" s="34"/>
      <c r="AJ261" s="353"/>
      <c r="AK261" s="34"/>
      <c r="AL261" s="364">
        <f t="shared" si="11"/>
        <v>104766.04999999999</v>
      </c>
      <c r="AM261" s="17">
        <f>VLOOKUP(B261,'[1]2018'!$A$7:$F$349,6,FALSE)</f>
        <v>65.5</v>
      </c>
      <c r="AN261" s="32">
        <f>VLOOKUP(A261,'[2]2018 (2)'!$B$1:$D$318,3,FALSE)</f>
        <v>471</v>
      </c>
      <c r="AO261" s="15">
        <v>-103747.23</v>
      </c>
      <c r="AP261" s="34"/>
      <c r="AQ261" s="34">
        <v>-9437.8799999999992</v>
      </c>
      <c r="AR261" s="455">
        <v>1</v>
      </c>
    </row>
    <row r="262" spans="1:44" x14ac:dyDescent="0.25">
      <c r="A262" s="356">
        <v>5853</v>
      </c>
      <c r="B262" s="348" t="s">
        <v>22</v>
      </c>
      <c r="C262" s="348">
        <v>1899413.67</v>
      </c>
      <c r="D262" s="348">
        <v>331796.27</v>
      </c>
      <c r="E262" s="348"/>
      <c r="F262" s="348"/>
      <c r="G262" s="348">
        <v>50731.45</v>
      </c>
      <c r="H262" s="348">
        <v>11268.45</v>
      </c>
      <c r="I262" s="348">
        <v>78834.009999999995</v>
      </c>
      <c r="J262" s="348">
        <v>22188.67</v>
      </c>
      <c r="K262" s="348">
        <v>17397.650000000001</v>
      </c>
      <c r="L262" s="348">
        <v>191231.2</v>
      </c>
      <c r="M262" s="349">
        <f t="shared" si="13"/>
        <v>2602861.37</v>
      </c>
      <c r="N262" s="368">
        <v>64233</v>
      </c>
      <c r="O262" s="368">
        <v>6452.7</v>
      </c>
      <c r="P262" s="368">
        <v>168975.3</v>
      </c>
      <c r="Q262" s="368">
        <v>30029.69</v>
      </c>
      <c r="R262" s="368">
        <v>96499.5</v>
      </c>
      <c r="S262" s="368"/>
      <c r="T262" s="368">
        <v>250</v>
      </c>
      <c r="U262" s="368">
        <v>5450</v>
      </c>
      <c r="V262" s="368"/>
      <c r="W262" s="368"/>
      <c r="X262" s="349">
        <f t="shared" si="10"/>
        <v>2974751.56</v>
      </c>
      <c r="Y262" s="34">
        <v>72279.25</v>
      </c>
      <c r="Z262" s="353"/>
      <c r="AA262" s="34">
        <v>180417.4</v>
      </c>
      <c r="AB262" s="353"/>
      <c r="AC262" s="34">
        <v>52357.9</v>
      </c>
      <c r="AD262" s="353"/>
      <c r="AE262" s="34"/>
      <c r="AF262" s="353"/>
      <c r="AG262" s="34">
        <v>11054.35</v>
      </c>
      <c r="AH262" s="353"/>
      <c r="AI262" s="34"/>
      <c r="AJ262" s="353"/>
      <c r="AK262" s="34"/>
      <c r="AL262" s="364">
        <f t="shared" si="11"/>
        <v>316108.89999999997</v>
      </c>
      <c r="AM262" s="17">
        <f>VLOOKUP(B262,'[1]2018'!$A$7:$F$349,6,FALSE)</f>
        <v>71</v>
      </c>
      <c r="AN262" s="32">
        <f>VLOOKUP(A262,'[2]2018 (2)'!$B$1:$D$318,3,FALSE)</f>
        <v>752</v>
      </c>
      <c r="AO262" s="15">
        <v>-16761.8</v>
      </c>
      <c r="AP262" s="34"/>
      <c r="AQ262" s="34">
        <v>-120.24</v>
      </c>
      <c r="AR262" s="455">
        <v>1</v>
      </c>
    </row>
    <row r="263" spans="1:44" x14ac:dyDescent="0.25">
      <c r="A263" s="356">
        <v>5854</v>
      </c>
      <c r="B263" s="348" t="s">
        <v>23</v>
      </c>
      <c r="C263" s="348">
        <v>857982.09</v>
      </c>
      <c r="D263" s="348">
        <v>240151.04000000001</v>
      </c>
      <c r="E263" s="348"/>
      <c r="F263" s="348"/>
      <c r="G263" s="348">
        <v>24211.85</v>
      </c>
      <c r="H263" s="348">
        <v>433</v>
      </c>
      <c r="I263" s="348"/>
      <c r="J263" s="348">
        <v>20694.900000000001</v>
      </c>
      <c r="K263" s="348">
        <v>1034.7</v>
      </c>
      <c r="L263" s="348">
        <v>106030.45</v>
      </c>
      <c r="M263" s="349">
        <f t="shared" si="13"/>
        <v>1250538.0299999998</v>
      </c>
      <c r="N263" s="368">
        <v>23521.05</v>
      </c>
      <c r="O263" s="368">
        <v>69033.7</v>
      </c>
      <c r="P263" s="368">
        <v>92334.3</v>
      </c>
      <c r="Q263" s="368">
        <v>14183.27</v>
      </c>
      <c r="R263" s="368">
        <v>49137.65</v>
      </c>
      <c r="S263" s="368"/>
      <c r="T263" s="368"/>
      <c r="U263" s="368">
        <v>875</v>
      </c>
      <c r="V263" s="368"/>
      <c r="W263" s="368"/>
      <c r="X263" s="349">
        <f t="shared" si="10"/>
        <v>1499622.9999999998</v>
      </c>
      <c r="Y263" s="34">
        <v>60826.5</v>
      </c>
      <c r="Z263" s="353"/>
      <c r="AA263" s="34">
        <v>35191.65</v>
      </c>
      <c r="AB263" s="353"/>
      <c r="AC263" s="34">
        <v>31865.85</v>
      </c>
      <c r="AD263" s="353"/>
      <c r="AE263" s="34"/>
      <c r="AF263" s="353"/>
      <c r="AG263" s="34">
        <v>254.35</v>
      </c>
      <c r="AH263" s="353">
        <v>7957.2</v>
      </c>
      <c r="AI263" s="34"/>
      <c r="AJ263" s="353"/>
      <c r="AK263" s="34"/>
      <c r="AL263" s="364">
        <f t="shared" si="11"/>
        <v>136095.55000000002</v>
      </c>
      <c r="AM263" s="17">
        <f>VLOOKUP(B263,'[1]2018'!$A$7:$F$349,6,FALSE)</f>
        <v>80</v>
      </c>
      <c r="AN263" s="32">
        <f>VLOOKUP(A263,'[2]2018 (2)'!$B$1:$D$318,3,FALSE)</f>
        <v>391</v>
      </c>
      <c r="AO263" s="15">
        <v>-3476.85</v>
      </c>
      <c r="AP263" s="34"/>
      <c r="AQ263" s="34">
        <v>-226.34</v>
      </c>
      <c r="AR263" s="455">
        <v>1.5</v>
      </c>
    </row>
    <row r="264" spans="1:44" x14ac:dyDescent="0.25">
      <c r="A264" s="356">
        <v>5855</v>
      </c>
      <c r="B264" s="348" t="s">
        <v>24</v>
      </c>
      <c r="C264" s="348">
        <v>2692476.9</v>
      </c>
      <c r="D264" s="348">
        <v>1025259.29</v>
      </c>
      <c r="E264" s="348"/>
      <c r="F264" s="348"/>
      <c r="G264" s="348">
        <v>-3002.75</v>
      </c>
      <c r="H264" s="348">
        <v>22077.05</v>
      </c>
      <c r="I264" s="348">
        <v>412342.11</v>
      </c>
      <c r="J264" s="348">
        <v>-22101.73</v>
      </c>
      <c r="K264" s="348">
        <v>12192.5</v>
      </c>
      <c r="L264" s="348">
        <v>169000.25</v>
      </c>
      <c r="M264" s="349">
        <f t="shared" si="13"/>
        <v>4308243.6199999992</v>
      </c>
      <c r="N264" s="368">
        <v>1160.95</v>
      </c>
      <c r="O264" s="368">
        <v>0.69999999995343298</v>
      </c>
      <c r="P264" s="368">
        <v>262229.34999999998</v>
      </c>
      <c r="Q264" s="368">
        <v>11883.67</v>
      </c>
      <c r="R264" s="368">
        <v>330249.75</v>
      </c>
      <c r="S264" s="368"/>
      <c r="T264" s="368"/>
      <c r="U264" s="368">
        <v>1800</v>
      </c>
      <c r="V264" s="368"/>
      <c r="W264" s="368"/>
      <c r="X264" s="349">
        <f t="shared" ref="X264:X315" si="14">SUM(M264:W264)</f>
        <v>4915568.0399999991</v>
      </c>
      <c r="Y264" s="34">
        <v>55174.8</v>
      </c>
      <c r="Z264" s="353"/>
      <c r="AA264" s="34">
        <v>137566.20000000001</v>
      </c>
      <c r="AB264" s="353"/>
      <c r="AC264" s="34">
        <v>28350</v>
      </c>
      <c r="AD264" s="353"/>
      <c r="AE264" s="34"/>
      <c r="AF264" s="353"/>
      <c r="AG264" s="34">
        <v>16083.15</v>
      </c>
      <c r="AH264" s="353"/>
      <c r="AI264" s="34"/>
      <c r="AJ264" s="353"/>
      <c r="AK264" s="34"/>
      <c r="AL264" s="364">
        <f t="shared" ref="AL264:AL315" si="15">SUM(Y264:AK264)</f>
        <v>237174.15</v>
      </c>
      <c r="AM264" s="17">
        <f>VLOOKUP(B264,'[1]2018'!$A$7:$F$349,6,FALSE)</f>
        <v>49</v>
      </c>
      <c r="AN264" s="32">
        <f>VLOOKUP(A264,'[2]2018 (2)'!$B$1:$D$318,3,FALSE)</f>
        <v>635</v>
      </c>
      <c r="AO264" s="15">
        <v>-17142.34</v>
      </c>
      <c r="AP264" s="34"/>
      <c r="AQ264" s="34">
        <v>-3260.56</v>
      </c>
      <c r="AR264" s="455">
        <v>0.5</v>
      </c>
    </row>
    <row r="265" spans="1:44" x14ac:dyDescent="0.25">
      <c r="A265" s="356">
        <v>5856</v>
      </c>
      <c r="B265" s="348" t="s">
        <v>25</v>
      </c>
      <c r="C265" s="348">
        <v>1829514.29</v>
      </c>
      <c r="D265" s="348">
        <v>323756.65000000002</v>
      </c>
      <c r="E265" s="348"/>
      <c r="F265" s="348"/>
      <c r="G265" s="348">
        <v>5644.8</v>
      </c>
      <c r="H265" s="348">
        <v>827.05</v>
      </c>
      <c r="I265" s="348">
        <v>172935.55</v>
      </c>
      <c r="J265" s="348">
        <v>37871.51</v>
      </c>
      <c r="K265" s="348">
        <v>2398.75</v>
      </c>
      <c r="L265" s="348">
        <v>229545.9</v>
      </c>
      <c r="M265" s="349">
        <f t="shared" si="13"/>
        <v>2602494.4999999991</v>
      </c>
      <c r="N265" s="368">
        <v>11104.25</v>
      </c>
      <c r="O265" s="368">
        <v>11350</v>
      </c>
      <c r="P265" s="368">
        <v>242828.65</v>
      </c>
      <c r="Q265" s="368">
        <v>-7.5</v>
      </c>
      <c r="R265" s="368">
        <v>102942.95</v>
      </c>
      <c r="S265" s="368"/>
      <c r="T265" s="368"/>
      <c r="U265" s="368">
        <v>2650</v>
      </c>
      <c r="V265" s="368"/>
      <c r="W265" s="368"/>
      <c r="X265" s="349">
        <f t="shared" si="14"/>
        <v>2973362.8499999992</v>
      </c>
      <c r="Y265" s="34">
        <v>3704.8</v>
      </c>
      <c r="Z265" s="34" t="s">
        <v>649</v>
      </c>
      <c r="AA265" s="34">
        <v>144908.42000000001</v>
      </c>
      <c r="AB265" s="34" t="s">
        <v>649</v>
      </c>
      <c r="AC265" s="34">
        <v>59807.75</v>
      </c>
      <c r="AD265" s="34">
        <v>3726.85</v>
      </c>
      <c r="AE265" s="34" t="s">
        <v>649</v>
      </c>
      <c r="AF265" s="34" t="s">
        <v>649</v>
      </c>
      <c r="AG265" s="34" t="s">
        <v>649</v>
      </c>
      <c r="AH265" s="34"/>
      <c r="AI265" s="34"/>
      <c r="AJ265" s="34"/>
      <c r="AK265" s="34"/>
      <c r="AL265" s="364">
        <f t="shared" si="15"/>
        <v>212147.82</v>
      </c>
      <c r="AM265" s="17">
        <f>VLOOKUP(B265,'[1]2018'!$A$7:$F$349,6,FALSE)</f>
        <v>68</v>
      </c>
      <c r="AN265" s="32">
        <f>VLOOKUP(A265,'[2]2018 (2)'!$B$1:$D$318,3,FALSE)</f>
        <v>726</v>
      </c>
      <c r="AO265" s="15">
        <v>-4277.72</v>
      </c>
      <c r="AP265" s="34"/>
      <c r="AQ265" s="34">
        <v>-271.45999999999998</v>
      </c>
      <c r="AR265" s="455">
        <v>1.3</v>
      </c>
    </row>
    <row r="266" spans="1:44" x14ac:dyDescent="0.25">
      <c r="A266" s="356">
        <v>5857</v>
      </c>
      <c r="B266" s="348" t="s">
        <v>26</v>
      </c>
      <c r="C266" s="348">
        <v>4400389.53</v>
      </c>
      <c r="D266" s="348">
        <v>826594.69</v>
      </c>
      <c r="E266" s="348"/>
      <c r="F266" s="348"/>
      <c r="G266" s="348">
        <v>182148.8</v>
      </c>
      <c r="H266" s="348">
        <v>2559.65</v>
      </c>
      <c r="I266" s="348"/>
      <c r="J266" s="348">
        <v>150792.66</v>
      </c>
      <c r="K266" s="348">
        <v>1711.65</v>
      </c>
      <c r="L266" s="348">
        <v>384836.2</v>
      </c>
      <c r="M266" s="349">
        <f t="shared" si="13"/>
        <v>5949033.1800000016</v>
      </c>
      <c r="N266" s="368">
        <v>85330</v>
      </c>
      <c r="O266" s="368">
        <v>22099.200000000001</v>
      </c>
      <c r="P266" s="368">
        <v>297434.90000000002</v>
      </c>
      <c r="Q266" s="368">
        <v>4026.37</v>
      </c>
      <c r="R266" s="368">
        <v>39875.699999999997</v>
      </c>
      <c r="S266" s="368"/>
      <c r="T266" s="368"/>
      <c r="U266" s="368">
        <v>2690</v>
      </c>
      <c r="V266" s="368"/>
      <c r="W266" s="368"/>
      <c r="X266" s="349">
        <f t="shared" si="14"/>
        <v>6400489.3500000024</v>
      </c>
      <c r="Y266" s="34">
        <v>6000</v>
      </c>
      <c r="Z266" s="353"/>
      <c r="AA266" s="34">
        <v>111154.6</v>
      </c>
      <c r="AB266" s="353"/>
      <c r="AC266" s="34">
        <v>92272.55</v>
      </c>
      <c r="AD266" s="353"/>
      <c r="AE266" s="34"/>
      <c r="AF266" s="353"/>
      <c r="AG266" s="34">
        <v>1659.35</v>
      </c>
      <c r="AH266" s="353">
        <v>31346.9</v>
      </c>
      <c r="AI266" s="34"/>
      <c r="AJ266" s="353"/>
      <c r="AK266" s="34"/>
      <c r="AL266" s="364">
        <f t="shared" si="15"/>
        <v>242433.40000000002</v>
      </c>
      <c r="AM266" s="17">
        <f>VLOOKUP(B266,'[1]2018'!$A$7:$F$349,6,FALSE)</f>
        <v>66</v>
      </c>
      <c r="AN266" s="32">
        <f>VLOOKUP(A266,'[2]2018 (2)'!$B$1:$D$318,3,FALSE)</f>
        <v>1324</v>
      </c>
      <c r="AO266" s="15">
        <v>-19129.23</v>
      </c>
      <c r="AP266" s="34"/>
      <c r="AQ266" s="34">
        <v>-157.94</v>
      </c>
      <c r="AR266" s="455">
        <v>1</v>
      </c>
    </row>
    <row r="267" spans="1:44" x14ac:dyDescent="0.25">
      <c r="A267" s="356">
        <v>5858</v>
      </c>
      <c r="B267" s="348" t="s">
        <v>27</v>
      </c>
      <c r="C267" s="348">
        <v>1618144.73</v>
      </c>
      <c r="D267" s="348">
        <v>632674.27</v>
      </c>
      <c r="E267" s="348"/>
      <c r="F267" s="348"/>
      <c r="G267" s="348">
        <v>8279.9</v>
      </c>
      <c r="H267" s="348">
        <v>970.35</v>
      </c>
      <c r="I267" s="348">
        <v>180933.6</v>
      </c>
      <c r="J267" s="348">
        <v>78846.94</v>
      </c>
      <c r="K267" s="348">
        <v>1344.9</v>
      </c>
      <c r="L267" s="348">
        <v>219895.75</v>
      </c>
      <c r="M267" s="349">
        <f t="shared" si="13"/>
        <v>2741090.44</v>
      </c>
      <c r="N267" s="368">
        <v>7432.25</v>
      </c>
      <c r="O267" s="368">
        <v>20428.5</v>
      </c>
      <c r="P267" s="368">
        <v>124139.55</v>
      </c>
      <c r="Q267" s="368">
        <v>1408.85</v>
      </c>
      <c r="R267" s="368">
        <v>33400.6</v>
      </c>
      <c r="S267" s="368"/>
      <c r="T267" s="368">
        <v>600</v>
      </c>
      <c r="U267" s="368">
        <v>1890</v>
      </c>
      <c r="V267" s="368"/>
      <c r="W267" s="368"/>
      <c r="X267" s="349">
        <f t="shared" si="14"/>
        <v>2930390.19</v>
      </c>
      <c r="Y267" s="34">
        <v>83400</v>
      </c>
      <c r="Z267" s="353"/>
      <c r="AA267" s="34">
        <v>90120</v>
      </c>
      <c r="AB267" s="353"/>
      <c r="AC267" s="34">
        <v>34987.449999999997</v>
      </c>
      <c r="AD267" s="353"/>
      <c r="AE267" s="34"/>
      <c r="AF267" s="353"/>
      <c r="AG267" s="34">
        <v>106.8</v>
      </c>
      <c r="AH267" s="353">
        <v>19032.900000000001</v>
      </c>
      <c r="AI267" s="34"/>
      <c r="AJ267" s="353"/>
      <c r="AK267" s="34"/>
      <c r="AL267" s="364">
        <f t="shared" si="15"/>
        <v>227647.15</v>
      </c>
      <c r="AM267" s="17">
        <f>VLOOKUP(B267,'[1]2018'!$A$7:$F$349,6,FALSE)</f>
        <v>60</v>
      </c>
      <c r="AN267" s="32">
        <f>VLOOKUP(A267,'[2]2018 (2)'!$B$1:$D$318,3,FALSE)</f>
        <v>613</v>
      </c>
      <c r="AO267" s="15">
        <v>-38156.839999999997</v>
      </c>
      <c r="AP267" s="34"/>
      <c r="AQ267" s="34">
        <v>-1594.73</v>
      </c>
      <c r="AR267" s="455">
        <v>1.5</v>
      </c>
    </row>
    <row r="268" spans="1:44" x14ac:dyDescent="0.25">
      <c r="A268" s="356">
        <v>5859</v>
      </c>
      <c r="B268" s="348" t="s">
        <v>28</v>
      </c>
      <c r="C268" s="348">
        <v>7061837.54</v>
      </c>
      <c r="D268" s="348">
        <v>1303825.67</v>
      </c>
      <c r="E268" s="348"/>
      <c r="F268" s="348"/>
      <c r="G268" s="348">
        <v>90841.4</v>
      </c>
      <c r="H268" s="348">
        <v>7429</v>
      </c>
      <c r="I268" s="348">
        <v>291693.2</v>
      </c>
      <c r="J268" s="348">
        <v>62782.34</v>
      </c>
      <c r="K268" s="348">
        <v>20687.150000000001</v>
      </c>
      <c r="L268" s="348">
        <v>636858.65</v>
      </c>
      <c r="M268" s="349">
        <f t="shared" si="13"/>
        <v>9475954.9499999993</v>
      </c>
      <c r="N268" s="368">
        <v>71576.649999999994</v>
      </c>
      <c r="O268" s="368">
        <v>14913.2</v>
      </c>
      <c r="P268" s="368">
        <v>288927.25</v>
      </c>
      <c r="Q268" s="368">
        <v>21230.16</v>
      </c>
      <c r="R268" s="368">
        <v>172250.8</v>
      </c>
      <c r="S268" s="368">
        <v>297</v>
      </c>
      <c r="T268" s="368"/>
      <c r="U268" s="368">
        <v>16450</v>
      </c>
      <c r="V268" s="368"/>
      <c r="W268" s="368"/>
      <c r="X268" s="349">
        <f t="shared" si="14"/>
        <v>10061600.01</v>
      </c>
      <c r="Y268" s="34">
        <v>22729.35</v>
      </c>
      <c r="Z268" s="353"/>
      <c r="AA268" s="34">
        <v>370402.8</v>
      </c>
      <c r="AB268" s="353"/>
      <c r="AC268" s="34">
        <v>174576.15</v>
      </c>
      <c r="AD268" s="353"/>
      <c r="AE268" s="34"/>
      <c r="AF268" s="353"/>
      <c r="AG268" s="34"/>
      <c r="AH268" s="353"/>
      <c r="AI268" s="34"/>
      <c r="AJ268" s="353"/>
      <c r="AK268" s="34"/>
      <c r="AL268" s="364">
        <f t="shared" si="15"/>
        <v>567708.29999999993</v>
      </c>
      <c r="AM268" s="17">
        <f>VLOOKUP(B268,'[1]2018'!$A$7:$F$349,6,FALSE)</f>
        <v>65</v>
      </c>
      <c r="AN268" s="32">
        <f>VLOOKUP(A268,'[2]2018 (2)'!$B$1:$D$318,3,FALSE)</f>
        <v>2651</v>
      </c>
      <c r="AO268" s="15">
        <v>-88744.65</v>
      </c>
      <c r="AP268" s="34"/>
      <c r="AQ268" s="34">
        <v>-118597.85</v>
      </c>
      <c r="AR268" s="455">
        <v>1</v>
      </c>
    </row>
    <row r="269" spans="1:44" x14ac:dyDescent="0.25">
      <c r="A269" s="356">
        <v>5860</v>
      </c>
      <c r="B269" s="348" t="s">
        <v>29</v>
      </c>
      <c r="C269" s="348">
        <v>3955133.24</v>
      </c>
      <c r="D269" s="348">
        <v>1006929.85</v>
      </c>
      <c r="E269" s="348"/>
      <c r="F269" s="348"/>
      <c r="G269" s="348">
        <v>82507.45</v>
      </c>
      <c r="H269" s="348">
        <v>3089.1</v>
      </c>
      <c r="I269" s="348">
        <v>244794.25</v>
      </c>
      <c r="J269" s="348">
        <v>14905.56</v>
      </c>
      <c r="K269" s="348">
        <v>28333.55</v>
      </c>
      <c r="L269" s="348">
        <v>626664.94999999995</v>
      </c>
      <c r="M269" s="349">
        <f t="shared" si="13"/>
        <v>5962357.9499999993</v>
      </c>
      <c r="N269" s="368">
        <v>18029.7</v>
      </c>
      <c r="O269" s="368">
        <v>375398.3</v>
      </c>
      <c r="P269" s="368">
        <v>328301.45</v>
      </c>
      <c r="Q269" s="368">
        <v>1591.89</v>
      </c>
      <c r="R269" s="368">
        <v>397746.65</v>
      </c>
      <c r="S269" s="368"/>
      <c r="T269" s="368"/>
      <c r="U269" s="368">
        <v>7920</v>
      </c>
      <c r="V269" s="368"/>
      <c r="W269" s="368"/>
      <c r="X269" s="349">
        <f t="shared" si="14"/>
        <v>7091345.9399999995</v>
      </c>
      <c r="Y269" s="34">
        <v>17163.25</v>
      </c>
      <c r="Z269" s="34" t="s">
        <v>649</v>
      </c>
      <c r="AA269" s="34">
        <v>263689.5</v>
      </c>
      <c r="AB269" s="34" t="s">
        <v>649</v>
      </c>
      <c r="AC269" s="34">
        <v>116376.23</v>
      </c>
      <c r="AD269" s="34" t="s">
        <v>649</v>
      </c>
      <c r="AE269" s="34" t="s">
        <v>649</v>
      </c>
      <c r="AF269" s="34" t="s">
        <v>649</v>
      </c>
      <c r="AG269" s="34" t="s">
        <v>649</v>
      </c>
      <c r="AH269" s="34"/>
      <c r="AI269" s="34"/>
      <c r="AJ269" s="34"/>
      <c r="AK269" s="34"/>
      <c r="AL269" s="364">
        <f t="shared" si="15"/>
        <v>397228.98</v>
      </c>
      <c r="AM269" s="17">
        <f>VLOOKUP(B269,'[1]2018'!$A$7:$F$349,6,FALSE)</f>
        <v>60</v>
      </c>
      <c r="AN269" s="32">
        <f>VLOOKUP(A269,'[2]2018 (2)'!$B$1:$D$318,3,FALSE)</f>
        <v>1542</v>
      </c>
      <c r="AO269" s="15">
        <v>-64603.16</v>
      </c>
      <c r="AP269" s="34"/>
      <c r="AQ269" s="34">
        <v>-10354.84</v>
      </c>
      <c r="AR269" s="455">
        <v>1.3</v>
      </c>
    </row>
    <row r="270" spans="1:44" x14ac:dyDescent="0.25">
      <c r="A270" s="356">
        <v>5861</v>
      </c>
      <c r="B270" s="348" t="s">
        <v>30</v>
      </c>
      <c r="C270" s="348">
        <v>12573849.34</v>
      </c>
      <c r="D270" s="348">
        <v>2391720.2599999998</v>
      </c>
      <c r="E270" s="348"/>
      <c r="F270" s="348"/>
      <c r="G270" s="348">
        <v>18331939.75</v>
      </c>
      <c r="H270" s="348">
        <v>1150533</v>
      </c>
      <c r="I270" s="348">
        <v>833727.05</v>
      </c>
      <c r="J270" s="348">
        <v>1772922.15</v>
      </c>
      <c r="K270" s="348">
        <v>307582.84999999998</v>
      </c>
      <c r="L270" s="348">
        <v>1751677.05</v>
      </c>
      <c r="M270" s="349">
        <f t="shared" si="13"/>
        <v>39113951.449999996</v>
      </c>
      <c r="N270" s="368">
        <v>813428.4</v>
      </c>
      <c r="O270" s="368">
        <v>496198.5</v>
      </c>
      <c r="P270" s="368">
        <v>566715.9</v>
      </c>
      <c r="Q270" s="368">
        <v>19576.349999999999</v>
      </c>
      <c r="R270" s="368">
        <v>450711.05</v>
      </c>
      <c r="S270" s="368"/>
      <c r="T270" s="368"/>
      <c r="U270" s="368">
        <v>20137.5</v>
      </c>
      <c r="V270" s="368"/>
      <c r="W270" s="368"/>
      <c r="X270" s="349">
        <f t="shared" si="14"/>
        <v>41480719.149999991</v>
      </c>
      <c r="Y270" s="34">
        <v>170756.45</v>
      </c>
      <c r="Z270" s="353">
        <v>817326.55</v>
      </c>
      <c r="AA270" s="34">
        <v>1459368.3</v>
      </c>
      <c r="AB270" s="353"/>
      <c r="AC270" s="34">
        <v>464872.75</v>
      </c>
      <c r="AD270" s="353"/>
      <c r="AE270" s="34"/>
      <c r="AF270" s="353"/>
      <c r="AG270" s="34">
        <v>111278.7</v>
      </c>
      <c r="AH270" s="353">
        <v>216490.7</v>
      </c>
      <c r="AI270" s="34"/>
      <c r="AJ270" s="353"/>
      <c r="AK270" s="34"/>
      <c r="AL270" s="364">
        <f t="shared" si="15"/>
        <v>3240093.45</v>
      </c>
      <c r="AM270" s="17">
        <f>VLOOKUP(B270,'[1]2018'!$A$7:$F$349,6,FALSE)</f>
        <v>59.5</v>
      </c>
      <c r="AN270" s="32">
        <f>VLOOKUP(A270,'[2]2018 (2)'!$B$1:$D$318,3,FALSE)</f>
        <v>6246</v>
      </c>
      <c r="AO270" s="15">
        <v>-192694.72</v>
      </c>
      <c r="AP270" s="34"/>
      <c r="AQ270" s="34">
        <v>-26213.64</v>
      </c>
      <c r="AR270" s="455">
        <v>1</v>
      </c>
    </row>
    <row r="271" spans="1:44" x14ac:dyDescent="0.25">
      <c r="A271" s="356">
        <v>5862</v>
      </c>
      <c r="B271" s="348" t="s">
        <v>31</v>
      </c>
      <c r="C271" s="348">
        <v>876454.98</v>
      </c>
      <c r="D271" s="348">
        <v>55922.57</v>
      </c>
      <c r="E271" s="348"/>
      <c r="F271" s="348"/>
      <c r="G271" s="348">
        <v>13450.4</v>
      </c>
      <c r="H271" s="348">
        <v>176.4</v>
      </c>
      <c r="I271" s="348"/>
      <c r="J271" s="348">
        <v>9167.89</v>
      </c>
      <c r="K271" s="348"/>
      <c r="L271" s="348">
        <v>49401.4</v>
      </c>
      <c r="M271" s="349">
        <f t="shared" si="13"/>
        <v>1004573.64</v>
      </c>
      <c r="N271" s="368">
        <v>5277.5</v>
      </c>
      <c r="O271" s="368">
        <v>22662.3</v>
      </c>
      <c r="P271" s="368">
        <v>21719.5</v>
      </c>
      <c r="Q271" s="368"/>
      <c r="R271" s="368">
        <v>1414.6</v>
      </c>
      <c r="S271" s="368"/>
      <c r="T271" s="368"/>
      <c r="U271" s="368">
        <v>1025</v>
      </c>
      <c r="V271" s="368"/>
      <c r="W271" s="368"/>
      <c r="X271" s="349">
        <f t="shared" si="14"/>
        <v>1056672.54</v>
      </c>
      <c r="Y271" s="34">
        <v>6212.8</v>
      </c>
      <c r="Z271" s="353"/>
      <c r="AA271" s="34">
        <v>47079.7</v>
      </c>
      <c r="AB271" s="353"/>
      <c r="AC271" s="34">
        <v>16343</v>
      </c>
      <c r="AD271" s="353">
        <v>9940.5</v>
      </c>
      <c r="AE271" s="34"/>
      <c r="AF271" s="353"/>
      <c r="AG271" s="34"/>
      <c r="AH271" s="353"/>
      <c r="AI271" s="34"/>
      <c r="AJ271" s="353"/>
      <c r="AK271" s="34"/>
      <c r="AL271" s="364">
        <f t="shared" si="15"/>
        <v>79576</v>
      </c>
      <c r="AM271" s="17">
        <f>VLOOKUP(B271,'[1]2018'!$A$7:$F$349,6,FALSE)</f>
        <v>81</v>
      </c>
      <c r="AN271" s="32">
        <f>VLOOKUP(A271,'[2]2018 (2)'!$B$1:$D$318,3,FALSE)</f>
        <v>246</v>
      </c>
      <c r="AO271" s="15">
        <v>-7443.52</v>
      </c>
      <c r="AP271" s="34"/>
      <c r="AQ271" s="34">
        <v>-0.82</v>
      </c>
      <c r="AR271" s="455">
        <v>1</v>
      </c>
    </row>
    <row r="272" spans="1:44" x14ac:dyDescent="0.25">
      <c r="A272" s="356">
        <v>5863</v>
      </c>
      <c r="B272" s="348" t="s">
        <v>32</v>
      </c>
      <c r="C272" s="348">
        <v>1036277</v>
      </c>
      <c r="D272" s="348">
        <v>259335.09</v>
      </c>
      <c r="E272" s="348"/>
      <c r="F272" s="348"/>
      <c r="G272" s="348">
        <v>24502.400000000001</v>
      </c>
      <c r="H272" s="348">
        <v>3373.5</v>
      </c>
      <c r="I272" s="348">
        <v>85746.6</v>
      </c>
      <c r="J272" s="348">
        <v>17146.02</v>
      </c>
      <c r="K272" s="348">
        <v>2004.9</v>
      </c>
      <c r="L272" s="348">
        <v>79509</v>
      </c>
      <c r="M272" s="349">
        <f t="shared" si="13"/>
        <v>1507894.51</v>
      </c>
      <c r="N272" s="368">
        <v>19069.650000000001</v>
      </c>
      <c r="O272" s="368"/>
      <c r="P272" s="368">
        <v>32169.7</v>
      </c>
      <c r="Q272" s="368">
        <v>2753.84</v>
      </c>
      <c r="R272" s="368">
        <v>23668.3</v>
      </c>
      <c r="S272" s="368">
        <v>325</v>
      </c>
      <c r="T272" s="368"/>
      <c r="U272" s="368">
        <v>1700</v>
      </c>
      <c r="V272" s="368"/>
      <c r="W272" s="368"/>
      <c r="X272" s="349">
        <f t="shared" si="14"/>
        <v>1587581</v>
      </c>
      <c r="Y272" s="34">
        <v>86919.85</v>
      </c>
      <c r="Z272" s="34" t="s">
        <v>649</v>
      </c>
      <c r="AA272" s="34">
        <v>14239.75</v>
      </c>
      <c r="AB272" s="34" t="s">
        <v>649</v>
      </c>
      <c r="AC272" s="34">
        <v>20731.849999999999</v>
      </c>
      <c r="AD272" s="34" t="s">
        <v>649</v>
      </c>
      <c r="AE272" s="34" t="s">
        <v>649</v>
      </c>
      <c r="AF272" s="34" t="s">
        <v>649</v>
      </c>
      <c r="AG272" s="34">
        <v>2311.3000000000002</v>
      </c>
      <c r="AH272" s="34">
        <v>6265.35</v>
      </c>
      <c r="AI272" s="34"/>
      <c r="AJ272" s="34"/>
      <c r="AK272" s="34"/>
      <c r="AL272" s="364">
        <f t="shared" si="15"/>
        <v>130468.10000000002</v>
      </c>
      <c r="AM272" s="17">
        <f>VLOOKUP(B272,'[1]2018'!$A$7:$F$349,6,FALSE)</f>
        <v>67</v>
      </c>
      <c r="AN272" s="32">
        <f>VLOOKUP(A272,'[2]2018 (2)'!$B$1:$D$318,3,FALSE)</f>
        <v>358</v>
      </c>
      <c r="AO272" s="15">
        <v>-2201.67</v>
      </c>
      <c r="AP272" s="34"/>
      <c r="AQ272" s="34">
        <v>-1014.39</v>
      </c>
      <c r="AR272" s="455">
        <v>1</v>
      </c>
    </row>
    <row r="273" spans="1:44" x14ac:dyDescent="0.25">
      <c r="A273" s="356">
        <v>5871</v>
      </c>
      <c r="B273" s="348" t="s">
        <v>33</v>
      </c>
      <c r="C273" s="348"/>
      <c r="D273" s="348">
        <v>3249751.58</v>
      </c>
      <c r="E273" s="348"/>
      <c r="F273" s="348"/>
      <c r="G273" s="348"/>
      <c r="H273" s="348">
        <v>3492.6</v>
      </c>
      <c r="I273" s="348"/>
      <c r="J273" s="348">
        <v>37925.01</v>
      </c>
      <c r="K273" s="348">
        <v>2764.6</v>
      </c>
      <c r="L273" s="348">
        <v>250978.5</v>
      </c>
      <c r="M273" s="349">
        <f t="shared" si="13"/>
        <v>3544912.29</v>
      </c>
      <c r="N273" s="368">
        <v>637841.15</v>
      </c>
      <c r="O273" s="368">
        <v>12161.85</v>
      </c>
      <c r="P273" s="368">
        <v>69345.3</v>
      </c>
      <c r="Q273" s="368">
        <v>16658.060000000001</v>
      </c>
      <c r="R273" s="368">
        <v>94301.8</v>
      </c>
      <c r="S273" s="368"/>
      <c r="T273" s="368"/>
      <c r="U273" s="368">
        <v>12000</v>
      </c>
      <c r="V273" s="368"/>
      <c r="W273" s="368"/>
      <c r="X273" s="349">
        <f t="shared" si="14"/>
        <v>4387220.4499999993</v>
      </c>
      <c r="Y273" s="34">
        <v>17182.400000000001</v>
      </c>
      <c r="Z273" s="353">
        <v>22049.65</v>
      </c>
      <c r="AA273" s="34">
        <v>299035.90000000002</v>
      </c>
      <c r="AB273" s="353"/>
      <c r="AC273" s="34">
        <v>144869.20000000001</v>
      </c>
      <c r="AD273" s="353"/>
      <c r="AE273" s="34"/>
      <c r="AF273" s="353"/>
      <c r="AG273" s="34">
        <v>63667.51</v>
      </c>
      <c r="AH273" s="353"/>
      <c r="AI273" s="34"/>
      <c r="AJ273" s="353"/>
      <c r="AK273" s="34"/>
      <c r="AL273" s="364">
        <f t="shared" si="15"/>
        <v>546804.66</v>
      </c>
      <c r="AM273" s="17">
        <v>77.31</v>
      </c>
      <c r="AN273" s="32">
        <f>VLOOKUP(A273,'[2]2018 (2)'!$B$1:$D$318,3,FALSE)</f>
        <v>1481</v>
      </c>
      <c r="AO273" s="15">
        <v>-111215.38</v>
      </c>
      <c r="AP273" s="34"/>
      <c r="AQ273" s="34">
        <v>-172.63</v>
      </c>
      <c r="AR273" s="455">
        <v>1</v>
      </c>
    </row>
    <row r="274" spans="1:44" x14ac:dyDescent="0.25">
      <c r="A274" s="356">
        <v>5872</v>
      </c>
      <c r="B274" s="348" t="s">
        <v>209</v>
      </c>
      <c r="C274" s="348">
        <v>7074253.6799999997</v>
      </c>
      <c r="D274" s="348">
        <v>959024.52</v>
      </c>
      <c r="E274" s="348"/>
      <c r="F274" s="348"/>
      <c r="G274" s="348">
        <v>4016902.15</v>
      </c>
      <c r="H274" s="348">
        <v>281022.55</v>
      </c>
      <c r="I274" s="348"/>
      <c r="J274" s="348">
        <v>347418.71</v>
      </c>
      <c r="K274" s="348">
        <v>35154.800000000003</v>
      </c>
      <c r="L274" s="348">
        <v>499432.75</v>
      </c>
      <c r="M274" s="349">
        <f t="shared" si="13"/>
        <v>13213209.160000002</v>
      </c>
      <c r="N274" s="368">
        <v>6604922.2999999998</v>
      </c>
      <c r="O274" s="368">
        <v>507812.95</v>
      </c>
      <c r="P274" s="368">
        <v>292160.55</v>
      </c>
      <c r="Q274" s="368">
        <v>58176.24</v>
      </c>
      <c r="R274" s="368">
        <v>187702.95</v>
      </c>
      <c r="S274" s="368"/>
      <c r="T274" s="368">
        <v>3400</v>
      </c>
      <c r="U274" s="368">
        <v>30800</v>
      </c>
      <c r="V274" s="368"/>
      <c r="W274" s="368"/>
      <c r="X274" s="349">
        <f t="shared" si="14"/>
        <v>20898184.149999999</v>
      </c>
      <c r="Y274" s="34">
        <v>13590</v>
      </c>
      <c r="Z274" s="353">
        <v>6795</v>
      </c>
      <c r="AA274" s="34">
        <v>955955</v>
      </c>
      <c r="AB274" s="353"/>
      <c r="AC274" s="34">
        <v>417702.3</v>
      </c>
      <c r="AD274" s="353">
        <v>20720</v>
      </c>
      <c r="AE274" s="34">
        <v>10360</v>
      </c>
      <c r="AF274" s="353"/>
      <c r="AG274" s="34">
        <v>117711.55</v>
      </c>
      <c r="AH274" s="353"/>
      <c r="AI274" s="34"/>
      <c r="AJ274" s="353"/>
      <c r="AK274" s="34"/>
      <c r="AL274" s="364">
        <f t="shared" si="15"/>
        <v>1542833.85</v>
      </c>
      <c r="AM274" s="17">
        <v>68.12</v>
      </c>
      <c r="AN274" s="32">
        <f>VLOOKUP(A274,'[2]2018 (2)'!$B$1:$D$318,3,FALSE)</f>
        <v>4605</v>
      </c>
      <c r="AO274" s="15">
        <v>-142424.26999999999</v>
      </c>
      <c r="AP274" s="34"/>
      <c r="AQ274" s="34">
        <v>-1355.09</v>
      </c>
      <c r="AR274" s="455">
        <v>0.7</v>
      </c>
    </row>
    <row r="275" spans="1:44" x14ac:dyDescent="0.25">
      <c r="A275" s="356">
        <v>5873</v>
      </c>
      <c r="B275" s="348" t="s">
        <v>210</v>
      </c>
      <c r="C275" s="348">
        <v>1408746.41</v>
      </c>
      <c r="D275" s="348">
        <v>391835.86</v>
      </c>
      <c r="E275" s="348"/>
      <c r="F275" s="348"/>
      <c r="G275" s="348">
        <v>262782.3</v>
      </c>
      <c r="H275" s="348">
        <v>9662.65</v>
      </c>
      <c r="I275" s="348"/>
      <c r="J275" s="348">
        <v>27735.759999999998</v>
      </c>
      <c r="K275" s="348"/>
      <c r="L275" s="348">
        <v>84136.6</v>
      </c>
      <c r="M275" s="349">
        <f t="shared" si="13"/>
        <v>2184899.58</v>
      </c>
      <c r="N275" s="368">
        <v>740316.8</v>
      </c>
      <c r="O275" s="368">
        <v>5444.9</v>
      </c>
      <c r="P275" s="368">
        <v>67569.5</v>
      </c>
      <c r="Q275" s="368">
        <v>3346.62</v>
      </c>
      <c r="R275" s="368">
        <v>55900.25</v>
      </c>
      <c r="S275" s="368">
        <v>475</v>
      </c>
      <c r="T275" s="368"/>
      <c r="U275" s="368">
        <v>7250</v>
      </c>
      <c r="V275" s="368"/>
      <c r="W275" s="368"/>
      <c r="X275" s="349">
        <f t="shared" si="14"/>
        <v>3065202.65</v>
      </c>
      <c r="Y275" s="34">
        <v>12330</v>
      </c>
      <c r="Z275" s="353"/>
      <c r="AA275" s="34">
        <v>225090.75</v>
      </c>
      <c r="AB275" s="353"/>
      <c r="AC275" s="34">
        <v>88833.57</v>
      </c>
      <c r="AD275" s="353">
        <v>16440</v>
      </c>
      <c r="AE275" s="34"/>
      <c r="AF275" s="353"/>
      <c r="AG275" s="34">
        <v>21739.200000000001</v>
      </c>
      <c r="AH275" s="353"/>
      <c r="AI275" s="34"/>
      <c r="AJ275" s="353"/>
      <c r="AK275" s="34"/>
      <c r="AL275" s="364">
        <f t="shared" si="15"/>
        <v>364433.52</v>
      </c>
      <c r="AM275" s="17">
        <f>VLOOKUP(B275,'[1]2018'!$A$7:$F$349,6,FALSE)</f>
        <v>70</v>
      </c>
      <c r="AN275" s="32">
        <f>VLOOKUP(A275,'[2]2018 (2)'!$B$1:$D$318,3,FALSE)</f>
        <v>875</v>
      </c>
      <c r="AO275" s="15">
        <v>-27723.65</v>
      </c>
      <c r="AP275" s="34"/>
      <c r="AQ275" s="34">
        <v>-187.1</v>
      </c>
      <c r="AR275" s="455">
        <v>0.6</v>
      </c>
    </row>
    <row r="276" spans="1:44" x14ac:dyDescent="0.25">
      <c r="A276" s="356">
        <v>5881</v>
      </c>
      <c r="B276" s="348" t="s">
        <v>211</v>
      </c>
      <c r="C276" s="348">
        <v>17132577.09</v>
      </c>
      <c r="D276" s="348">
        <v>3338607.04</v>
      </c>
      <c r="E276" s="348"/>
      <c r="F276" s="348"/>
      <c r="G276" s="348">
        <v>513124</v>
      </c>
      <c r="H276" s="348">
        <v>-7153.05</v>
      </c>
      <c r="I276" s="348">
        <v>799779.98</v>
      </c>
      <c r="J276" s="348">
        <v>176657.79</v>
      </c>
      <c r="K276" s="348">
        <v>73316.649999999994</v>
      </c>
      <c r="L276" s="348">
        <v>1633917.7</v>
      </c>
      <c r="M276" s="349">
        <f t="shared" si="13"/>
        <v>23660827.199999996</v>
      </c>
      <c r="N276" s="368">
        <v>85521.8</v>
      </c>
      <c r="O276" s="368">
        <v>120481.9</v>
      </c>
      <c r="P276" s="368">
        <v>713559.3</v>
      </c>
      <c r="Q276" s="368">
        <v>67886.2</v>
      </c>
      <c r="R276" s="368">
        <v>511661.15</v>
      </c>
      <c r="S276" s="368"/>
      <c r="T276" s="368"/>
      <c r="U276" s="368">
        <v>42550</v>
      </c>
      <c r="V276" s="368"/>
      <c r="W276" s="368"/>
      <c r="X276" s="349">
        <f t="shared" si="14"/>
        <v>25202487.549999993</v>
      </c>
      <c r="Y276" s="34">
        <v>158224</v>
      </c>
      <c r="Z276" s="353"/>
      <c r="AA276" s="34">
        <v>471705.75</v>
      </c>
      <c r="AB276" s="353"/>
      <c r="AC276" s="34">
        <v>749260.3</v>
      </c>
      <c r="AD276" s="353">
        <v>101065</v>
      </c>
      <c r="AE276" s="34"/>
      <c r="AF276" s="353"/>
      <c r="AG276" s="34"/>
      <c r="AH276" s="353"/>
      <c r="AI276" s="34"/>
      <c r="AJ276" s="353"/>
      <c r="AK276" s="34"/>
      <c r="AL276" s="364">
        <f t="shared" si="15"/>
        <v>1480255.05</v>
      </c>
      <c r="AM276" s="17">
        <f>VLOOKUP(B276,'[1]2018'!$A$7:$F$349,6,FALSE)</f>
        <v>70</v>
      </c>
      <c r="AN276" s="32">
        <f>VLOOKUP(A276,'[2]2018 (2)'!$B$1:$D$318,3,FALSE)</f>
        <v>6175</v>
      </c>
      <c r="AO276" s="15">
        <v>-352252.89</v>
      </c>
      <c r="AP276" s="34"/>
      <c r="AQ276" s="34">
        <v>-33453.49</v>
      </c>
      <c r="AR276" s="455">
        <v>1</v>
      </c>
    </row>
    <row r="277" spans="1:44" x14ac:dyDescent="0.25">
      <c r="A277" s="356">
        <v>5882</v>
      </c>
      <c r="B277" s="348" t="s">
        <v>212</v>
      </c>
      <c r="C277" s="348">
        <v>7583219.5</v>
      </c>
      <c r="D277" s="348">
        <v>1808892.97</v>
      </c>
      <c r="E277" s="348"/>
      <c r="F277" s="348"/>
      <c r="G277" s="348">
        <v>113928.6</v>
      </c>
      <c r="H277" s="348">
        <v>12390.2</v>
      </c>
      <c r="I277" s="348">
        <v>511774.43</v>
      </c>
      <c r="J277" s="348">
        <v>127193.7</v>
      </c>
      <c r="K277" s="348">
        <v>46019.85</v>
      </c>
      <c r="L277" s="348">
        <v>866901.63</v>
      </c>
      <c r="M277" s="349">
        <f t="shared" si="13"/>
        <v>11070320.879999999</v>
      </c>
      <c r="N277" s="368">
        <v>16142.55</v>
      </c>
      <c r="O277" s="368">
        <v>766963</v>
      </c>
      <c r="P277" s="368">
        <v>793085.75</v>
      </c>
      <c r="Q277" s="368">
        <v>18957.77</v>
      </c>
      <c r="R277" s="368">
        <v>320430.15000000002</v>
      </c>
      <c r="S277" s="368"/>
      <c r="T277" s="368"/>
      <c r="U277" s="368">
        <v>14740</v>
      </c>
      <c r="V277" s="368"/>
      <c r="W277" s="368"/>
      <c r="X277" s="349">
        <f t="shared" si="14"/>
        <v>13000640.1</v>
      </c>
      <c r="Y277" s="34">
        <v>51224.88</v>
      </c>
      <c r="Z277" s="353"/>
      <c r="AA277" s="34">
        <v>329686.83</v>
      </c>
      <c r="AB277" s="353"/>
      <c r="AC277" s="34">
        <v>295137.23</v>
      </c>
      <c r="AD277" s="353"/>
      <c r="AE277" s="34"/>
      <c r="AF277" s="353"/>
      <c r="AG277" s="34"/>
      <c r="AH277" s="353"/>
      <c r="AI277" s="34"/>
      <c r="AJ277" s="353"/>
      <c r="AK277" s="34"/>
      <c r="AL277" s="364">
        <f t="shared" si="15"/>
        <v>676048.94</v>
      </c>
      <c r="AM277" s="17">
        <f>VLOOKUP(B277,'[1]2018'!$A$7:$F$349,6,FALSE)</f>
        <v>68</v>
      </c>
      <c r="AN277" s="32">
        <f>VLOOKUP(A277,'[2]2018 (2)'!$B$1:$D$318,3,FALSE)</f>
        <v>2941</v>
      </c>
      <c r="AO277" s="15">
        <v>-111644.38</v>
      </c>
      <c r="AP277" s="34"/>
      <c r="AQ277" s="34">
        <v>-1095.95</v>
      </c>
      <c r="AR277" s="455">
        <v>1</v>
      </c>
    </row>
    <row r="278" spans="1:44" x14ac:dyDescent="0.25">
      <c r="A278" s="356">
        <v>5883</v>
      </c>
      <c r="B278" s="348" t="s">
        <v>213</v>
      </c>
      <c r="C278" s="348">
        <v>7743942.7300000004</v>
      </c>
      <c r="D278" s="348">
        <v>1640820.01</v>
      </c>
      <c r="E278" s="348"/>
      <c r="F278" s="348"/>
      <c r="G278" s="348">
        <v>196896.05</v>
      </c>
      <c r="H278" s="348">
        <v>12202.5</v>
      </c>
      <c r="I278" s="348">
        <v>415601.75</v>
      </c>
      <c r="J278" s="348">
        <v>145077.20000000001</v>
      </c>
      <c r="K278" s="348">
        <v>8882.1</v>
      </c>
      <c r="L278" s="348">
        <v>655645.55000000005</v>
      </c>
      <c r="M278" s="349">
        <f t="shared" si="13"/>
        <v>10819067.890000001</v>
      </c>
      <c r="N278" s="368">
        <v>3596.1</v>
      </c>
      <c r="O278" s="368">
        <v>3009233.8</v>
      </c>
      <c r="P278" s="368">
        <v>295900</v>
      </c>
      <c r="Q278" s="368">
        <v>27487.69</v>
      </c>
      <c r="R278" s="368">
        <v>181089.75</v>
      </c>
      <c r="S278" s="368"/>
      <c r="T278" s="368"/>
      <c r="U278" s="368">
        <v>3700</v>
      </c>
      <c r="V278" s="368"/>
      <c r="W278" s="368"/>
      <c r="X278" s="349">
        <f t="shared" si="14"/>
        <v>14340075.229999999</v>
      </c>
      <c r="Y278" s="34"/>
      <c r="Z278" s="353"/>
      <c r="AA278" s="34"/>
      <c r="AB278" s="353"/>
      <c r="AC278" s="34">
        <v>297930.51</v>
      </c>
      <c r="AD278" s="353">
        <v>157028.94</v>
      </c>
      <c r="AE278" s="34"/>
      <c r="AF278" s="353"/>
      <c r="AG278" s="34"/>
      <c r="AH278" s="353"/>
      <c r="AI278" s="34"/>
      <c r="AJ278" s="353"/>
      <c r="AK278" s="34"/>
      <c r="AL278" s="364">
        <f t="shared" si="15"/>
        <v>454959.45</v>
      </c>
      <c r="AM278" s="17">
        <f>VLOOKUP(B278,'[1]2018'!$A$7:$F$349,6,FALSE)</f>
        <v>69</v>
      </c>
      <c r="AN278" s="32">
        <f>VLOOKUP(A278,'[2]2018 (2)'!$B$1:$D$318,3,FALSE)</f>
        <v>2282</v>
      </c>
      <c r="AO278" s="15">
        <v>-53773.81</v>
      </c>
      <c r="AP278" s="34"/>
      <c r="AQ278" s="34">
        <v>-3956.04</v>
      </c>
      <c r="AR278" s="455">
        <v>1</v>
      </c>
    </row>
    <row r="279" spans="1:44" x14ac:dyDescent="0.25">
      <c r="A279" s="356">
        <v>5884</v>
      </c>
      <c r="B279" s="348" t="s">
        <v>53</v>
      </c>
      <c r="C279" s="348">
        <v>5464628.25</v>
      </c>
      <c r="D279" s="348">
        <v>826958.68</v>
      </c>
      <c r="E279" s="348"/>
      <c r="F279" s="348"/>
      <c r="G279" s="348">
        <v>817455.8</v>
      </c>
      <c r="H279" s="348">
        <v>24320.7</v>
      </c>
      <c r="I279" s="348">
        <v>21268.15</v>
      </c>
      <c r="J279" s="348">
        <v>186131.75</v>
      </c>
      <c r="K279" s="348">
        <v>294440.65000000002</v>
      </c>
      <c r="L279" s="348">
        <v>944834.5</v>
      </c>
      <c r="M279" s="349">
        <f t="shared" si="13"/>
        <v>8580038.4800000004</v>
      </c>
      <c r="N279" s="368">
        <v>423155.85</v>
      </c>
      <c r="O279" s="368">
        <v>42935.4</v>
      </c>
      <c r="P279" s="368">
        <v>394216.65</v>
      </c>
      <c r="Q279" s="368">
        <v>32080.6</v>
      </c>
      <c r="R279" s="368">
        <v>129340.95</v>
      </c>
      <c r="S279" s="368"/>
      <c r="T279" s="368"/>
      <c r="U279" s="368">
        <v>17050</v>
      </c>
      <c r="V279" s="368"/>
      <c r="W279" s="368"/>
      <c r="X279" s="349">
        <f t="shared" si="14"/>
        <v>9618817.9299999997</v>
      </c>
      <c r="Y279" s="34">
        <v>4359.7</v>
      </c>
      <c r="Z279" s="34" t="s">
        <v>649</v>
      </c>
      <c r="AA279" s="34">
        <v>338240.9</v>
      </c>
      <c r="AB279" s="34">
        <v>604917.9</v>
      </c>
      <c r="AC279" s="34">
        <v>251456.8</v>
      </c>
      <c r="AD279" s="34" t="s">
        <v>649</v>
      </c>
      <c r="AE279" s="34" t="s">
        <v>649</v>
      </c>
      <c r="AF279" s="34" t="s">
        <v>649</v>
      </c>
      <c r="AG279" s="34">
        <v>19193</v>
      </c>
      <c r="AH279" s="34">
        <v>283066.45</v>
      </c>
      <c r="AI279" s="34"/>
      <c r="AJ279" s="34"/>
      <c r="AK279" s="34"/>
      <c r="AL279" s="364">
        <f t="shared" si="15"/>
        <v>1501234.75</v>
      </c>
      <c r="AM279" s="17">
        <f>VLOOKUP(B279,'[1]2018'!$A$7:$F$349,6,FALSE)</f>
        <v>66</v>
      </c>
      <c r="AN279" s="32">
        <f>VLOOKUP(A279,'[2]2018 (2)'!$B$1:$D$318,3,FALSE)</f>
        <v>3386</v>
      </c>
      <c r="AO279" s="15">
        <v>-592432.42000000004</v>
      </c>
      <c r="AP279" s="34"/>
      <c r="AQ279" s="34">
        <v>-885.85</v>
      </c>
      <c r="AR279" s="455">
        <v>1.2</v>
      </c>
    </row>
    <row r="280" spans="1:44" x14ac:dyDescent="0.25">
      <c r="A280" s="356">
        <v>5885</v>
      </c>
      <c r="B280" s="348" t="s">
        <v>54</v>
      </c>
      <c r="C280" s="348">
        <v>4638544.8</v>
      </c>
      <c r="D280" s="348">
        <v>782606.65</v>
      </c>
      <c r="E280" s="348"/>
      <c r="F280" s="348"/>
      <c r="G280" s="348">
        <v>50022.85</v>
      </c>
      <c r="H280" s="348">
        <v>679.4</v>
      </c>
      <c r="I280" s="348">
        <v>153733.65</v>
      </c>
      <c r="J280" s="348">
        <v>-40178.120000000003</v>
      </c>
      <c r="K280" s="348">
        <v>17671.05</v>
      </c>
      <c r="L280" s="348">
        <v>469386.25</v>
      </c>
      <c r="M280" s="349">
        <f t="shared" si="13"/>
        <v>6072466.5300000003</v>
      </c>
      <c r="N280" s="368">
        <v>1646.75</v>
      </c>
      <c r="O280" s="368">
        <v>258856.3</v>
      </c>
      <c r="P280" s="368">
        <v>463666.6</v>
      </c>
      <c r="Q280" s="368">
        <v>167.64</v>
      </c>
      <c r="R280" s="368">
        <v>539128.85</v>
      </c>
      <c r="S280" s="368"/>
      <c r="T280" s="368"/>
      <c r="U280" s="368">
        <v>10650</v>
      </c>
      <c r="V280" s="368"/>
      <c r="W280" s="368"/>
      <c r="X280" s="349">
        <f t="shared" si="14"/>
        <v>7346582.669999999</v>
      </c>
      <c r="Y280" s="34"/>
      <c r="Z280" s="353"/>
      <c r="AA280" s="34"/>
      <c r="AB280" s="353"/>
      <c r="AC280" s="34">
        <v>159341.75</v>
      </c>
      <c r="AD280" s="353">
        <v>27201.5</v>
      </c>
      <c r="AE280" s="34"/>
      <c r="AF280" s="353"/>
      <c r="AG280" s="34"/>
      <c r="AH280" s="353"/>
      <c r="AI280" s="34"/>
      <c r="AJ280" s="353"/>
      <c r="AK280" s="34"/>
      <c r="AL280" s="364">
        <f t="shared" si="15"/>
        <v>186543.25</v>
      </c>
      <c r="AM280" s="17">
        <f>VLOOKUP(B280,'[1]2018'!$A$7:$F$349,6,FALSE)</f>
        <v>71</v>
      </c>
      <c r="AN280" s="32">
        <f>VLOOKUP(A280,'[2]2018 (2)'!$B$1:$D$318,3,FALSE)</f>
        <v>1536</v>
      </c>
      <c r="AO280" s="15">
        <v>-42324.17</v>
      </c>
      <c r="AP280" s="34"/>
      <c r="AQ280" s="34">
        <v>-1891.18</v>
      </c>
      <c r="AR280" s="455">
        <v>1.2</v>
      </c>
    </row>
    <row r="281" spans="1:44" x14ac:dyDescent="0.25">
      <c r="A281" s="356">
        <v>5886</v>
      </c>
      <c r="B281" s="348" t="s">
        <v>55</v>
      </c>
      <c r="C281" s="348">
        <v>43855377.75</v>
      </c>
      <c r="D281" s="348">
        <v>10767482.84</v>
      </c>
      <c r="E281" s="348"/>
      <c r="F281" s="348"/>
      <c r="G281" s="348">
        <v>4511224.9000000004</v>
      </c>
      <c r="H281" s="348">
        <v>511400.9</v>
      </c>
      <c r="I281" s="348">
        <v>4863620.41</v>
      </c>
      <c r="J281" s="348">
        <v>2686994.85</v>
      </c>
      <c r="K281" s="348">
        <v>717374.25</v>
      </c>
      <c r="L281" s="348">
        <v>10229383.92</v>
      </c>
      <c r="M281" s="349">
        <f t="shared" si="13"/>
        <v>78142859.819999993</v>
      </c>
      <c r="N281" s="368">
        <v>935037.7</v>
      </c>
      <c r="O281" s="368">
        <v>15820832</v>
      </c>
      <c r="P281" s="368">
        <v>4783529.55</v>
      </c>
      <c r="Q281" s="368">
        <v>1080246.4099999999</v>
      </c>
      <c r="R281" s="368">
        <v>2825487.05</v>
      </c>
      <c r="S281" s="368"/>
      <c r="T281" s="368"/>
      <c r="U281" s="368">
        <v>88200</v>
      </c>
      <c r="V281" s="368"/>
      <c r="W281" s="368"/>
      <c r="X281" s="349">
        <f t="shared" si="14"/>
        <v>103676192.52999999</v>
      </c>
      <c r="Y281" s="34"/>
      <c r="Z281" s="353"/>
      <c r="AA281" s="34">
        <v>2765738</v>
      </c>
      <c r="AB281" s="353"/>
      <c r="AC281" s="34">
        <v>3955845</v>
      </c>
      <c r="AD281" s="353"/>
      <c r="AE281" s="34"/>
      <c r="AF281" s="353"/>
      <c r="AG281" s="34"/>
      <c r="AH281" s="353"/>
      <c r="AI281" s="34"/>
      <c r="AJ281" s="353"/>
      <c r="AK281" s="34"/>
      <c r="AL281" s="364">
        <f t="shared" si="15"/>
        <v>6721583</v>
      </c>
      <c r="AM281" s="17">
        <f>VLOOKUP(B281,'[1]2018'!$A$7:$F$349,6,FALSE)</f>
        <v>65</v>
      </c>
      <c r="AN281" s="32">
        <f>VLOOKUP(A281,'[2]2018 (2)'!$B$1:$D$318,3,FALSE)</f>
        <v>26006</v>
      </c>
      <c r="AO281" s="15">
        <v>-2886213.3</v>
      </c>
      <c r="AP281" s="34"/>
      <c r="AQ281" s="34">
        <v>-65399.87</v>
      </c>
      <c r="AR281" s="455">
        <v>1.5</v>
      </c>
    </row>
    <row r="282" spans="1:44" x14ac:dyDescent="0.25">
      <c r="A282" s="356">
        <v>5888</v>
      </c>
      <c r="B282" s="348" t="s">
        <v>531</v>
      </c>
      <c r="C282" s="348">
        <v>16287568.92</v>
      </c>
      <c r="D282" s="348">
        <v>3642292.12</v>
      </c>
      <c r="E282" s="348"/>
      <c r="F282" s="348"/>
      <c r="G282" s="348">
        <v>811373.7</v>
      </c>
      <c r="H282" s="348">
        <v>36833.35</v>
      </c>
      <c r="I282" s="348">
        <v>336888.7</v>
      </c>
      <c r="J282" s="348">
        <v>14283.69</v>
      </c>
      <c r="K282" s="348">
        <v>57640.4</v>
      </c>
      <c r="L282" s="348">
        <v>1801855.95</v>
      </c>
      <c r="M282" s="349">
        <f t="shared" si="13"/>
        <v>22988736.829999998</v>
      </c>
      <c r="N282" s="368">
        <v>196987.95</v>
      </c>
      <c r="O282" s="368">
        <v>237679.4</v>
      </c>
      <c r="P282" s="368">
        <v>1099647.05</v>
      </c>
      <c r="Q282" s="368">
        <v>27224.98</v>
      </c>
      <c r="R282" s="368">
        <v>505743</v>
      </c>
      <c r="S282" s="368"/>
      <c r="T282" s="368"/>
      <c r="U282" s="368">
        <v>34250</v>
      </c>
      <c r="V282" s="368"/>
      <c r="W282" s="368"/>
      <c r="X282" s="349">
        <f t="shared" si="14"/>
        <v>25090269.209999997</v>
      </c>
      <c r="Y282" s="34">
        <v>278903.8</v>
      </c>
      <c r="Z282" s="34" t="s">
        <v>649</v>
      </c>
      <c r="AA282" s="34">
        <v>722523.25</v>
      </c>
      <c r="AB282" s="34">
        <v>942339.39</v>
      </c>
      <c r="AC282" s="34">
        <v>383256.45</v>
      </c>
      <c r="AD282" s="34">
        <v>257416.3</v>
      </c>
      <c r="AE282" s="34" t="s">
        <v>649</v>
      </c>
      <c r="AF282" s="34" t="s">
        <v>649</v>
      </c>
      <c r="AG282" s="34">
        <v>136325</v>
      </c>
      <c r="AH282" s="34"/>
      <c r="AI282" s="34"/>
      <c r="AJ282" s="34"/>
      <c r="AK282" s="34"/>
      <c r="AL282" s="364">
        <f t="shared" si="15"/>
        <v>2720764.19</v>
      </c>
      <c r="AM282" s="17">
        <f>VLOOKUP(B282,'[1]2018'!$A$7:$F$349,6,FALSE)</f>
        <v>70</v>
      </c>
      <c r="AN282" s="32">
        <f>VLOOKUP(A282,'[2]2018 (2)'!$B$1:$D$318,3,FALSE)</f>
        <v>5185</v>
      </c>
      <c r="AO282" s="15">
        <v>-381108.72</v>
      </c>
      <c r="AP282" s="34"/>
      <c r="AQ282" s="34">
        <v>-24183.64</v>
      </c>
      <c r="AR282" s="455">
        <v>1.2</v>
      </c>
    </row>
    <row r="283" spans="1:44" x14ac:dyDescent="0.25">
      <c r="A283" s="356">
        <v>5889</v>
      </c>
      <c r="B283" s="348" t="s">
        <v>56</v>
      </c>
      <c r="C283" s="348">
        <v>24520186.879999999</v>
      </c>
      <c r="D283" s="348">
        <v>5122067.62</v>
      </c>
      <c r="E283" s="348"/>
      <c r="F283" s="348"/>
      <c r="G283" s="348">
        <v>3131542.05</v>
      </c>
      <c r="H283" s="348">
        <v>4783723.3499999996</v>
      </c>
      <c r="I283" s="348">
        <v>791446.15</v>
      </c>
      <c r="J283" s="348">
        <v>952948.39</v>
      </c>
      <c r="K283" s="348">
        <v>139674.95000000001</v>
      </c>
      <c r="L283" s="348">
        <v>2758736.7</v>
      </c>
      <c r="M283" s="349">
        <f t="shared" si="13"/>
        <v>42200326.090000004</v>
      </c>
      <c r="N283" s="368">
        <v>131618.15</v>
      </c>
      <c r="O283" s="368">
        <v>3865016.2</v>
      </c>
      <c r="P283" s="368">
        <v>2168065.25</v>
      </c>
      <c r="Q283" s="368">
        <v>59764.22</v>
      </c>
      <c r="R283" s="368">
        <v>2106081</v>
      </c>
      <c r="S283" s="368"/>
      <c r="T283" s="368"/>
      <c r="U283" s="368">
        <v>35250</v>
      </c>
      <c r="V283" s="368"/>
      <c r="W283" s="368">
        <v>297757.08</v>
      </c>
      <c r="X283" s="349">
        <f t="shared" si="14"/>
        <v>50863877.990000002</v>
      </c>
      <c r="Y283" s="34">
        <v>10493</v>
      </c>
      <c r="Z283" s="353"/>
      <c r="AA283" s="34">
        <v>874736.79</v>
      </c>
      <c r="AB283" s="353">
        <v>1900012.69</v>
      </c>
      <c r="AC283" s="34">
        <v>1080910.19</v>
      </c>
      <c r="AD283" s="353">
        <v>10493</v>
      </c>
      <c r="AE283" s="34"/>
      <c r="AF283" s="353"/>
      <c r="AG283" s="34"/>
      <c r="AH283" s="353">
        <v>222066</v>
      </c>
      <c r="AI283" s="34"/>
      <c r="AJ283" s="353"/>
      <c r="AK283" s="34"/>
      <c r="AL283" s="364">
        <f t="shared" si="15"/>
        <v>4098711.67</v>
      </c>
      <c r="AM283" s="17">
        <f>VLOOKUP(B283,'[1]2018'!$A$7:$F$349,6,FALSE)</f>
        <v>64</v>
      </c>
      <c r="AN283" s="32">
        <f>VLOOKUP(A283,'[2]2018 (2)'!$B$1:$D$318,3,FALSE)</f>
        <v>11871</v>
      </c>
      <c r="AO283" s="15">
        <v>-462818.63</v>
      </c>
      <c r="AP283" s="34"/>
      <c r="AQ283" s="34">
        <v>-19719.11</v>
      </c>
      <c r="AR283" s="455">
        <v>1.2</v>
      </c>
    </row>
    <row r="284" spans="1:44" x14ac:dyDescent="0.25">
      <c r="A284" s="356">
        <v>5890</v>
      </c>
      <c r="B284" s="348" t="s">
        <v>57</v>
      </c>
      <c r="C284" s="348">
        <v>39473588.939999998</v>
      </c>
      <c r="D284" s="348">
        <v>4706473.17</v>
      </c>
      <c r="E284" s="348"/>
      <c r="F284" s="348"/>
      <c r="G284" s="348">
        <v>7226774.2000000002</v>
      </c>
      <c r="H284" s="348">
        <v>12184468.5</v>
      </c>
      <c r="I284" s="348">
        <v>440123.1</v>
      </c>
      <c r="J284" s="348">
        <v>3161407.99</v>
      </c>
      <c r="K284" s="348">
        <v>510911.1</v>
      </c>
      <c r="L284" s="348">
        <v>5127346.2</v>
      </c>
      <c r="M284" s="349">
        <f t="shared" si="13"/>
        <v>72831093.200000003</v>
      </c>
      <c r="N284" s="368">
        <v>845604.05</v>
      </c>
      <c r="O284" s="368">
        <v>3910879.1</v>
      </c>
      <c r="P284" s="368">
        <v>1589173.55</v>
      </c>
      <c r="Q284" s="368">
        <v>209552.93</v>
      </c>
      <c r="R284" s="368">
        <v>1617245.6</v>
      </c>
      <c r="S284" s="368"/>
      <c r="T284" s="368"/>
      <c r="U284" s="368">
        <v>57300</v>
      </c>
      <c r="V284" s="368"/>
      <c r="W284" s="368"/>
      <c r="X284" s="349">
        <f t="shared" si="14"/>
        <v>81060848.429999992</v>
      </c>
      <c r="Y284" s="34"/>
      <c r="Z284" s="353"/>
      <c r="AA284" s="34">
        <v>926124.15</v>
      </c>
      <c r="AB284" s="353"/>
      <c r="AC284" s="34">
        <v>1155887.75</v>
      </c>
      <c r="AD284" s="353"/>
      <c r="AE284" s="34"/>
      <c r="AF284" s="353"/>
      <c r="AG284" s="34"/>
      <c r="AH284" s="353">
        <v>658147.94999999995</v>
      </c>
      <c r="AI284" s="34"/>
      <c r="AJ284" s="353">
        <v>188556.55</v>
      </c>
      <c r="AK284" s="34"/>
      <c r="AL284" s="364">
        <f t="shared" si="15"/>
        <v>2928716.3999999994</v>
      </c>
      <c r="AM284" s="17">
        <f>VLOOKUP(B284,'[1]2018'!$A$7:$F$349,6,FALSE)</f>
        <v>76</v>
      </c>
      <c r="AN284" s="32">
        <f>VLOOKUP(A284,'[2]2018 (2)'!$B$1:$D$318,3,FALSE)</f>
        <v>19904</v>
      </c>
      <c r="AO284" s="15">
        <v>-1082533.03</v>
      </c>
      <c r="AP284" s="34"/>
      <c r="AQ284" s="34">
        <v>-39020.400000000001</v>
      </c>
      <c r="AR284" s="455">
        <v>1.5</v>
      </c>
    </row>
    <row r="285" spans="1:44" x14ac:dyDescent="0.25">
      <c r="A285" s="356">
        <v>5891</v>
      </c>
      <c r="B285" s="348" t="s">
        <v>58</v>
      </c>
      <c r="C285" s="348">
        <v>1732378.31</v>
      </c>
      <c r="D285" s="348">
        <v>425838.44</v>
      </c>
      <c r="E285" s="348"/>
      <c r="F285" s="348"/>
      <c r="G285" s="348">
        <v>159618.75</v>
      </c>
      <c r="H285" s="348">
        <v>-15655.8</v>
      </c>
      <c r="I285" s="348">
        <v>57848.4</v>
      </c>
      <c r="J285" s="348">
        <v>59177.27</v>
      </c>
      <c r="K285" s="348">
        <v>196.20000000000101</v>
      </c>
      <c r="L285" s="348">
        <v>418747.5</v>
      </c>
      <c r="M285" s="349">
        <f t="shared" si="13"/>
        <v>2838149.0700000003</v>
      </c>
      <c r="N285" s="368"/>
      <c r="O285" s="368">
        <v>517592.4</v>
      </c>
      <c r="P285" s="368">
        <v>225963.55</v>
      </c>
      <c r="Q285" s="368">
        <v>-2162.46</v>
      </c>
      <c r="R285" s="368">
        <v>125038.45</v>
      </c>
      <c r="S285" s="368"/>
      <c r="T285" s="368"/>
      <c r="U285" s="368">
        <v>4250</v>
      </c>
      <c r="V285" s="368">
        <v>368384.4</v>
      </c>
      <c r="W285" s="368"/>
      <c r="X285" s="349">
        <f t="shared" si="14"/>
        <v>4077215.41</v>
      </c>
      <c r="Y285" s="34"/>
      <c r="Z285" s="353"/>
      <c r="AA285" s="34">
        <v>50619.25</v>
      </c>
      <c r="AB285" s="353"/>
      <c r="AC285" s="34">
        <v>92036.74</v>
      </c>
      <c r="AD285" s="353"/>
      <c r="AE285" s="34"/>
      <c r="AF285" s="353"/>
      <c r="AG285" s="34"/>
      <c r="AH285" s="353">
        <v>28605.3</v>
      </c>
      <c r="AI285" s="34"/>
      <c r="AJ285" s="353"/>
      <c r="AK285" s="34">
        <v>8087.25</v>
      </c>
      <c r="AL285" s="364">
        <f t="shared" si="15"/>
        <v>179348.53999999998</v>
      </c>
      <c r="AM285" s="17">
        <f>VLOOKUP(B285,'[1]2018'!$A$7:$F$349,6,FALSE)</f>
        <v>71</v>
      </c>
      <c r="AN285" s="32">
        <f>VLOOKUP(A285,'[2]2018 (2)'!$B$1:$D$318,3,FALSE)</f>
        <v>884</v>
      </c>
      <c r="AO285" s="15">
        <v>-35511.449999999997</v>
      </c>
      <c r="AP285" s="34"/>
      <c r="AQ285" s="34">
        <v>-648.39</v>
      </c>
      <c r="AR285" s="455">
        <v>1.5</v>
      </c>
    </row>
    <row r="286" spans="1:44" x14ac:dyDescent="0.25">
      <c r="A286" s="356">
        <v>5902</v>
      </c>
      <c r="B286" s="348" t="s">
        <v>59</v>
      </c>
      <c r="C286" s="348">
        <v>672671.91</v>
      </c>
      <c r="D286" s="348">
        <v>55099.05</v>
      </c>
      <c r="E286" s="348"/>
      <c r="F286" s="348"/>
      <c r="G286" s="348">
        <v>2017.1</v>
      </c>
      <c r="H286" s="348">
        <v>98.45</v>
      </c>
      <c r="I286" s="348"/>
      <c r="J286" s="348">
        <v>295.73</v>
      </c>
      <c r="K286" s="348"/>
      <c r="L286" s="348">
        <v>55676.9</v>
      </c>
      <c r="M286" s="349">
        <f t="shared" si="13"/>
        <v>785859.14</v>
      </c>
      <c r="N286" s="368"/>
      <c r="O286" s="368"/>
      <c r="P286" s="368">
        <v>1273.9000000000001</v>
      </c>
      <c r="Q286" s="368">
        <v>1345.1</v>
      </c>
      <c r="R286" s="368">
        <v>0</v>
      </c>
      <c r="S286" s="368"/>
      <c r="T286" s="368">
        <v>500</v>
      </c>
      <c r="U286" s="368">
        <v>4250</v>
      </c>
      <c r="V286" s="368"/>
      <c r="W286" s="368"/>
      <c r="X286" s="349">
        <f t="shared" si="14"/>
        <v>793228.14</v>
      </c>
      <c r="Y286" s="34"/>
      <c r="Z286" s="353"/>
      <c r="AA286" s="34">
        <v>67686.399999999994</v>
      </c>
      <c r="AB286" s="353"/>
      <c r="AC286" s="34">
        <v>25692.14</v>
      </c>
      <c r="AD286" s="353"/>
      <c r="AE286" s="34"/>
      <c r="AF286" s="353"/>
      <c r="AG286" s="34"/>
      <c r="AH286" s="353"/>
      <c r="AI286" s="34"/>
      <c r="AJ286" s="353"/>
      <c r="AK286" s="34"/>
      <c r="AL286" s="364">
        <f t="shared" si="15"/>
        <v>93378.54</v>
      </c>
      <c r="AM286" s="17">
        <f>VLOOKUP(B286,'[1]2018'!$A$7:$F$349,6,FALSE)</f>
        <v>76</v>
      </c>
      <c r="AN286" s="32">
        <f>VLOOKUP(A286,'[2]2018 (2)'!$B$1:$D$318,3,FALSE)</f>
        <v>384</v>
      </c>
      <c r="AO286" s="15">
        <v>-2697.85</v>
      </c>
      <c r="AP286" s="34"/>
      <c r="AQ286" s="34">
        <v>0</v>
      </c>
      <c r="AR286" s="455">
        <v>1</v>
      </c>
    </row>
    <row r="287" spans="1:44" x14ac:dyDescent="0.25">
      <c r="A287" s="356">
        <v>5903</v>
      </c>
      <c r="B287" s="348" t="s">
        <v>60</v>
      </c>
      <c r="C287" s="348">
        <v>315634.32</v>
      </c>
      <c r="D287" s="348">
        <v>46871.14</v>
      </c>
      <c r="E287" s="348"/>
      <c r="F287" s="348"/>
      <c r="G287" s="348">
        <v>8802.2000000000007</v>
      </c>
      <c r="H287" s="348">
        <v>69.8</v>
      </c>
      <c r="I287" s="348"/>
      <c r="J287" s="348">
        <v>2546.4</v>
      </c>
      <c r="K287" s="348"/>
      <c r="L287" s="348">
        <v>25648.75</v>
      </c>
      <c r="M287" s="349">
        <f t="shared" si="13"/>
        <v>399572.61000000004</v>
      </c>
      <c r="N287" s="368">
        <v>28151.35</v>
      </c>
      <c r="O287" s="368">
        <v>269.89999999999998</v>
      </c>
      <c r="P287" s="368">
        <v>5115</v>
      </c>
      <c r="Q287" s="368"/>
      <c r="R287" s="368">
        <v>9172.6</v>
      </c>
      <c r="S287" s="368"/>
      <c r="T287" s="368">
        <v>150</v>
      </c>
      <c r="U287" s="368">
        <v>1200</v>
      </c>
      <c r="V287" s="368"/>
      <c r="W287" s="368"/>
      <c r="X287" s="349">
        <f t="shared" si="14"/>
        <v>443631.46</v>
      </c>
      <c r="Y287" s="34"/>
      <c r="Z287" s="353"/>
      <c r="AA287" s="34">
        <v>15939.5</v>
      </c>
      <c r="AB287" s="353"/>
      <c r="AC287" s="34">
        <v>8589.0499999999993</v>
      </c>
      <c r="AD287" s="353"/>
      <c r="AE287" s="34"/>
      <c r="AF287" s="353"/>
      <c r="AG287" s="34"/>
      <c r="AH287" s="353"/>
      <c r="AI287" s="34"/>
      <c r="AJ287" s="353"/>
      <c r="AK287" s="34"/>
      <c r="AL287" s="364">
        <f t="shared" si="15"/>
        <v>24528.55</v>
      </c>
      <c r="AM287" s="17">
        <f>VLOOKUP(B287,'[1]2018'!$A$7:$F$349,6,FALSE)</f>
        <v>74</v>
      </c>
      <c r="AN287" s="32">
        <f>VLOOKUP(A287,'[2]2018 (2)'!$B$1:$D$318,3,FALSE)</f>
        <v>225</v>
      </c>
      <c r="AO287" s="15">
        <v>-4088.83</v>
      </c>
      <c r="AP287" s="34"/>
      <c r="AQ287" s="34">
        <v>0</v>
      </c>
      <c r="AR287" s="455">
        <v>0.7</v>
      </c>
    </row>
    <row r="288" spans="1:44" x14ac:dyDescent="0.25">
      <c r="A288" s="356">
        <v>5904</v>
      </c>
      <c r="B288" s="348" t="s">
        <v>61</v>
      </c>
      <c r="C288" s="348">
        <v>1070859.02</v>
      </c>
      <c r="D288" s="348">
        <v>122841.77</v>
      </c>
      <c r="E288" s="348"/>
      <c r="F288" s="348"/>
      <c r="G288" s="348">
        <v>10586.45</v>
      </c>
      <c r="H288" s="348">
        <v>480.4</v>
      </c>
      <c r="I288" s="348"/>
      <c r="J288" s="348">
        <v>20344.86</v>
      </c>
      <c r="K288" s="348">
        <v>3183.15</v>
      </c>
      <c r="L288" s="348">
        <v>94251</v>
      </c>
      <c r="M288" s="349">
        <f t="shared" si="13"/>
        <v>1322546.6499999999</v>
      </c>
      <c r="N288" s="368">
        <v>32246.1</v>
      </c>
      <c r="O288" s="368"/>
      <c r="P288" s="368">
        <v>26418.6</v>
      </c>
      <c r="Q288" s="368">
        <v>21306.61</v>
      </c>
      <c r="R288" s="368">
        <v>23246.1</v>
      </c>
      <c r="S288" s="368"/>
      <c r="T288" s="368">
        <v>222.25</v>
      </c>
      <c r="U288" s="368">
        <v>3200</v>
      </c>
      <c r="V288" s="368"/>
      <c r="W288" s="368"/>
      <c r="X288" s="349">
        <f t="shared" si="14"/>
        <v>1429186.3100000003</v>
      </c>
      <c r="Y288" s="34">
        <v>10414</v>
      </c>
      <c r="Z288" s="353"/>
      <c r="AA288" s="34">
        <v>91851.85</v>
      </c>
      <c r="AB288" s="353"/>
      <c r="AC288" s="34">
        <v>35535.949999999997</v>
      </c>
      <c r="AD288" s="353">
        <v>15541</v>
      </c>
      <c r="AE288" s="34"/>
      <c r="AF288" s="353"/>
      <c r="AG288" s="34"/>
      <c r="AH288" s="353">
        <v>20911.599999999999</v>
      </c>
      <c r="AI288" s="34"/>
      <c r="AJ288" s="353"/>
      <c r="AK288" s="34"/>
      <c r="AL288" s="364">
        <f t="shared" si="15"/>
        <v>174254.4</v>
      </c>
      <c r="AM288" s="17">
        <f>VLOOKUP(B288,'[1]2018'!$A$7:$F$349,6,FALSE)</f>
        <v>66</v>
      </c>
      <c r="AN288" s="32">
        <f>VLOOKUP(A288,'[2]2018 (2)'!$B$1:$D$318,3,FALSE)</f>
        <v>542</v>
      </c>
      <c r="AO288" s="15">
        <v>-21124.51</v>
      </c>
      <c r="AP288" s="34"/>
      <c r="AQ288" s="34">
        <v>-4.78</v>
      </c>
      <c r="AR288" s="455">
        <v>1</v>
      </c>
    </row>
    <row r="289" spans="1:44" x14ac:dyDescent="0.25">
      <c r="A289" s="356">
        <v>5905</v>
      </c>
      <c r="B289" s="348" t="s">
        <v>62</v>
      </c>
      <c r="C289" s="348">
        <v>1314693.81</v>
      </c>
      <c r="D289" s="348">
        <v>115050.36</v>
      </c>
      <c r="E289" s="348"/>
      <c r="F289" s="348"/>
      <c r="G289" s="348">
        <v>190915.75</v>
      </c>
      <c r="H289" s="348">
        <v>6172.5</v>
      </c>
      <c r="I289" s="348"/>
      <c r="J289" s="348">
        <v>10164.43</v>
      </c>
      <c r="K289" s="348">
        <v>2957.7</v>
      </c>
      <c r="L289" s="348">
        <v>96615</v>
      </c>
      <c r="M289" s="349">
        <f t="shared" si="13"/>
        <v>1736569.55</v>
      </c>
      <c r="N289" s="368">
        <v>111915.7</v>
      </c>
      <c r="O289" s="368">
        <v>2639.8</v>
      </c>
      <c r="P289" s="368">
        <v>5876</v>
      </c>
      <c r="Q289" s="368"/>
      <c r="R289" s="368">
        <v>5468.75</v>
      </c>
      <c r="S289" s="368"/>
      <c r="T289" s="368"/>
      <c r="U289" s="368"/>
      <c r="V289" s="368"/>
      <c r="W289" s="368"/>
      <c r="X289" s="349">
        <f t="shared" si="14"/>
        <v>1862469.8</v>
      </c>
      <c r="Y289" s="34"/>
      <c r="Z289" s="353"/>
      <c r="AA289" s="34">
        <v>115583.5</v>
      </c>
      <c r="AB289" s="353"/>
      <c r="AC289" s="34"/>
      <c r="AD289" s="353"/>
      <c r="AE289" s="34"/>
      <c r="AF289" s="353"/>
      <c r="AG289" s="34"/>
      <c r="AH289" s="353"/>
      <c r="AI289" s="34"/>
      <c r="AJ289" s="353"/>
      <c r="AK289" s="34"/>
      <c r="AL289" s="364">
        <f t="shared" si="15"/>
        <v>115583.5</v>
      </c>
      <c r="AM289" s="17">
        <f>VLOOKUP(B289,'[1]2018'!$A$7:$F$349,6,FALSE)</f>
        <v>71</v>
      </c>
      <c r="AN289" s="32">
        <f>VLOOKUP(A289,'[2]2018 (2)'!$B$1:$D$318,3,FALSE)</f>
        <v>685</v>
      </c>
      <c r="AO289" s="15">
        <v>-25301.32</v>
      </c>
      <c r="AP289" s="34"/>
      <c r="AQ289" s="34">
        <v>0</v>
      </c>
      <c r="AR289" s="455">
        <v>1</v>
      </c>
    </row>
    <row r="290" spans="1:44" x14ac:dyDescent="0.25">
      <c r="A290" s="356">
        <v>5907</v>
      </c>
      <c r="B290" s="348" t="s">
        <v>63</v>
      </c>
      <c r="C290" s="348">
        <v>513106.17</v>
      </c>
      <c r="D290" s="348">
        <v>73936.639999999999</v>
      </c>
      <c r="E290" s="348"/>
      <c r="F290" s="348">
        <v>1850</v>
      </c>
      <c r="G290" s="348">
        <v>1677.85</v>
      </c>
      <c r="H290" s="348">
        <v>486.85</v>
      </c>
      <c r="I290" s="348"/>
      <c r="J290" s="348">
        <v>12081.91</v>
      </c>
      <c r="K290" s="348">
        <v>490</v>
      </c>
      <c r="L290" s="348">
        <v>41444.699999999997</v>
      </c>
      <c r="M290" s="349">
        <f t="shared" si="13"/>
        <v>645074.11999999988</v>
      </c>
      <c r="N290" s="368">
        <v>9747.75</v>
      </c>
      <c r="O290" s="368"/>
      <c r="P290" s="368">
        <v>2282.5</v>
      </c>
      <c r="Q290" s="368"/>
      <c r="R290" s="368">
        <v>8478.15</v>
      </c>
      <c r="S290" s="368"/>
      <c r="T290" s="368">
        <v>1325.7</v>
      </c>
      <c r="U290" s="368">
        <v>2040</v>
      </c>
      <c r="V290" s="368"/>
      <c r="W290" s="368"/>
      <c r="X290" s="349">
        <f t="shared" si="14"/>
        <v>668948.21999999986</v>
      </c>
      <c r="Y290" s="34">
        <v>18500</v>
      </c>
      <c r="Z290" s="353"/>
      <c r="AA290" s="34">
        <v>7165.05</v>
      </c>
      <c r="AB290" s="353"/>
      <c r="AC290" s="34">
        <v>10991.7</v>
      </c>
      <c r="AD290" s="353">
        <v>7265.05</v>
      </c>
      <c r="AE290" s="34">
        <v>9000</v>
      </c>
      <c r="AF290" s="353"/>
      <c r="AG290" s="34"/>
      <c r="AH290" s="353"/>
      <c r="AI290" s="34"/>
      <c r="AJ290" s="353"/>
      <c r="AK290" s="34"/>
      <c r="AL290" s="364">
        <f t="shared" si="15"/>
        <v>52921.8</v>
      </c>
      <c r="AM290" s="17">
        <f>VLOOKUP(B290,'[1]2018'!$A$7:$F$349,6,FALSE)</f>
        <v>78</v>
      </c>
      <c r="AN290" s="32">
        <f>VLOOKUP(A290,'[2]2018 (2)'!$B$1:$D$318,3,FALSE)</f>
        <v>308</v>
      </c>
      <c r="AO290" s="15">
        <v>-15172.28</v>
      </c>
      <c r="AP290" s="34"/>
      <c r="AQ290" s="34">
        <v>-358.31</v>
      </c>
      <c r="AR290" s="455">
        <v>1</v>
      </c>
    </row>
    <row r="291" spans="1:44" x14ac:dyDescent="0.25">
      <c r="A291" s="356">
        <v>5908</v>
      </c>
      <c r="B291" s="348" t="s">
        <v>64</v>
      </c>
      <c r="C291" s="348">
        <v>183035.49</v>
      </c>
      <c r="D291" s="348">
        <v>57916.15</v>
      </c>
      <c r="E291" s="348"/>
      <c r="F291" s="348"/>
      <c r="G291" s="348">
        <v>-2894.3</v>
      </c>
      <c r="H291" s="348">
        <v>391.25</v>
      </c>
      <c r="I291" s="348"/>
      <c r="J291" s="348">
        <v>5196.34</v>
      </c>
      <c r="K291" s="348">
        <v>49.5</v>
      </c>
      <c r="L291" s="348">
        <v>16348</v>
      </c>
      <c r="M291" s="349">
        <f t="shared" si="13"/>
        <v>260042.43</v>
      </c>
      <c r="N291" s="368">
        <v>297.45</v>
      </c>
      <c r="O291" s="368">
        <v>64020</v>
      </c>
      <c r="P291" s="368">
        <v>5349.35</v>
      </c>
      <c r="Q291" s="368"/>
      <c r="R291" s="368">
        <v>10450.549999999999</v>
      </c>
      <c r="S291" s="368"/>
      <c r="T291" s="368"/>
      <c r="U291" s="368">
        <v>1221</v>
      </c>
      <c r="V291" s="368"/>
      <c r="W291" s="368"/>
      <c r="X291" s="349">
        <f t="shared" si="14"/>
        <v>341380.77999999997</v>
      </c>
      <c r="Y291" s="34">
        <v>29750</v>
      </c>
      <c r="Z291" s="353"/>
      <c r="AA291" s="34">
        <v>37800</v>
      </c>
      <c r="AB291" s="353"/>
      <c r="AC291" s="34">
        <v>5620</v>
      </c>
      <c r="AD291" s="353">
        <v>3000</v>
      </c>
      <c r="AE291" s="34"/>
      <c r="AF291" s="353"/>
      <c r="AG291" s="34"/>
      <c r="AH291" s="353"/>
      <c r="AI291" s="34"/>
      <c r="AJ291" s="353"/>
      <c r="AK291" s="34"/>
      <c r="AL291" s="364">
        <f t="shared" si="15"/>
        <v>76170</v>
      </c>
      <c r="AM291" s="17">
        <f>VLOOKUP(B291,'[1]2018'!$A$7:$F$349,6,FALSE)</f>
        <v>79</v>
      </c>
      <c r="AN291" s="32">
        <f>VLOOKUP(A291,'[2]2018 (2)'!$B$1:$D$318,3,FALSE)</f>
        <v>141</v>
      </c>
      <c r="AO291" s="15">
        <v>-13121.61</v>
      </c>
      <c r="AP291" s="34"/>
      <c r="AQ291" s="34">
        <v>0</v>
      </c>
      <c r="AR291" s="455">
        <v>1</v>
      </c>
    </row>
    <row r="292" spans="1:44" x14ac:dyDescent="0.25">
      <c r="A292" s="356">
        <v>5909</v>
      </c>
      <c r="B292" s="348" t="s">
        <v>65</v>
      </c>
      <c r="C292" s="348">
        <v>1851590.49</v>
      </c>
      <c r="D292" s="348">
        <v>246187.72</v>
      </c>
      <c r="E292" s="348"/>
      <c r="F292" s="348"/>
      <c r="G292" s="348">
        <v>61473.599999999999</v>
      </c>
      <c r="H292" s="348">
        <v>2136.1</v>
      </c>
      <c r="I292" s="348"/>
      <c r="J292" s="348">
        <v>8407.77</v>
      </c>
      <c r="K292" s="348">
        <v>2699.95</v>
      </c>
      <c r="L292" s="348">
        <v>160685</v>
      </c>
      <c r="M292" s="349">
        <f t="shared" si="13"/>
        <v>2333180.6300000004</v>
      </c>
      <c r="N292" s="368">
        <v>8427.9</v>
      </c>
      <c r="O292" s="368">
        <v>14272.2</v>
      </c>
      <c r="P292" s="368">
        <v>77892.800000000003</v>
      </c>
      <c r="Q292" s="368"/>
      <c r="R292" s="368">
        <v>81354.05</v>
      </c>
      <c r="S292" s="368"/>
      <c r="T292" s="368"/>
      <c r="U292" s="368">
        <v>880</v>
      </c>
      <c r="V292" s="368">
        <v>2000</v>
      </c>
      <c r="W292" s="368"/>
      <c r="X292" s="349">
        <f t="shared" si="14"/>
        <v>2518007.58</v>
      </c>
      <c r="Y292" s="34">
        <v>79039</v>
      </c>
      <c r="Z292" s="34" t="s">
        <v>649</v>
      </c>
      <c r="AA292" s="34">
        <v>62159.49</v>
      </c>
      <c r="AB292" s="34" t="s">
        <v>649</v>
      </c>
      <c r="AC292" s="34">
        <v>42405.55</v>
      </c>
      <c r="AD292" s="34">
        <v>77399.63</v>
      </c>
      <c r="AE292" s="34" t="s">
        <v>649</v>
      </c>
      <c r="AF292" s="34" t="s">
        <v>649</v>
      </c>
      <c r="AG292" s="34">
        <v>67242.240000000005</v>
      </c>
      <c r="AH292" s="34"/>
      <c r="AI292" s="34"/>
      <c r="AJ292" s="34"/>
      <c r="AK292" s="34"/>
      <c r="AL292" s="364">
        <f t="shared" si="15"/>
        <v>328245.90999999997</v>
      </c>
      <c r="AM292" s="17">
        <f>VLOOKUP(B292,'[1]2018'!$A$7:$F$349,6,FALSE)</f>
        <v>70</v>
      </c>
      <c r="AN292" s="32">
        <f>VLOOKUP(A292,'[2]2018 (2)'!$B$1:$D$318,3,FALSE)</f>
        <v>721</v>
      </c>
      <c r="AO292" s="15">
        <v>-1835.08</v>
      </c>
      <c r="AP292" s="34">
        <v>-37825.730000000003</v>
      </c>
      <c r="AQ292" s="34">
        <v>-86.48</v>
      </c>
      <c r="AR292" s="455">
        <v>1</v>
      </c>
    </row>
    <row r="293" spans="1:44" x14ac:dyDescent="0.25">
      <c r="A293" s="356">
        <v>5910</v>
      </c>
      <c r="B293" s="348" t="s">
        <v>66</v>
      </c>
      <c r="C293" s="348">
        <v>657443.81000000006</v>
      </c>
      <c r="D293" s="348">
        <v>61010.05</v>
      </c>
      <c r="E293" s="348"/>
      <c r="F293" s="348">
        <v>2230</v>
      </c>
      <c r="G293" s="348">
        <v>7599.1</v>
      </c>
      <c r="H293" s="348">
        <v>53.4</v>
      </c>
      <c r="I293" s="348"/>
      <c r="J293" s="348">
        <v>3558.14</v>
      </c>
      <c r="K293" s="348"/>
      <c r="L293" s="348">
        <v>49553.4</v>
      </c>
      <c r="M293" s="349">
        <f t="shared" si="13"/>
        <v>781447.90000000014</v>
      </c>
      <c r="N293" s="368"/>
      <c r="O293" s="368">
        <v>678.7</v>
      </c>
      <c r="P293" s="368">
        <v>18729.349999999999</v>
      </c>
      <c r="Q293" s="368"/>
      <c r="R293" s="368">
        <v>8458.35</v>
      </c>
      <c r="S293" s="368"/>
      <c r="T293" s="368">
        <v>440</v>
      </c>
      <c r="U293" s="368">
        <v>3837.2</v>
      </c>
      <c r="V293" s="368"/>
      <c r="W293" s="368"/>
      <c r="X293" s="349">
        <f t="shared" si="14"/>
        <v>813591.5</v>
      </c>
      <c r="Y293" s="34">
        <v>26117.5</v>
      </c>
      <c r="Z293" s="353"/>
      <c r="AA293" s="34">
        <v>23963</v>
      </c>
      <c r="AB293" s="353"/>
      <c r="AC293" s="34">
        <v>21961.25</v>
      </c>
      <c r="AD293" s="353"/>
      <c r="AE293" s="34"/>
      <c r="AF293" s="353"/>
      <c r="AG293" s="34"/>
      <c r="AH293" s="353"/>
      <c r="AI293" s="34"/>
      <c r="AJ293" s="353"/>
      <c r="AK293" s="34"/>
      <c r="AL293" s="364">
        <f t="shared" si="15"/>
        <v>72041.75</v>
      </c>
      <c r="AM293" s="17">
        <f>VLOOKUP(B293,'[1]2018'!$A$7:$F$349,6,FALSE)</f>
        <v>79</v>
      </c>
      <c r="AN293" s="32">
        <f>VLOOKUP(A293,'[2]2018 (2)'!$B$1:$D$318,3,FALSE)</f>
        <v>385</v>
      </c>
      <c r="AO293" s="15">
        <v>-18838.95</v>
      </c>
      <c r="AP293" s="34"/>
      <c r="AQ293" s="34">
        <v>-5.76</v>
      </c>
      <c r="AR293" s="455">
        <v>1</v>
      </c>
    </row>
    <row r="294" spans="1:44" x14ac:dyDescent="0.25">
      <c r="A294" s="356">
        <v>5911</v>
      </c>
      <c r="B294" s="348" t="s">
        <v>67</v>
      </c>
      <c r="C294" s="348">
        <v>473854.49</v>
      </c>
      <c r="D294" s="348">
        <v>22621.01</v>
      </c>
      <c r="E294" s="348"/>
      <c r="F294" s="348">
        <v>1521</v>
      </c>
      <c r="G294" s="348">
        <v>11487.3</v>
      </c>
      <c r="H294" s="348">
        <v>441.65</v>
      </c>
      <c r="I294" s="348"/>
      <c r="J294" s="348">
        <v>5595.91</v>
      </c>
      <c r="K294" s="348">
        <v>827</v>
      </c>
      <c r="L294" s="348">
        <v>29745.7</v>
      </c>
      <c r="M294" s="349">
        <f t="shared" si="13"/>
        <v>546094.05999999994</v>
      </c>
      <c r="N294" s="368">
        <v>2766.6</v>
      </c>
      <c r="O294" s="368">
        <v>617.70000000000005</v>
      </c>
      <c r="P294" s="368">
        <v>30416.25</v>
      </c>
      <c r="Q294" s="368"/>
      <c r="R294" s="368">
        <v>24878</v>
      </c>
      <c r="S294" s="368"/>
      <c r="T294" s="368"/>
      <c r="U294" s="368">
        <v>950</v>
      </c>
      <c r="V294" s="368"/>
      <c r="W294" s="368"/>
      <c r="X294" s="349">
        <f t="shared" si="14"/>
        <v>605722.60999999987</v>
      </c>
      <c r="Y294" s="34">
        <v>5586</v>
      </c>
      <c r="Z294" s="353"/>
      <c r="AA294" s="34">
        <v>34240.800000000003</v>
      </c>
      <c r="AB294" s="353"/>
      <c r="AC294" s="34">
        <v>14710.4</v>
      </c>
      <c r="AD294" s="353">
        <v>19700</v>
      </c>
      <c r="AE294" s="34">
        <v>3000</v>
      </c>
      <c r="AF294" s="353"/>
      <c r="AG294" s="34"/>
      <c r="AH294" s="353"/>
      <c r="AI294" s="34"/>
      <c r="AJ294" s="353"/>
      <c r="AK294" s="34"/>
      <c r="AL294" s="364">
        <f t="shared" si="15"/>
        <v>77237.200000000012</v>
      </c>
      <c r="AM294" s="17">
        <f>VLOOKUP(B294,'[1]2018'!$A$7:$F$349,6,FALSE)</f>
        <v>79</v>
      </c>
      <c r="AN294" s="32">
        <f>VLOOKUP(A294,'[2]2018 (2)'!$B$1:$D$318,3,FALSE)</f>
        <v>243</v>
      </c>
      <c r="AO294" s="15">
        <v>-1133.1400000000001</v>
      </c>
      <c r="AP294" s="34"/>
      <c r="AQ294" s="34">
        <v>-111.78</v>
      </c>
      <c r="AR294" s="455">
        <v>1</v>
      </c>
    </row>
    <row r="295" spans="1:44" x14ac:dyDescent="0.25">
      <c r="A295" s="356">
        <v>5912</v>
      </c>
      <c r="B295" s="348" t="s">
        <v>68</v>
      </c>
      <c r="C295" s="348">
        <v>222781.97</v>
      </c>
      <c r="D295" s="348">
        <v>13922.26</v>
      </c>
      <c r="E295" s="348"/>
      <c r="F295" s="348">
        <v>840</v>
      </c>
      <c r="G295" s="348">
        <v>594.1</v>
      </c>
      <c r="H295" s="348">
        <v>27.9</v>
      </c>
      <c r="I295" s="348"/>
      <c r="J295" s="348">
        <v>-67.06</v>
      </c>
      <c r="K295" s="348"/>
      <c r="L295" s="348">
        <v>19143.099999999999</v>
      </c>
      <c r="M295" s="349">
        <f t="shared" si="13"/>
        <v>257242.27000000002</v>
      </c>
      <c r="N295" s="368"/>
      <c r="O295" s="368"/>
      <c r="P295" s="368"/>
      <c r="Q295" s="368"/>
      <c r="R295" s="368"/>
      <c r="S295" s="368"/>
      <c r="T295" s="368"/>
      <c r="U295" s="368">
        <v>1300</v>
      </c>
      <c r="V295" s="368"/>
      <c r="W295" s="368"/>
      <c r="X295" s="349">
        <f t="shared" si="14"/>
        <v>258542.27000000002</v>
      </c>
      <c r="Y295" s="34"/>
      <c r="Z295" s="353"/>
      <c r="AA295" s="34">
        <v>18456.5</v>
      </c>
      <c r="AB295" s="353"/>
      <c r="AC295" s="34">
        <v>8800</v>
      </c>
      <c r="AD295" s="353">
        <v>5350</v>
      </c>
      <c r="AE295" s="34"/>
      <c r="AF295" s="353"/>
      <c r="AG295" s="34"/>
      <c r="AH295" s="353"/>
      <c r="AI295" s="34"/>
      <c r="AJ295" s="353"/>
      <c r="AK295" s="34"/>
      <c r="AL295" s="364">
        <f t="shared" si="15"/>
        <v>32606.5</v>
      </c>
      <c r="AM295" s="17">
        <f>VLOOKUP(B295,'[1]2018'!$A$7:$F$349,6,FALSE)</f>
        <v>81</v>
      </c>
      <c r="AN295" s="32">
        <f>VLOOKUP(A295,'[2]2018 (2)'!$B$1:$D$318,3,FALSE)</f>
        <v>141</v>
      </c>
      <c r="AO295" s="15">
        <v>-3192.89</v>
      </c>
      <c r="AP295" s="34"/>
      <c r="AQ295" s="34">
        <v>0</v>
      </c>
      <c r="AR295" s="455">
        <v>1</v>
      </c>
    </row>
    <row r="296" spans="1:44" x14ac:dyDescent="0.25">
      <c r="A296" s="356">
        <v>5913</v>
      </c>
      <c r="B296" s="348" t="s">
        <v>69</v>
      </c>
      <c r="C296" s="348">
        <v>1210440.3600000001</v>
      </c>
      <c r="D296" s="348">
        <v>121885.44</v>
      </c>
      <c r="E296" s="348"/>
      <c r="F296" s="348"/>
      <c r="G296" s="348">
        <v>41299.699999999997</v>
      </c>
      <c r="H296" s="348">
        <v>147.19999999999999</v>
      </c>
      <c r="I296" s="348"/>
      <c r="J296" s="348">
        <v>19235</v>
      </c>
      <c r="K296" s="348">
        <v>1314.65</v>
      </c>
      <c r="L296" s="348">
        <v>109909.4</v>
      </c>
      <c r="M296" s="349">
        <f t="shared" si="13"/>
        <v>1504231.7499999998</v>
      </c>
      <c r="N296" s="368">
        <v>22459.05</v>
      </c>
      <c r="O296" s="368">
        <v>31.2</v>
      </c>
      <c r="P296" s="368">
        <v>95782.5</v>
      </c>
      <c r="Q296" s="368">
        <v>2495.17</v>
      </c>
      <c r="R296" s="368">
        <v>51418.8</v>
      </c>
      <c r="S296" s="368">
        <v>75</v>
      </c>
      <c r="T296" s="368">
        <v>497.25</v>
      </c>
      <c r="U296" s="368">
        <v>5717.5</v>
      </c>
      <c r="V296" s="368">
        <v>48</v>
      </c>
      <c r="W296" s="368"/>
      <c r="X296" s="349">
        <f t="shared" si="14"/>
        <v>1682756.2199999997</v>
      </c>
      <c r="Y296" s="34">
        <v>1110</v>
      </c>
      <c r="Z296" s="353"/>
      <c r="AA296" s="34">
        <v>72531</v>
      </c>
      <c r="AB296" s="353">
        <v>36446</v>
      </c>
      <c r="AC296" s="34"/>
      <c r="AD296" s="353">
        <v>33435</v>
      </c>
      <c r="AE296" s="34"/>
      <c r="AF296" s="353"/>
      <c r="AG296" s="34"/>
      <c r="AH296" s="353">
        <v>20899.900000000001</v>
      </c>
      <c r="AI296" s="34"/>
      <c r="AJ296" s="353"/>
      <c r="AK296" s="34"/>
      <c r="AL296" s="364">
        <f t="shared" si="15"/>
        <v>164421.9</v>
      </c>
      <c r="AM296" s="17">
        <f>VLOOKUP(B296,'[1]2018'!$A$7:$F$349,6,FALSE)</f>
        <v>73</v>
      </c>
      <c r="AN296" s="32">
        <f>VLOOKUP(A296,'[2]2018 (2)'!$B$1:$D$318,3,FALSE)</f>
        <v>809</v>
      </c>
      <c r="AO296" s="15">
        <v>-19214.46</v>
      </c>
      <c r="AP296" s="34"/>
      <c r="AQ296" s="34">
        <v>-290.07</v>
      </c>
      <c r="AR296" s="455">
        <v>1</v>
      </c>
    </row>
    <row r="297" spans="1:44" x14ac:dyDescent="0.25">
      <c r="A297" s="356">
        <v>5914</v>
      </c>
      <c r="B297" s="348" t="s">
        <v>70</v>
      </c>
      <c r="C297" s="348">
        <v>531910.35</v>
      </c>
      <c r="D297" s="348">
        <v>91638.45</v>
      </c>
      <c r="E297" s="348"/>
      <c r="F297" s="348">
        <v>2200</v>
      </c>
      <c r="G297" s="348">
        <v>9760.7000000000007</v>
      </c>
      <c r="H297" s="348">
        <v>10547.25</v>
      </c>
      <c r="I297" s="348"/>
      <c r="J297" s="348">
        <v>8998.52</v>
      </c>
      <c r="K297" s="348">
        <v>3449.45</v>
      </c>
      <c r="L297" s="348">
        <v>50883.65</v>
      </c>
      <c r="M297" s="349">
        <f t="shared" si="13"/>
        <v>709388.36999999988</v>
      </c>
      <c r="N297" s="368">
        <v>12.4</v>
      </c>
      <c r="O297" s="368"/>
      <c r="P297" s="368">
        <v>29230.1</v>
      </c>
      <c r="Q297" s="368">
        <v>15616.31</v>
      </c>
      <c r="R297" s="368">
        <v>8560.2999999999993</v>
      </c>
      <c r="S297" s="368"/>
      <c r="T297" s="368">
        <v>1178.8</v>
      </c>
      <c r="U297" s="368">
        <v>1380</v>
      </c>
      <c r="V297" s="368"/>
      <c r="W297" s="368"/>
      <c r="X297" s="349">
        <f t="shared" si="14"/>
        <v>765366.28</v>
      </c>
      <c r="Y297" s="34">
        <v>34309</v>
      </c>
      <c r="Z297" s="353"/>
      <c r="AA297" s="34">
        <v>63785.25</v>
      </c>
      <c r="AB297" s="353"/>
      <c r="AC297" s="34">
        <v>32327.85</v>
      </c>
      <c r="AD297" s="353"/>
      <c r="AE297" s="34"/>
      <c r="AF297" s="353"/>
      <c r="AG297" s="34"/>
      <c r="AH297" s="353"/>
      <c r="AI297" s="34"/>
      <c r="AJ297" s="353"/>
      <c r="AK297" s="34"/>
      <c r="AL297" s="364">
        <f t="shared" si="15"/>
        <v>130422.1</v>
      </c>
      <c r="AM297" s="17">
        <f>VLOOKUP(B297,'[1]2018'!$A$7:$F$349,6,FALSE)</f>
        <v>75</v>
      </c>
      <c r="AN297" s="32">
        <f>VLOOKUP(A297,'[2]2018 (2)'!$B$1:$D$318,3,FALSE)</f>
        <v>360</v>
      </c>
      <c r="AO297" s="15">
        <v>-23336.240000000002</v>
      </c>
      <c r="AP297" s="34"/>
      <c r="AQ297" s="34">
        <v>0</v>
      </c>
      <c r="AR297" s="455">
        <v>1</v>
      </c>
    </row>
    <row r="298" spans="1:44" x14ac:dyDescent="0.25">
      <c r="A298" s="356">
        <v>5919</v>
      </c>
      <c r="B298" s="348" t="s">
        <v>399</v>
      </c>
      <c r="C298" s="348">
        <v>963699.41</v>
      </c>
      <c r="D298" s="348">
        <v>129778</v>
      </c>
      <c r="E298" s="348"/>
      <c r="F298" s="348">
        <v>3640</v>
      </c>
      <c r="G298" s="348">
        <v>8868.6</v>
      </c>
      <c r="H298" s="348">
        <v>1231.5999999999999</v>
      </c>
      <c r="I298" s="348"/>
      <c r="J298" s="348">
        <v>14754.13</v>
      </c>
      <c r="K298" s="348">
        <v>9931.7000000000007</v>
      </c>
      <c r="L298" s="348">
        <v>128011.9</v>
      </c>
      <c r="M298" s="349">
        <f t="shared" si="13"/>
        <v>1259915.3400000001</v>
      </c>
      <c r="N298" s="368">
        <v>8139.8</v>
      </c>
      <c r="O298" s="368">
        <v>106.5</v>
      </c>
      <c r="P298" s="368">
        <v>80839.8</v>
      </c>
      <c r="Q298" s="368">
        <v>12306.42</v>
      </c>
      <c r="R298" s="368">
        <v>128908.95</v>
      </c>
      <c r="S298" s="368"/>
      <c r="T298" s="368"/>
      <c r="U298" s="368">
        <v>3800</v>
      </c>
      <c r="V298" s="368"/>
      <c r="W298" s="368"/>
      <c r="X298" s="349">
        <f t="shared" si="14"/>
        <v>1494016.81</v>
      </c>
      <c r="Y298" s="34">
        <v>50754</v>
      </c>
      <c r="Z298" s="353"/>
      <c r="AA298" s="34">
        <v>164759.6</v>
      </c>
      <c r="AB298" s="353"/>
      <c r="AC298" s="34">
        <v>45379.3</v>
      </c>
      <c r="AD298" s="353">
        <v>78136.3</v>
      </c>
      <c r="AE298" s="34"/>
      <c r="AF298" s="353"/>
      <c r="AG298" s="34"/>
      <c r="AH298" s="353"/>
      <c r="AI298" s="34"/>
      <c r="AJ298" s="353"/>
      <c r="AK298" s="34"/>
      <c r="AL298" s="364">
        <f t="shared" si="15"/>
        <v>339029.2</v>
      </c>
      <c r="AM298" s="17">
        <f>VLOOKUP(B298,'[1]2018'!$A$7:$F$349,6,FALSE)</f>
        <v>72</v>
      </c>
      <c r="AN298" s="32">
        <f>VLOOKUP(A298,'[2]2018 (2)'!$B$1:$D$318,3,FALSE)</f>
        <v>611</v>
      </c>
      <c r="AO298" s="15">
        <v>-15089</v>
      </c>
      <c r="AP298" s="34"/>
      <c r="AQ298" s="34">
        <v>-66.599999999999994</v>
      </c>
      <c r="AR298" s="455">
        <v>1.2</v>
      </c>
    </row>
    <row r="299" spans="1:44" x14ac:dyDescent="0.25">
      <c r="A299" s="356">
        <v>5921</v>
      </c>
      <c r="B299" s="348" t="s">
        <v>400</v>
      </c>
      <c r="C299" s="348">
        <v>309397.78999999998</v>
      </c>
      <c r="D299" s="348">
        <v>44977.73</v>
      </c>
      <c r="E299" s="348"/>
      <c r="F299" s="348">
        <v>1370</v>
      </c>
      <c r="G299" s="348">
        <v>62334.45</v>
      </c>
      <c r="H299" s="348">
        <v>1431.2</v>
      </c>
      <c r="I299" s="348"/>
      <c r="J299" s="348">
        <v>13405.95</v>
      </c>
      <c r="K299" s="348"/>
      <c r="L299" s="348">
        <v>30414.05</v>
      </c>
      <c r="M299" s="349">
        <f t="shared" si="13"/>
        <v>463331.17</v>
      </c>
      <c r="N299" s="368"/>
      <c r="O299" s="368">
        <v>5029</v>
      </c>
      <c r="P299" s="368">
        <v>9240</v>
      </c>
      <c r="Q299" s="368"/>
      <c r="R299" s="368">
        <v>7524.8</v>
      </c>
      <c r="S299" s="368"/>
      <c r="T299" s="368">
        <v>175</v>
      </c>
      <c r="U299" s="368">
        <v>1665</v>
      </c>
      <c r="V299" s="368">
        <v>446</v>
      </c>
      <c r="W299" s="368"/>
      <c r="X299" s="349">
        <f t="shared" si="14"/>
        <v>487410.97</v>
      </c>
      <c r="Y299" s="34" t="s">
        <v>649</v>
      </c>
      <c r="Z299" s="34">
        <v>7920</v>
      </c>
      <c r="AA299" s="34">
        <v>38190</v>
      </c>
      <c r="AB299" s="34" t="s">
        <v>649</v>
      </c>
      <c r="AC299" s="34">
        <v>8847</v>
      </c>
      <c r="AD299" s="34" t="s">
        <v>649</v>
      </c>
      <c r="AE299" s="34">
        <v>6480</v>
      </c>
      <c r="AF299" s="34" t="s">
        <v>649</v>
      </c>
      <c r="AG299" s="34" t="s">
        <v>649</v>
      </c>
      <c r="AH299" s="34"/>
      <c r="AI299" s="34"/>
      <c r="AJ299" s="34"/>
      <c r="AK299" s="34"/>
      <c r="AL299" s="364">
        <f t="shared" si="15"/>
        <v>61437</v>
      </c>
      <c r="AM299" s="17">
        <f>VLOOKUP(B299,'[1]2018'!$A$7:$F$349,6,FALSE)</f>
        <v>81</v>
      </c>
      <c r="AN299" s="32">
        <f>VLOOKUP(A299,'[2]2018 (2)'!$B$1:$D$318,3,FALSE)</f>
        <v>235</v>
      </c>
      <c r="AO299" s="15">
        <v>-13098.52</v>
      </c>
      <c r="AP299" s="34"/>
      <c r="AQ299" s="34">
        <v>0</v>
      </c>
      <c r="AR299" s="455">
        <v>1</v>
      </c>
    </row>
    <row r="300" spans="1:44" x14ac:dyDescent="0.25">
      <c r="A300" s="356">
        <v>5922</v>
      </c>
      <c r="B300" s="348" t="s">
        <v>278</v>
      </c>
      <c r="C300" s="348">
        <v>1388400.45</v>
      </c>
      <c r="D300" s="348">
        <v>205817.22</v>
      </c>
      <c r="E300" s="348"/>
      <c r="F300" s="348"/>
      <c r="G300" s="348">
        <v>542085.5</v>
      </c>
      <c r="H300" s="348">
        <v>11381.45</v>
      </c>
      <c r="I300" s="348"/>
      <c r="J300" s="348">
        <v>81972.91</v>
      </c>
      <c r="K300" s="348">
        <v>45778.95</v>
      </c>
      <c r="L300" s="348">
        <v>245218.45</v>
      </c>
      <c r="M300" s="349">
        <f t="shared" si="13"/>
        <v>2520654.9300000006</v>
      </c>
      <c r="N300" s="368">
        <v>185044.2</v>
      </c>
      <c r="O300" s="368">
        <v>303290.2</v>
      </c>
      <c r="P300" s="368">
        <v>25315.3</v>
      </c>
      <c r="Q300" s="368">
        <v>827.08</v>
      </c>
      <c r="R300" s="368">
        <v>44514.2</v>
      </c>
      <c r="S300" s="368">
        <v>4900</v>
      </c>
      <c r="T300" s="368">
        <v>82761.25</v>
      </c>
      <c r="U300" s="368">
        <v>1640</v>
      </c>
      <c r="V300" s="368">
        <v>27</v>
      </c>
      <c r="W300" s="368"/>
      <c r="X300" s="349">
        <f t="shared" si="14"/>
        <v>3168974.1600000011</v>
      </c>
      <c r="Y300" s="34">
        <v>14595.05</v>
      </c>
      <c r="Z300" s="353"/>
      <c r="AA300" s="34">
        <v>119968.85</v>
      </c>
      <c r="AB300" s="353"/>
      <c r="AC300" s="34">
        <v>126895.2</v>
      </c>
      <c r="AD300" s="353">
        <v>11410.75</v>
      </c>
      <c r="AE300" s="34"/>
      <c r="AF300" s="353"/>
      <c r="AG300" s="34">
        <v>54.35</v>
      </c>
      <c r="AH300" s="353">
        <v>102281.9</v>
      </c>
      <c r="AI300" s="34"/>
      <c r="AJ300" s="353"/>
      <c r="AK300" s="34"/>
      <c r="AL300" s="364">
        <f t="shared" si="15"/>
        <v>375206.1</v>
      </c>
      <c r="AM300" s="17">
        <f>VLOOKUP(B300,'[1]2018'!$A$7:$F$349,6,FALSE)</f>
        <v>65</v>
      </c>
      <c r="AN300" s="32">
        <f>VLOOKUP(A300,'[2]2018 (2)'!$B$1:$D$318,3,FALSE)</f>
        <v>738</v>
      </c>
      <c r="AO300" s="15">
        <v>-28253.3</v>
      </c>
      <c r="AP300" s="34"/>
      <c r="AQ300" s="34">
        <v>-167.95</v>
      </c>
      <c r="AR300" s="455">
        <v>0.8</v>
      </c>
    </row>
    <row r="301" spans="1:44" x14ac:dyDescent="0.25">
      <c r="A301" s="356">
        <v>5923</v>
      </c>
      <c r="B301" s="348" t="s">
        <v>279</v>
      </c>
      <c r="C301" s="348">
        <v>332300.95</v>
      </c>
      <c r="D301" s="348">
        <v>34592.21</v>
      </c>
      <c r="E301" s="348"/>
      <c r="F301" s="348"/>
      <c r="G301" s="348">
        <v>-642.35</v>
      </c>
      <c r="H301" s="348">
        <v>1135.9000000000001</v>
      </c>
      <c r="I301" s="348"/>
      <c r="J301" s="348">
        <v>28952.13</v>
      </c>
      <c r="K301" s="348"/>
      <c r="L301" s="348">
        <v>24160</v>
      </c>
      <c r="M301" s="349">
        <f t="shared" si="13"/>
        <v>420498.84000000008</v>
      </c>
      <c r="N301" s="368">
        <v>28113.25</v>
      </c>
      <c r="O301" s="368">
        <v>132.1</v>
      </c>
      <c r="P301" s="368">
        <v>6140.75</v>
      </c>
      <c r="Q301" s="368"/>
      <c r="R301" s="368">
        <v>10208.35</v>
      </c>
      <c r="S301" s="368"/>
      <c r="T301" s="368"/>
      <c r="U301" s="368">
        <v>2415</v>
      </c>
      <c r="V301" s="368"/>
      <c r="W301" s="368"/>
      <c r="X301" s="349">
        <f t="shared" si="14"/>
        <v>467508.29000000004</v>
      </c>
      <c r="Y301" s="34">
        <v>5600</v>
      </c>
      <c r="Z301" s="353"/>
      <c r="AA301" s="34">
        <v>50199.9</v>
      </c>
      <c r="AB301" s="353"/>
      <c r="AC301" s="34">
        <v>16963.45</v>
      </c>
      <c r="AD301" s="353"/>
      <c r="AE301" s="34"/>
      <c r="AF301" s="353"/>
      <c r="AG301" s="34"/>
      <c r="AH301" s="353"/>
      <c r="AI301" s="34"/>
      <c r="AJ301" s="353"/>
      <c r="AK301" s="34"/>
      <c r="AL301" s="364">
        <f t="shared" si="15"/>
        <v>72763.350000000006</v>
      </c>
      <c r="AM301" s="17">
        <f>VLOOKUP(B301,'[1]2018'!$A$7:$F$349,6,FALSE)</f>
        <v>81</v>
      </c>
      <c r="AN301" s="32">
        <f>VLOOKUP(A301,'[2]2018 (2)'!$B$1:$D$318,3,FALSE)</f>
        <v>196</v>
      </c>
      <c r="AO301" s="15">
        <v>-3483.09</v>
      </c>
      <c r="AP301" s="34"/>
      <c r="AQ301" s="34">
        <v>0</v>
      </c>
      <c r="AR301" s="455">
        <v>1</v>
      </c>
    </row>
    <row r="302" spans="1:44" x14ac:dyDescent="0.25">
      <c r="A302" s="356">
        <v>5924</v>
      </c>
      <c r="B302" s="348" t="s">
        <v>280</v>
      </c>
      <c r="C302" s="348">
        <v>611686.34</v>
      </c>
      <c r="D302" s="348">
        <v>71353.539999999994</v>
      </c>
      <c r="E302" s="348"/>
      <c r="F302" s="348"/>
      <c r="G302" s="348">
        <v>45257.45</v>
      </c>
      <c r="H302" s="348">
        <v>406.65</v>
      </c>
      <c r="I302" s="348"/>
      <c r="J302" s="348">
        <v>6746.31</v>
      </c>
      <c r="K302" s="348"/>
      <c r="L302" s="348">
        <v>49693.599999999999</v>
      </c>
      <c r="M302" s="349">
        <f t="shared" si="13"/>
        <v>785143.89</v>
      </c>
      <c r="N302" s="368">
        <v>39972.85</v>
      </c>
      <c r="O302" s="368"/>
      <c r="P302" s="368">
        <v>19738.7</v>
      </c>
      <c r="Q302" s="368"/>
      <c r="R302" s="368"/>
      <c r="S302" s="368">
        <v>7050.75</v>
      </c>
      <c r="T302" s="368">
        <v>1100</v>
      </c>
      <c r="U302" s="368">
        <v>3144.5</v>
      </c>
      <c r="V302" s="368"/>
      <c r="W302" s="368"/>
      <c r="X302" s="349">
        <f t="shared" si="14"/>
        <v>856150.69</v>
      </c>
      <c r="Y302" s="34"/>
      <c r="Z302" s="353"/>
      <c r="AA302" s="34">
        <v>41706.1</v>
      </c>
      <c r="AB302" s="353"/>
      <c r="AC302" s="34">
        <v>26161.88</v>
      </c>
      <c r="AD302" s="353">
        <v>75975.92</v>
      </c>
      <c r="AE302" s="34"/>
      <c r="AF302" s="353"/>
      <c r="AG302" s="34">
        <v>637.6</v>
      </c>
      <c r="AH302" s="353"/>
      <c r="AI302" s="34"/>
      <c r="AJ302" s="353"/>
      <c r="AK302" s="34"/>
      <c r="AL302" s="364">
        <f t="shared" si="15"/>
        <v>144481.5</v>
      </c>
      <c r="AM302" s="17">
        <f>VLOOKUP(B302,'[1]2018'!$A$7:$F$349,6,FALSE)</f>
        <v>74</v>
      </c>
      <c r="AN302" s="32">
        <f>VLOOKUP(A302,'[2]2018 (2)'!$B$1:$D$318,3,FALSE)</f>
        <v>332</v>
      </c>
      <c r="AO302" s="15">
        <v>-4072.86</v>
      </c>
      <c r="AP302" s="34"/>
      <c r="AQ302" s="34">
        <v>-33.19</v>
      </c>
      <c r="AR302" s="455">
        <v>1</v>
      </c>
    </row>
    <row r="303" spans="1:44" x14ac:dyDescent="0.25">
      <c r="A303" s="356">
        <v>5925</v>
      </c>
      <c r="B303" s="348" t="s">
        <v>404</v>
      </c>
      <c r="C303" s="348">
        <v>355546.72</v>
      </c>
      <c r="D303" s="348">
        <v>53813.120000000003</v>
      </c>
      <c r="E303" s="348"/>
      <c r="F303" s="348">
        <v>1160</v>
      </c>
      <c r="G303" s="348">
        <v>4885.8999999999996</v>
      </c>
      <c r="H303" s="348">
        <v>-0.39999999999999902</v>
      </c>
      <c r="I303" s="348"/>
      <c r="J303" s="348">
        <v>715.55</v>
      </c>
      <c r="K303" s="348"/>
      <c r="L303" s="348">
        <v>30671</v>
      </c>
      <c r="M303" s="349">
        <f t="shared" si="13"/>
        <v>446791.88999999996</v>
      </c>
      <c r="N303" s="368">
        <v>31078.1</v>
      </c>
      <c r="O303" s="368">
        <v>24832.55</v>
      </c>
      <c r="P303" s="368">
        <v>121</v>
      </c>
      <c r="Q303" s="368"/>
      <c r="R303" s="368">
        <v>6772.55</v>
      </c>
      <c r="S303" s="368"/>
      <c r="T303" s="368">
        <v>556.4</v>
      </c>
      <c r="U303" s="368">
        <v>2200</v>
      </c>
      <c r="V303" s="368"/>
      <c r="W303" s="368"/>
      <c r="X303" s="349">
        <f t="shared" si="14"/>
        <v>512352.48999999993</v>
      </c>
      <c r="Y303" s="34"/>
      <c r="Z303" s="353">
        <v>4900</v>
      </c>
      <c r="AA303" s="34">
        <v>37989</v>
      </c>
      <c r="AB303" s="353"/>
      <c r="AC303" s="34">
        <v>13129.6</v>
      </c>
      <c r="AD303" s="353"/>
      <c r="AE303" s="34"/>
      <c r="AF303" s="353"/>
      <c r="AG303" s="34"/>
      <c r="AH303" s="353"/>
      <c r="AI303" s="34"/>
      <c r="AJ303" s="353"/>
      <c r="AK303" s="34"/>
      <c r="AL303" s="364">
        <f t="shared" si="15"/>
        <v>56018.6</v>
      </c>
      <c r="AM303" s="17">
        <f>VLOOKUP(B303,'[1]2018'!$A$7:$F$349,6,FALSE)</f>
        <v>79</v>
      </c>
      <c r="AN303" s="32">
        <f>VLOOKUP(A303,'[2]2018 (2)'!$B$1:$D$318,3,FALSE)</f>
        <v>196</v>
      </c>
      <c r="AO303" s="15">
        <v>-4939.18</v>
      </c>
      <c r="AP303" s="34"/>
      <c r="AQ303" s="34">
        <v>0</v>
      </c>
      <c r="AR303" s="455">
        <v>1</v>
      </c>
    </row>
    <row r="304" spans="1:44" x14ac:dyDescent="0.25">
      <c r="A304" s="356">
        <v>5926</v>
      </c>
      <c r="B304" s="348" t="s">
        <v>405</v>
      </c>
      <c r="C304" s="348">
        <v>1467247.09</v>
      </c>
      <c r="D304" s="348">
        <v>296122.62</v>
      </c>
      <c r="E304" s="348"/>
      <c r="F304" s="348"/>
      <c r="G304" s="348">
        <v>4421.1499999999996</v>
      </c>
      <c r="H304" s="348">
        <v>633.6</v>
      </c>
      <c r="I304" s="348"/>
      <c r="J304" s="348">
        <v>9575.85</v>
      </c>
      <c r="K304" s="348"/>
      <c r="L304" s="348">
        <v>120388.5</v>
      </c>
      <c r="M304" s="349">
        <f t="shared" si="13"/>
        <v>1898388.81</v>
      </c>
      <c r="N304" s="368">
        <v>7673.7</v>
      </c>
      <c r="O304" s="368">
        <v>5601.9</v>
      </c>
      <c r="P304" s="368">
        <v>21082.85</v>
      </c>
      <c r="Q304" s="368"/>
      <c r="R304" s="368">
        <v>25344.85</v>
      </c>
      <c r="S304" s="368"/>
      <c r="T304" s="368">
        <v>800</v>
      </c>
      <c r="U304" s="368">
        <v>4000</v>
      </c>
      <c r="V304" s="368"/>
      <c r="W304" s="368">
        <v>297</v>
      </c>
      <c r="X304" s="349">
        <f t="shared" si="14"/>
        <v>1963189.11</v>
      </c>
      <c r="Y304" s="34">
        <v>-12091</v>
      </c>
      <c r="Z304" s="353"/>
      <c r="AA304" s="34">
        <v>50271.95</v>
      </c>
      <c r="AB304" s="353"/>
      <c r="AC304" s="34">
        <v>27665.7</v>
      </c>
      <c r="AD304" s="353">
        <v>-12791</v>
      </c>
      <c r="AE304" s="34">
        <v>5668.75</v>
      </c>
      <c r="AF304" s="353"/>
      <c r="AG304" s="34">
        <v>2806.75</v>
      </c>
      <c r="AH304" s="353"/>
      <c r="AI304" s="34"/>
      <c r="AJ304" s="353"/>
      <c r="AK304" s="34"/>
      <c r="AL304" s="364">
        <f t="shared" si="15"/>
        <v>61531.149999999994</v>
      </c>
      <c r="AM304" s="17">
        <f>VLOOKUP(B304,'[1]2018'!$A$7:$F$349,6,FALSE)</f>
        <v>71</v>
      </c>
      <c r="AN304" s="32">
        <f>VLOOKUP(A304,'[2]2018 (2)'!$B$1:$D$318,3,FALSE)</f>
        <v>780</v>
      </c>
      <c r="AO304" s="15">
        <v>-8745.7099999999991</v>
      </c>
      <c r="AP304" s="34"/>
      <c r="AQ304" s="34">
        <v>-189.99</v>
      </c>
      <c r="AR304" s="455">
        <v>1</v>
      </c>
    </row>
    <row r="305" spans="1:44" x14ac:dyDescent="0.25">
      <c r="A305" s="356">
        <v>5928</v>
      </c>
      <c r="B305" s="348" t="s">
        <v>406</v>
      </c>
      <c r="C305" s="348">
        <v>260597.15</v>
      </c>
      <c r="D305" s="348">
        <v>38901.64</v>
      </c>
      <c r="E305" s="348"/>
      <c r="F305" s="348"/>
      <c r="G305" s="348">
        <v>375</v>
      </c>
      <c r="H305" s="348">
        <v>57.65</v>
      </c>
      <c r="I305" s="348"/>
      <c r="J305" s="348">
        <v>236.96</v>
      </c>
      <c r="K305" s="348"/>
      <c r="L305" s="348">
        <v>20913.400000000001</v>
      </c>
      <c r="M305" s="349">
        <f t="shared" si="13"/>
        <v>321081.80000000005</v>
      </c>
      <c r="N305" s="368">
        <v>3919.1</v>
      </c>
      <c r="O305" s="368">
        <v>21366.400000000001</v>
      </c>
      <c r="P305" s="368">
        <v>880</v>
      </c>
      <c r="Q305" s="368"/>
      <c r="R305" s="368">
        <v>3881.3</v>
      </c>
      <c r="S305" s="368"/>
      <c r="T305" s="368"/>
      <c r="U305" s="368">
        <v>1530</v>
      </c>
      <c r="V305" s="368"/>
      <c r="W305" s="368"/>
      <c r="X305" s="349">
        <f t="shared" si="14"/>
        <v>352658.60000000003</v>
      </c>
      <c r="Y305" s="34"/>
      <c r="Z305" s="353">
        <v>2000</v>
      </c>
      <c r="AA305" s="34">
        <v>31716.7</v>
      </c>
      <c r="AB305" s="353"/>
      <c r="AC305" s="34">
        <v>8290.2000000000007</v>
      </c>
      <c r="AD305" s="353"/>
      <c r="AE305" s="34">
        <v>1000</v>
      </c>
      <c r="AF305" s="353"/>
      <c r="AG305" s="34"/>
      <c r="AH305" s="353"/>
      <c r="AI305" s="34"/>
      <c r="AJ305" s="353"/>
      <c r="AK305" s="34"/>
      <c r="AL305" s="364">
        <f t="shared" si="15"/>
        <v>43006.899999999994</v>
      </c>
      <c r="AM305" s="17">
        <f>VLOOKUP(B305,'[1]2018'!$A$7:$F$349,6,FALSE)</f>
        <v>73</v>
      </c>
      <c r="AN305" s="32">
        <f>VLOOKUP(A305,'[2]2018 (2)'!$B$1:$D$318,3,FALSE)</f>
        <v>180</v>
      </c>
      <c r="AO305" s="15">
        <v>-4699.6099999999997</v>
      </c>
      <c r="AP305" s="34"/>
      <c r="AQ305" s="34">
        <v>-0.33</v>
      </c>
      <c r="AR305" s="455">
        <v>1</v>
      </c>
    </row>
    <row r="306" spans="1:44" x14ac:dyDescent="0.25">
      <c r="A306" s="356">
        <v>5929</v>
      </c>
      <c r="B306" s="348" t="s">
        <v>407</v>
      </c>
      <c r="C306" s="348">
        <v>939461.06</v>
      </c>
      <c r="D306" s="348">
        <v>121380.19</v>
      </c>
      <c r="E306" s="348"/>
      <c r="F306" s="348"/>
      <c r="G306" s="348">
        <v>5632.2</v>
      </c>
      <c r="H306" s="348">
        <v>654</v>
      </c>
      <c r="I306" s="348">
        <v>41100.15</v>
      </c>
      <c r="J306" s="348">
        <v>10957.02</v>
      </c>
      <c r="K306" s="348"/>
      <c r="L306" s="348">
        <v>84295.05</v>
      </c>
      <c r="M306" s="349">
        <f t="shared" si="13"/>
        <v>1203479.67</v>
      </c>
      <c r="N306" s="368">
        <v>3741.4</v>
      </c>
      <c r="O306" s="368">
        <v>11616</v>
      </c>
      <c r="P306" s="368">
        <v>45410.8</v>
      </c>
      <c r="Q306" s="368">
        <v>91.08</v>
      </c>
      <c r="R306" s="368">
        <v>38356.050000000003</v>
      </c>
      <c r="S306" s="368">
        <v>150</v>
      </c>
      <c r="T306" s="368">
        <v>226.6</v>
      </c>
      <c r="U306" s="368">
        <v>1650</v>
      </c>
      <c r="V306" s="368"/>
      <c r="W306" s="368"/>
      <c r="X306" s="349">
        <f t="shared" si="14"/>
        <v>1304721.6000000001</v>
      </c>
      <c r="Y306" s="34">
        <v>14523.9</v>
      </c>
      <c r="Z306" s="353"/>
      <c r="AA306" s="34">
        <v>221653</v>
      </c>
      <c r="AB306" s="353"/>
      <c r="AC306" s="34">
        <v>41934.9</v>
      </c>
      <c r="AD306" s="353"/>
      <c r="AE306" s="34"/>
      <c r="AF306" s="353"/>
      <c r="AG306" s="34"/>
      <c r="AH306" s="353">
        <v>11657.55</v>
      </c>
      <c r="AI306" s="34"/>
      <c r="AJ306" s="353"/>
      <c r="AK306" s="34"/>
      <c r="AL306" s="364">
        <f t="shared" si="15"/>
        <v>289769.34999999998</v>
      </c>
      <c r="AM306" s="17">
        <f>VLOOKUP(B306,'[1]2018'!$A$7:$F$349,6,FALSE)</f>
        <v>70</v>
      </c>
      <c r="AN306" s="32">
        <f>VLOOKUP(A306,'[2]2018 (2)'!$B$1:$D$318,3,FALSE)</f>
        <v>599</v>
      </c>
      <c r="AO306" s="15">
        <v>-24213.96</v>
      </c>
      <c r="AP306" s="34"/>
      <c r="AQ306" s="34">
        <v>-15.07</v>
      </c>
      <c r="AR306" s="455">
        <v>0.8</v>
      </c>
    </row>
    <row r="307" spans="1:44" x14ac:dyDescent="0.25">
      <c r="A307" s="356">
        <v>5930</v>
      </c>
      <c r="B307" s="348" t="s">
        <v>408</v>
      </c>
      <c r="C307" s="348">
        <v>344418.59</v>
      </c>
      <c r="D307" s="348">
        <v>39905.56</v>
      </c>
      <c r="E307" s="348"/>
      <c r="F307" s="348"/>
      <c r="G307" s="348">
        <v>9504.7000000000007</v>
      </c>
      <c r="H307" s="348">
        <v>-13.55</v>
      </c>
      <c r="I307" s="348"/>
      <c r="J307" s="348">
        <v>4218.47</v>
      </c>
      <c r="K307" s="348">
        <v>228.6</v>
      </c>
      <c r="L307" s="348">
        <v>27268.400000000001</v>
      </c>
      <c r="M307" s="349">
        <f t="shared" si="13"/>
        <v>425530.77</v>
      </c>
      <c r="N307" s="368">
        <v>7063.35</v>
      </c>
      <c r="O307" s="368"/>
      <c r="P307" s="368">
        <v>28454.1</v>
      </c>
      <c r="Q307" s="368"/>
      <c r="R307" s="368">
        <v>28608.799999999999</v>
      </c>
      <c r="S307" s="368"/>
      <c r="T307" s="368">
        <v>50</v>
      </c>
      <c r="U307" s="368">
        <v>540</v>
      </c>
      <c r="V307" s="368"/>
      <c r="W307" s="368">
        <v>1120</v>
      </c>
      <c r="X307" s="349">
        <f t="shared" si="14"/>
        <v>491367.01999999996</v>
      </c>
      <c r="Y307" s="34"/>
      <c r="Z307" s="353"/>
      <c r="AA307" s="34">
        <v>17929.150000000001</v>
      </c>
      <c r="AB307" s="353"/>
      <c r="AC307" s="34">
        <v>7999.95</v>
      </c>
      <c r="AD307" s="353">
        <v>-1068.8</v>
      </c>
      <c r="AE307" s="34"/>
      <c r="AF307" s="353"/>
      <c r="AG307" s="34"/>
      <c r="AH307" s="353"/>
      <c r="AI307" s="34"/>
      <c r="AJ307" s="353"/>
      <c r="AK307" s="34"/>
      <c r="AL307" s="364">
        <f t="shared" si="15"/>
        <v>24860.300000000003</v>
      </c>
      <c r="AM307" s="17">
        <f>VLOOKUP(B307,'[1]2018'!$A$7:$F$349,6,FALSE)</f>
        <v>72</v>
      </c>
      <c r="AN307" s="32">
        <f>VLOOKUP(A307,'[2]2018 (2)'!$B$1:$D$318,3,FALSE)</f>
        <v>213</v>
      </c>
      <c r="AO307" s="15">
        <v>-214.06</v>
      </c>
      <c r="AP307" s="34"/>
      <c r="AQ307" s="34">
        <v>0</v>
      </c>
      <c r="AR307" s="455">
        <v>1</v>
      </c>
    </row>
    <row r="308" spans="1:44" x14ac:dyDescent="0.25">
      <c r="A308" s="356">
        <v>5931</v>
      </c>
      <c r="B308" s="348" t="s">
        <v>409</v>
      </c>
      <c r="C308" s="348">
        <v>800571.13</v>
      </c>
      <c r="D308" s="348">
        <v>96395.9</v>
      </c>
      <c r="E308" s="348"/>
      <c r="F308" s="348"/>
      <c r="G308" s="348">
        <v>1103.8</v>
      </c>
      <c r="H308" s="348">
        <v>389.15</v>
      </c>
      <c r="I308" s="348"/>
      <c r="J308" s="348">
        <v>11564.76</v>
      </c>
      <c r="K308" s="348">
        <v>781.4</v>
      </c>
      <c r="L308" s="348">
        <v>71864</v>
      </c>
      <c r="M308" s="349">
        <f t="shared" si="13"/>
        <v>982670.14000000013</v>
      </c>
      <c r="N308" s="368">
        <v>7347.25</v>
      </c>
      <c r="O308" s="368">
        <v>7000</v>
      </c>
      <c r="P308" s="368">
        <v>29945.45</v>
      </c>
      <c r="Q308" s="368">
        <v>-680.68</v>
      </c>
      <c r="R308" s="368">
        <v>27689.9</v>
      </c>
      <c r="S308" s="368"/>
      <c r="T308" s="368">
        <v>300</v>
      </c>
      <c r="U308" s="368">
        <v>3250</v>
      </c>
      <c r="V308" s="368"/>
      <c r="W308" s="368"/>
      <c r="X308" s="349">
        <f t="shared" si="14"/>
        <v>1057522.06</v>
      </c>
      <c r="Y308" s="34">
        <v>16000</v>
      </c>
      <c r="Z308" s="353"/>
      <c r="AA308" s="34">
        <v>72255.100000000006</v>
      </c>
      <c r="AB308" s="353"/>
      <c r="AC308" s="34">
        <v>38772.25</v>
      </c>
      <c r="AD308" s="353">
        <v>14028</v>
      </c>
      <c r="AE308" s="34"/>
      <c r="AF308" s="353"/>
      <c r="AG308" s="34">
        <v>150</v>
      </c>
      <c r="AH308" s="353">
        <v>14768.25</v>
      </c>
      <c r="AI308" s="34"/>
      <c r="AJ308" s="353"/>
      <c r="AK308" s="34"/>
      <c r="AL308" s="364">
        <f t="shared" si="15"/>
        <v>155973.6</v>
      </c>
      <c r="AM308" s="17">
        <f>VLOOKUP(B308,'[1]2018'!$A$7:$F$349,6,FALSE)</f>
        <v>75</v>
      </c>
      <c r="AN308" s="32">
        <f>VLOOKUP(A308,'[2]2018 (2)'!$B$1:$D$318,3,FALSE)</f>
        <v>480</v>
      </c>
      <c r="AO308" s="15">
        <v>-9008.5300000000007</v>
      </c>
      <c r="AP308" s="34"/>
      <c r="AQ308" s="34">
        <v>-1.37</v>
      </c>
      <c r="AR308" s="455">
        <v>1</v>
      </c>
    </row>
    <row r="309" spans="1:44" x14ac:dyDescent="0.25">
      <c r="A309" s="356">
        <v>5932</v>
      </c>
      <c r="B309" s="348" t="s">
        <v>281</v>
      </c>
      <c r="C309" s="348">
        <v>447184.94</v>
      </c>
      <c r="D309" s="348">
        <v>49983.47</v>
      </c>
      <c r="E309" s="348"/>
      <c r="F309" s="348">
        <v>1180</v>
      </c>
      <c r="G309" s="348">
        <v>23.5</v>
      </c>
      <c r="H309" s="348">
        <v>174.75</v>
      </c>
      <c r="I309" s="348">
        <v>30322.15</v>
      </c>
      <c r="J309" s="348">
        <v>3399.58</v>
      </c>
      <c r="K309" s="348">
        <v>131.5</v>
      </c>
      <c r="L309" s="348">
        <v>30170.7</v>
      </c>
      <c r="M309" s="349">
        <f t="shared" si="13"/>
        <v>562570.59</v>
      </c>
      <c r="N309" s="368"/>
      <c r="O309" s="368">
        <v>767</v>
      </c>
      <c r="P309" s="368">
        <v>4180</v>
      </c>
      <c r="Q309" s="368"/>
      <c r="R309" s="368">
        <v>42340.800000000003</v>
      </c>
      <c r="S309" s="368"/>
      <c r="T309" s="368">
        <v>820</v>
      </c>
      <c r="U309" s="368">
        <v>1000</v>
      </c>
      <c r="V309" s="368"/>
      <c r="W309" s="368"/>
      <c r="X309" s="349">
        <f t="shared" si="14"/>
        <v>611678.39</v>
      </c>
      <c r="Y309" s="34">
        <v>7875</v>
      </c>
      <c r="Z309" s="34" t="s">
        <v>649</v>
      </c>
      <c r="AA309" s="34">
        <v>14310.05</v>
      </c>
      <c r="AB309" s="34" t="s">
        <v>649</v>
      </c>
      <c r="AC309" s="34">
        <v>9858.9500000000007</v>
      </c>
      <c r="AD309" s="34">
        <v>6843.75</v>
      </c>
      <c r="AE309" s="34" t="s">
        <v>649</v>
      </c>
      <c r="AF309" s="34" t="s">
        <v>649</v>
      </c>
      <c r="AG309" s="34" t="s">
        <v>649</v>
      </c>
      <c r="AH309" s="34"/>
      <c r="AI309" s="34"/>
      <c r="AJ309" s="34"/>
      <c r="AK309" s="34"/>
      <c r="AL309" s="364">
        <f t="shared" si="15"/>
        <v>38887.75</v>
      </c>
      <c r="AM309" s="17">
        <f>VLOOKUP(B309,'[1]2018'!$A$7:$F$349,6,FALSE)</f>
        <v>77</v>
      </c>
      <c r="AN309" s="32">
        <f>VLOOKUP(A309,'[2]2018 (2)'!$B$1:$D$318,3,FALSE)</f>
        <v>230</v>
      </c>
      <c r="AO309" s="15">
        <v>-17045.36</v>
      </c>
      <c r="AP309" s="34">
        <v>-30909.35</v>
      </c>
      <c r="AQ309" s="34">
        <v>0</v>
      </c>
      <c r="AR309" s="455">
        <v>1</v>
      </c>
    </row>
    <row r="310" spans="1:44" x14ac:dyDescent="0.25">
      <c r="A310" s="356">
        <v>5933</v>
      </c>
      <c r="B310" s="348" t="s">
        <v>402</v>
      </c>
      <c r="C310" s="348">
        <v>1399894.53</v>
      </c>
      <c r="D310" s="348">
        <v>182244.71</v>
      </c>
      <c r="E310" s="348"/>
      <c r="F310" s="348"/>
      <c r="G310" s="348">
        <v>-34933.599999999999</v>
      </c>
      <c r="H310" s="348">
        <v>235.6</v>
      </c>
      <c r="I310" s="348"/>
      <c r="J310" s="348">
        <v>31328.9</v>
      </c>
      <c r="K310" s="348">
        <v>2863.55</v>
      </c>
      <c r="L310" s="348">
        <v>115047.15</v>
      </c>
      <c r="M310" s="349">
        <f t="shared" si="13"/>
        <v>1696680.8399999999</v>
      </c>
      <c r="N310" s="368">
        <v>11134.15</v>
      </c>
      <c r="O310" s="368"/>
      <c r="P310" s="368">
        <v>27236.15</v>
      </c>
      <c r="Q310" s="368">
        <v>775.47</v>
      </c>
      <c r="R310" s="368">
        <v>59797.05</v>
      </c>
      <c r="S310" s="368"/>
      <c r="T310" s="368">
        <v>1876.55</v>
      </c>
      <c r="U310" s="368">
        <v>4000</v>
      </c>
      <c r="V310" s="368"/>
      <c r="W310" s="368"/>
      <c r="X310" s="349">
        <f t="shared" si="14"/>
        <v>1801500.2099999997</v>
      </c>
      <c r="Y310" s="34">
        <v>9499</v>
      </c>
      <c r="Z310" s="353"/>
      <c r="AA310" s="34">
        <v>76606.600000000006</v>
      </c>
      <c r="AB310" s="353"/>
      <c r="AC310" s="34">
        <v>32637.25</v>
      </c>
      <c r="AD310" s="353">
        <v>5064.3</v>
      </c>
      <c r="AE310" s="34"/>
      <c r="AF310" s="353"/>
      <c r="AG310" s="34"/>
      <c r="AH310" s="353"/>
      <c r="AI310" s="34"/>
      <c r="AJ310" s="353"/>
      <c r="AK310" s="34"/>
      <c r="AL310" s="364">
        <f t="shared" si="15"/>
        <v>123807.15000000001</v>
      </c>
      <c r="AM310" s="17">
        <f>VLOOKUP(B310,'[1]2018'!$A$7:$F$349,6,FALSE)</f>
        <v>72</v>
      </c>
      <c r="AN310" s="32">
        <f>VLOOKUP(A310,'[2]2018 (2)'!$B$1:$D$318,3,FALSE)</f>
        <v>708</v>
      </c>
      <c r="AO310" s="15">
        <v>-32696.55</v>
      </c>
      <c r="AP310" s="34">
        <v>-54537.4</v>
      </c>
      <c r="AQ310" s="34">
        <v>-23.61</v>
      </c>
      <c r="AR310" s="455">
        <v>1</v>
      </c>
    </row>
    <row r="311" spans="1:44" x14ac:dyDescent="0.25">
      <c r="A311" s="356">
        <v>5934</v>
      </c>
      <c r="B311" s="348" t="s">
        <v>403</v>
      </c>
      <c r="C311" s="348">
        <v>490608.19</v>
      </c>
      <c r="D311" s="348">
        <v>47699.7</v>
      </c>
      <c r="E311" s="348"/>
      <c r="F311" s="348">
        <v>1360</v>
      </c>
      <c r="G311" s="348">
        <v>-2395.5500000000002</v>
      </c>
      <c r="H311" s="348">
        <v>29.85</v>
      </c>
      <c r="I311" s="348"/>
      <c r="J311" s="348">
        <v>40631</v>
      </c>
      <c r="K311" s="348"/>
      <c r="L311" s="348">
        <v>27719.3</v>
      </c>
      <c r="M311" s="349">
        <f t="shared" si="13"/>
        <v>605652.49</v>
      </c>
      <c r="N311" s="368">
        <v>4685</v>
      </c>
      <c r="O311" s="368"/>
      <c r="P311" s="368"/>
      <c r="Q311" s="368"/>
      <c r="R311" s="368"/>
      <c r="S311" s="368"/>
      <c r="T311" s="368"/>
      <c r="U311" s="368">
        <v>780</v>
      </c>
      <c r="V311" s="368"/>
      <c r="W311" s="368"/>
      <c r="X311" s="349">
        <f t="shared" si="14"/>
        <v>611117.49</v>
      </c>
      <c r="Y311" s="34">
        <v>7000</v>
      </c>
      <c r="Z311" s="34" t="s">
        <v>649</v>
      </c>
      <c r="AA311" s="34">
        <v>29237.5</v>
      </c>
      <c r="AB311" s="34" t="s">
        <v>649</v>
      </c>
      <c r="AC311" s="34">
        <v>11105</v>
      </c>
      <c r="AD311" s="34">
        <v>3420.7</v>
      </c>
      <c r="AE311" s="34" t="s">
        <v>649</v>
      </c>
      <c r="AF311" s="34" t="s">
        <v>649</v>
      </c>
      <c r="AG311" s="34" t="s">
        <v>649</v>
      </c>
      <c r="AH311" s="34"/>
      <c r="AI311" s="34"/>
      <c r="AJ311" s="34"/>
      <c r="AK311" s="34"/>
      <c r="AL311" s="364">
        <f t="shared" si="15"/>
        <v>50763.199999999997</v>
      </c>
      <c r="AM311" s="17">
        <f>VLOOKUP(B311,'[1]2018'!$A$7:$F$349,6,FALSE)</f>
        <v>79</v>
      </c>
      <c r="AN311" s="32">
        <f>VLOOKUP(A311,'[2]2018 (2)'!$B$1:$D$318,3,FALSE)</f>
        <v>232</v>
      </c>
      <c r="AO311" s="15">
        <v>-1824.64</v>
      </c>
      <c r="AP311" s="34">
        <v>-1455.55</v>
      </c>
      <c r="AQ311" s="34">
        <v>0</v>
      </c>
      <c r="AR311" s="455">
        <v>1</v>
      </c>
    </row>
    <row r="312" spans="1:44" x14ac:dyDescent="0.25">
      <c r="A312" s="356">
        <v>5935</v>
      </c>
      <c r="B312" s="348" t="s">
        <v>305</v>
      </c>
      <c r="C312" s="348">
        <v>287908.19</v>
      </c>
      <c r="D312" s="348">
        <v>27931.84</v>
      </c>
      <c r="E312" s="348"/>
      <c r="F312" s="348"/>
      <c r="G312" s="348">
        <v>1619.25</v>
      </c>
      <c r="H312" s="348">
        <v>19</v>
      </c>
      <c r="I312" s="348"/>
      <c r="J312" s="348">
        <v>52.62</v>
      </c>
      <c r="K312" s="348"/>
      <c r="L312" s="348">
        <v>18717.95</v>
      </c>
      <c r="M312" s="349">
        <f t="shared" si="13"/>
        <v>336248.85000000003</v>
      </c>
      <c r="N312" s="368"/>
      <c r="O312" s="368"/>
      <c r="P312" s="368">
        <v>3047</v>
      </c>
      <c r="Q312" s="368"/>
      <c r="R312" s="368">
        <v>10429.1</v>
      </c>
      <c r="S312" s="368"/>
      <c r="T312" s="368"/>
      <c r="U312" s="368">
        <v>120</v>
      </c>
      <c r="V312" s="368"/>
      <c r="W312" s="368"/>
      <c r="X312" s="349">
        <f t="shared" si="14"/>
        <v>349844.95</v>
      </c>
      <c r="Y312" s="34">
        <v>13320</v>
      </c>
      <c r="Z312" s="353"/>
      <c r="AA312" s="34">
        <v>6156</v>
      </c>
      <c r="AB312" s="353"/>
      <c r="AC312" s="34">
        <v>7022</v>
      </c>
      <c r="AD312" s="353">
        <v>12146</v>
      </c>
      <c r="AE312" s="34"/>
      <c r="AF312" s="353"/>
      <c r="AG312" s="34"/>
      <c r="AH312" s="353"/>
      <c r="AI312" s="34"/>
      <c r="AJ312" s="353"/>
      <c r="AK312" s="34"/>
      <c r="AL312" s="364">
        <f t="shared" si="15"/>
        <v>38644</v>
      </c>
      <c r="AM312" s="17">
        <f>VLOOKUP(B312,'[1]2018'!$A$7:$F$349,6,FALSE)</f>
        <v>60</v>
      </c>
      <c r="AN312" s="32">
        <f>VLOOKUP(A312,'[2]2018 (2)'!$B$1:$D$318,3,FALSE)</f>
        <v>100</v>
      </c>
      <c r="AO312" s="15">
        <v>-28.89</v>
      </c>
      <c r="AP312" s="34"/>
      <c r="AQ312" s="34">
        <v>0</v>
      </c>
      <c r="AR312" s="455">
        <v>1</v>
      </c>
    </row>
    <row r="313" spans="1:44" x14ac:dyDescent="0.25">
      <c r="A313" s="356">
        <v>5937</v>
      </c>
      <c r="B313" s="348" t="s">
        <v>282</v>
      </c>
      <c r="C313" s="348">
        <v>146531.68</v>
      </c>
      <c r="D313" s="348">
        <v>10680.1</v>
      </c>
      <c r="E313" s="348"/>
      <c r="F313" s="348"/>
      <c r="G313" s="348">
        <v>4530.3</v>
      </c>
      <c r="H313" s="348">
        <v>-6.9</v>
      </c>
      <c r="I313" s="348"/>
      <c r="J313" s="348">
        <v>1368.2</v>
      </c>
      <c r="K313" s="348"/>
      <c r="L313" s="348">
        <v>10726.4</v>
      </c>
      <c r="M313" s="349">
        <f t="shared" si="13"/>
        <v>173829.78</v>
      </c>
      <c r="N313" s="368"/>
      <c r="O313" s="368"/>
      <c r="P313" s="368">
        <v>15928</v>
      </c>
      <c r="Q313" s="368"/>
      <c r="R313" s="368">
        <v>2625</v>
      </c>
      <c r="S313" s="368"/>
      <c r="T313" s="368"/>
      <c r="U313" s="368">
        <v>1000</v>
      </c>
      <c r="V313" s="368"/>
      <c r="W313" s="368"/>
      <c r="X313" s="349">
        <f t="shared" si="14"/>
        <v>193382.78</v>
      </c>
      <c r="Y313" s="34">
        <v>6000</v>
      </c>
      <c r="Z313" s="353"/>
      <c r="AA313" s="34">
        <v>13599</v>
      </c>
      <c r="AB313" s="353"/>
      <c r="AC313" s="34">
        <v>5046</v>
      </c>
      <c r="AD313" s="353">
        <v>1833.2</v>
      </c>
      <c r="AE313" s="34"/>
      <c r="AF313" s="353"/>
      <c r="AG313" s="34">
        <v>142</v>
      </c>
      <c r="AH313" s="353"/>
      <c r="AI313" s="34"/>
      <c r="AJ313" s="353"/>
      <c r="AK313" s="34"/>
      <c r="AL313" s="364">
        <f t="shared" si="15"/>
        <v>26620.2</v>
      </c>
      <c r="AM313" s="17">
        <f>VLOOKUP(B313,'[1]2018'!$A$7:$F$349,6,FALSE)</f>
        <v>70</v>
      </c>
      <c r="AN313" s="32">
        <f>VLOOKUP(A313,'[2]2018 (2)'!$B$1:$D$318,3,FALSE)</f>
        <v>132</v>
      </c>
      <c r="AO313" s="15">
        <v>-8099.53</v>
      </c>
      <c r="AP313" s="34"/>
      <c r="AQ313" s="34">
        <v>-2.34</v>
      </c>
      <c r="AR313" s="455">
        <v>0.7</v>
      </c>
    </row>
    <row r="314" spans="1:44" x14ac:dyDescent="0.25">
      <c r="A314" s="356">
        <v>5938</v>
      </c>
      <c r="B314" s="348" t="s">
        <v>155</v>
      </c>
      <c r="C314" s="348">
        <v>43730384.280000001</v>
      </c>
      <c r="D314" s="348">
        <v>4600362.18</v>
      </c>
      <c r="E314" s="348"/>
      <c r="F314" s="348"/>
      <c r="G314" s="348">
        <v>5451905.6500000004</v>
      </c>
      <c r="H314" s="348">
        <v>370324.55</v>
      </c>
      <c r="I314" s="348">
        <v>30574.76</v>
      </c>
      <c r="J314" s="348">
        <v>1721060.09</v>
      </c>
      <c r="K314" s="348">
        <v>718416.2</v>
      </c>
      <c r="L314" s="348">
        <v>4046037.5</v>
      </c>
      <c r="M314" s="349">
        <f t="shared" si="13"/>
        <v>60669065.210000001</v>
      </c>
      <c r="N314" s="368">
        <v>3860310.2</v>
      </c>
      <c r="O314" s="368">
        <v>1472711.3</v>
      </c>
      <c r="P314" s="368">
        <v>1608559.4</v>
      </c>
      <c r="Q314" s="368">
        <v>317811.61</v>
      </c>
      <c r="R314" s="368">
        <v>1777261.3</v>
      </c>
      <c r="S314" s="368"/>
      <c r="T314" s="368"/>
      <c r="U314" s="368">
        <v>57925</v>
      </c>
      <c r="V314" s="368"/>
      <c r="W314" s="368"/>
      <c r="X314" s="349">
        <f t="shared" si="14"/>
        <v>69763644.019999996</v>
      </c>
      <c r="Y314" s="34">
        <v>261929</v>
      </c>
      <c r="Z314" s="353"/>
      <c r="AA314" s="34">
        <v>4829580</v>
      </c>
      <c r="AB314" s="353">
        <v>1263749</v>
      </c>
      <c r="AC314" s="34">
        <v>2582281</v>
      </c>
      <c r="AD314" s="353">
        <v>297890</v>
      </c>
      <c r="AE314" s="34"/>
      <c r="AF314" s="353"/>
      <c r="AG314" s="34">
        <v>228082</v>
      </c>
      <c r="AH314" s="353">
        <v>856201</v>
      </c>
      <c r="AI314" s="34">
        <v>795036</v>
      </c>
      <c r="AJ314" s="353">
        <v>733879</v>
      </c>
      <c r="AK314" s="34"/>
      <c r="AL314" s="364">
        <f t="shared" si="15"/>
        <v>11848627</v>
      </c>
      <c r="AM314" s="17">
        <f>VLOOKUP(B314,'[1]2018'!$A$7:$F$349,6,FALSE)</f>
        <v>76.5</v>
      </c>
      <c r="AN314" s="32">
        <f>VLOOKUP(A314,'[2]2018 (2)'!$B$1:$D$318,3,FALSE)</f>
        <v>30211</v>
      </c>
      <c r="AO314" s="15">
        <v>-1649201.82</v>
      </c>
      <c r="AP314" s="34"/>
      <c r="AQ314" s="34">
        <v>-76269.289999999994</v>
      </c>
      <c r="AR314" s="455">
        <v>1</v>
      </c>
    </row>
    <row r="315" spans="1:44" x14ac:dyDescent="0.25">
      <c r="A315" s="356">
        <v>5939</v>
      </c>
      <c r="B315" s="348" t="s">
        <v>154</v>
      </c>
      <c r="C315" s="348">
        <v>5410587.2000000002</v>
      </c>
      <c r="D315" s="348">
        <v>577931.42000000004</v>
      </c>
      <c r="E315" s="348"/>
      <c r="F315" s="348"/>
      <c r="G315" s="348">
        <v>289469.45</v>
      </c>
      <c r="H315" s="348">
        <v>1842.8</v>
      </c>
      <c r="I315" s="348"/>
      <c r="J315" s="348">
        <v>89176.97</v>
      </c>
      <c r="K315" s="348">
        <v>34212.25</v>
      </c>
      <c r="L315" s="348">
        <v>524450</v>
      </c>
      <c r="M315" s="349">
        <f t="shared" si="13"/>
        <v>6927670.0899999999</v>
      </c>
      <c r="N315" s="368">
        <v>112928.8</v>
      </c>
      <c r="O315" s="368">
        <v>79474.7</v>
      </c>
      <c r="P315" s="368">
        <v>400601.45</v>
      </c>
      <c r="Q315" s="368">
        <v>14034.57</v>
      </c>
      <c r="R315" s="368">
        <v>152893.35</v>
      </c>
      <c r="S315" s="368">
        <v>27639</v>
      </c>
      <c r="T315" s="368"/>
      <c r="U315" s="368">
        <v>22767</v>
      </c>
      <c r="V315" s="368">
        <v>41</v>
      </c>
      <c r="W315" s="368">
        <v>1187</v>
      </c>
      <c r="X315" s="349">
        <f t="shared" si="14"/>
        <v>7739236.96</v>
      </c>
      <c r="Y315" s="93">
        <v>41328</v>
      </c>
      <c r="Z315" s="353"/>
      <c r="AA315" s="93">
        <v>704041.3</v>
      </c>
      <c r="AB315" s="353"/>
      <c r="AC315" s="93">
        <v>240787.3</v>
      </c>
      <c r="AD315" s="353">
        <v>100784</v>
      </c>
      <c r="AE315" s="93"/>
      <c r="AF315" s="353"/>
      <c r="AG315" s="93">
        <v>16387.599999999999</v>
      </c>
      <c r="AH315" s="353"/>
      <c r="AI315" s="93"/>
      <c r="AJ315" s="353"/>
      <c r="AK315" s="93"/>
      <c r="AL315" s="364">
        <f t="shared" si="15"/>
        <v>1103328.2000000002</v>
      </c>
      <c r="AM315" s="366">
        <f>VLOOKUP(B315,'[1]2018'!$A$7:$F$349,6,FALSE)</f>
        <v>73</v>
      </c>
      <c r="AN315" s="112">
        <f>VLOOKUP(A315,'[2]2018 (2)'!$B$1:$D$318,3,FALSE)</f>
        <v>3426</v>
      </c>
      <c r="AO315" s="15">
        <v>-92649.7</v>
      </c>
      <c r="AP315" s="34"/>
      <c r="AQ315" s="34">
        <v>-104.93</v>
      </c>
      <c r="AR315" s="456">
        <v>1</v>
      </c>
    </row>
    <row r="316" spans="1:44" x14ac:dyDescent="0.25">
      <c r="A316" s="358"/>
      <c r="B316" s="449">
        <f>COUNTA(B7:B315)</f>
        <v>309</v>
      </c>
      <c r="C316" s="20">
        <f t="shared" ref="C316:AK316" si="16">SUM(C7:C315)</f>
        <v>1641190429.7099996</v>
      </c>
      <c r="D316" s="20">
        <f t="shared" si="16"/>
        <v>302114432.52999985</v>
      </c>
      <c r="E316" s="20">
        <f t="shared" si="16"/>
        <v>0</v>
      </c>
      <c r="F316" s="20">
        <f t="shared" si="16"/>
        <v>113954.35</v>
      </c>
      <c r="G316" s="20">
        <f t="shared" si="16"/>
        <v>262988363.43999985</v>
      </c>
      <c r="H316" s="20">
        <f t="shared" si="16"/>
        <v>43193138.260000013</v>
      </c>
      <c r="I316" s="20">
        <f t="shared" si="16"/>
        <v>43289261.170000002</v>
      </c>
      <c r="J316" s="20">
        <f t="shared" si="16"/>
        <v>75920937.889999956</v>
      </c>
      <c r="K316" s="20">
        <f t="shared" si="16"/>
        <v>18632524.499999996</v>
      </c>
      <c r="L316" s="20">
        <f t="shared" si="16"/>
        <v>197113719.55999988</v>
      </c>
      <c r="M316" s="352">
        <f t="shared" si="16"/>
        <v>2584556761.4100003</v>
      </c>
      <c r="N316" s="20">
        <f t="shared" si="16"/>
        <v>73716777.449999958</v>
      </c>
      <c r="O316" s="20">
        <f t="shared" si="16"/>
        <v>98295127.800000012</v>
      </c>
      <c r="P316" s="20">
        <f t="shared" si="16"/>
        <v>96170526.899999931</v>
      </c>
      <c r="Q316" s="20">
        <f t="shared" si="16"/>
        <v>9084682.6599999983</v>
      </c>
      <c r="R316" s="20">
        <f t="shared" si="16"/>
        <v>67235428.389999971</v>
      </c>
      <c r="S316" s="20">
        <f t="shared" si="16"/>
        <v>571278.94999999995</v>
      </c>
      <c r="T316" s="20">
        <f t="shared" si="16"/>
        <v>909741.99000000022</v>
      </c>
      <c r="U316" s="20">
        <f t="shared" si="16"/>
        <v>3506048</v>
      </c>
      <c r="V316" s="20">
        <f t="shared" si="16"/>
        <v>7378819.450000002</v>
      </c>
      <c r="W316" s="459">
        <f t="shared" si="16"/>
        <v>3946912.18</v>
      </c>
      <c r="X316" s="362">
        <f t="shared" si="16"/>
        <v>2945372105.1799989</v>
      </c>
      <c r="Y316" s="20">
        <f t="shared" si="16"/>
        <v>26018245.229999993</v>
      </c>
      <c r="Z316" s="20">
        <f t="shared" si="16"/>
        <v>2859321.4099999997</v>
      </c>
      <c r="AA316" s="20">
        <f t="shared" si="16"/>
        <v>113085876.79999998</v>
      </c>
      <c r="AB316" s="20">
        <f t="shared" si="16"/>
        <v>7218697.3899999997</v>
      </c>
      <c r="AC316" s="20">
        <f t="shared" si="16"/>
        <v>86453369.469999984</v>
      </c>
      <c r="AD316" s="20">
        <f t="shared" si="16"/>
        <v>20814235.790000003</v>
      </c>
      <c r="AE316" s="20">
        <f t="shared" si="16"/>
        <v>471757.41000000003</v>
      </c>
      <c r="AF316" s="20">
        <f t="shared" si="16"/>
        <v>1780.7</v>
      </c>
      <c r="AG316" s="20">
        <f t="shared" si="16"/>
        <v>15359544.900000004</v>
      </c>
      <c r="AH316" s="20">
        <f t="shared" si="16"/>
        <v>22852261.349999994</v>
      </c>
      <c r="AI316" s="20">
        <f t="shared" si="16"/>
        <v>9548321.7200000025</v>
      </c>
      <c r="AJ316" s="20">
        <f t="shared" si="16"/>
        <v>4490325.709999999</v>
      </c>
      <c r="AK316" s="20">
        <f t="shared" si="16"/>
        <v>3300932.8099999996</v>
      </c>
      <c r="AL316" s="362">
        <f>SUM(AL7:AL315)</f>
        <v>312474670.69000018</v>
      </c>
      <c r="AM316" s="93">
        <f>SUM(AM7:AM315)</f>
        <v>21790.53</v>
      </c>
      <c r="AN316" s="19">
        <f>SUM(AN7:AN315)</f>
        <v>800162</v>
      </c>
      <c r="AO316" s="20">
        <f t="shared" ref="AO316:AQ316" si="17">SUM(AO7:AO315)</f>
        <v>-42899228.150000028</v>
      </c>
      <c r="AP316" s="20">
        <f t="shared" si="17"/>
        <v>-1122458.08</v>
      </c>
      <c r="AQ316" s="20">
        <f t="shared" si="17"/>
        <v>-2175227.1099999994</v>
      </c>
      <c r="AR316" s="20">
        <f>SUM(AR7:AR315)</f>
        <v>323.42999999999995</v>
      </c>
    </row>
  </sheetData>
  <protectedRanges>
    <protectedRange sqref="A7:B315 C316 N7:R10 W7:W10 N11:W315 AL7:AQ315" name="Plage1"/>
    <protectedRange sqref="C7:L170 C172:L315" name="Plage1_1"/>
    <protectedRange sqref="C171:L171" name="Plage1_3"/>
    <protectedRange sqref="S7:U10" name="Plage1_4"/>
  </protectedRanges>
  <mergeCells count="44">
    <mergeCell ref="F4:F5"/>
    <mergeCell ref="K4:K5"/>
    <mergeCell ref="M4:M5"/>
    <mergeCell ref="AA4:AA5"/>
    <mergeCell ref="AB4:AB5"/>
    <mergeCell ref="P4:P5"/>
    <mergeCell ref="R4:R5"/>
    <mergeCell ref="S4:S6"/>
    <mergeCell ref="T4:T5"/>
    <mergeCell ref="U4:U5"/>
    <mergeCell ref="V4:V5"/>
    <mergeCell ref="W4:W5"/>
    <mergeCell ref="Y4:Y5"/>
    <mergeCell ref="Z4:Z5"/>
    <mergeCell ref="AC4:AC5"/>
    <mergeCell ref="AD4:AD5"/>
    <mergeCell ref="A4:A6"/>
    <mergeCell ref="B4:B6"/>
    <mergeCell ref="Q4:Q6"/>
    <mergeCell ref="L4:L5"/>
    <mergeCell ref="G4:G5"/>
    <mergeCell ref="H4:H5"/>
    <mergeCell ref="I4:I5"/>
    <mergeCell ref="J4:J5"/>
    <mergeCell ref="C4:C5"/>
    <mergeCell ref="D4:D5"/>
    <mergeCell ref="E4:E5"/>
    <mergeCell ref="N4:N5"/>
    <mergeCell ref="X4:X5"/>
    <mergeCell ref="O4:O5"/>
    <mergeCell ref="AE4:AE5"/>
    <mergeCell ref="AK4:AK6"/>
    <mergeCell ref="AR4:AR6"/>
    <mergeCell ref="AN4:AN5"/>
    <mergeCell ref="AO4:AO6"/>
    <mergeCell ref="AQ4:AQ6"/>
    <mergeCell ref="AP4:AP6"/>
    <mergeCell ref="AG4:AG5"/>
    <mergeCell ref="AH4:AH6"/>
    <mergeCell ref="AI4:AI6"/>
    <mergeCell ref="AJ4:AJ6"/>
    <mergeCell ref="AM4:AM5"/>
    <mergeCell ref="AF4:AF5"/>
    <mergeCell ref="AL4:AL5"/>
  </mergeCells>
  <phoneticPr fontId="10" type="noConversion"/>
  <pageMargins left="0.19685039370078741" right="0.39370078740157483" top="0.19685039370078741" bottom="0.19685039370078741" header="0.51181102362204722" footer="0.51181102362204722"/>
  <pageSetup paperSize="9"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5">
    <tabColor rgb="FF00B050"/>
  </sheetPr>
  <dimension ref="A1:AR316"/>
  <sheetViews>
    <sheetView zoomScaleNormal="100" workbookViewId="0">
      <pane ySplit="6" topLeftCell="A7" activePane="bottomLeft" state="frozen"/>
      <selection pane="bottomLeft" activeCell="A7" sqref="A7"/>
    </sheetView>
  </sheetViews>
  <sheetFormatPr baseColWidth="10" defaultColWidth="8.625" defaultRowHeight="15" x14ac:dyDescent="0.25"/>
  <cols>
    <col min="1" max="1" width="7.625" style="4" customWidth="1"/>
    <col min="2" max="2" width="20.375" style="13" bestFit="1" customWidth="1"/>
    <col min="3" max="3" width="15.875" style="13" bestFit="1" customWidth="1"/>
    <col min="4" max="4" width="12.125" style="6" bestFit="1" customWidth="1"/>
    <col min="5" max="5" width="9.125" style="13" bestFit="1" customWidth="1"/>
    <col min="6" max="6" width="13.375" style="6" bestFit="1" customWidth="1"/>
    <col min="7" max="7" width="18.375" style="13" bestFit="1" customWidth="1"/>
    <col min="8" max="8" width="10" style="6" bestFit="1" customWidth="1"/>
    <col min="9" max="9" width="10.125" style="13" bestFit="1" customWidth="1"/>
    <col min="10" max="10" width="16" style="13" bestFit="1" customWidth="1"/>
    <col min="11" max="12" width="12.25" style="13" bestFit="1" customWidth="1"/>
    <col min="13" max="13" width="13.375" style="13" bestFit="1" customWidth="1"/>
    <col min="14" max="14" width="15.875" style="13" bestFit="1" customWidth="1"/>
    <col min="15" max="15" width="13" style="13" bestFit="1" customWidth="1"/>
    <col min="16" max="16" width="13.125" style="13" bestFit="1" customWidth="1"/>
    <col min="17" max="17" width="8.625" style="13" customWidth="1"/>
    <col min="18" max="18" width="14.375" style="13" bestFit="1" customWidth="1"/>
    <col min="19" max="19" width="12.125" style="15" bestFit="1" customWidth="1"/>
    <col min="20" max="20" width="14.375" style="15" bestFit="1" customWidth="1"/>
    <col min="21" max="21" width="12.125" style="13" customWidth="1"/>
    <col min="22" max="22" width="13.5" style="13" bestFit="1" customWidth="1"/>
    <col min="23" max="24" width="12.25" style="13" bestFit="1" customWidth="1"/>
    <col min="25" max="25" width="15.5" style="13" customWidth="1"/>
    <col min="26" max="26" width="12.5" style="13" bestFit="1" customWidth="1"/>
    <col min="27" max="43" width="12.125" style="13" customWidth="1"/>
    <col min="44" max="44" width="8.625" style="13" customWidth="1"/>
    <col min="45" max="16384" width="8.625" style="13"/>
  </cols>
  <sheetData>
    <row r="1" spans="1:44" ht="21" x14ac:dyDescent="0.35">
      <c r="A1" s="26" t="s">
        <v>462</v>
      </c>
      <c r="B1" s="27"/>
      <c r="C1" s="27"/>
      <c r="E1" s="29"/>
      <c r="G1" s="4"/>
      <c r="H1" s="5"/>
      <c r="I1" s="4"/>
      <c r="J1" s="4"/>
      <c r="K1" s="4"/>
      <c r="L1" s="4"/>
    </row>
    <row r="2" spans="1:44" ht="21" x14ac:dyDescent="0.35">
      <c r="A2" s="26">
        <f>Paramètres!B5</f>
        <v>2018</v>
      </c>
      <c r="C2" s="26"/>
      <c r="E2" s="29"/>
      <c r="G2" s="30"/>
      <c r="H2" s="5"/>
      <c r="I2" s="4"/>
      <c r="J2" s="4"/>
      <c r="K2" s="4"/>
      <c r="L2" s="4"/>
    </row>
    <row r="3" spans="1:44" x14ac:dyDescent="0.25">
      <c r="A3" s="3"/>
      <c r="B3" s="4"/>
      <c r="C3" s="4"/>
      <c r="E3" s="29"/>
      <c r="G3" s="4"/>
      <c r="H3" s="5"/>
      <c r="I3" s="4"/>
      <c r="J3" s="4"/>
      <c r="K3" s="4"/>
      <c r="L3" s="4"/>
      <c r="O3" s="28"/>
    </row>
    <row r="4" spans="1:44" s="16" customFormat="1" ht="38.1" customHeight="1" x14ac:dyDescent="0.2">
      <c r="A4" s="541" t="s">
        <v>50</v>
      </c>
      <c r="B4" s="544" t="s">
        <v>101</v>
      </c>
      <c r="C4" s="529" t="s">
        <v>256</v>
      </c>
      <c r="D4" s="547" t="s">
        <v>251</v>
      </c>
      <c r="E4" s="531" t="s">
        <v>252</v>
      </c>
      <c r="F4" s="547" t="s">
        <v>253</v>
      </c>
      <c r="G4" s="529" t="s">
        <v>254</v>
      </c>
      <c r="H4" s="547" t="s">
        <v>263</v>
      </c>
      <c r="I4" s="529" t="s">
        <v>264</v>
      </c>
      <c r="J4" s="529" t="s">
        <v>265</v>
      </c>
      <c r="K4" s="529" t="s">
        <v>387</v>
      </c>
      <c r="L4" s="529" t="s">
        <v>388</v>
      </c>
      <c r="M4" s="529" t="s">
        <v>389</v>
      </c>
      <c r="N4" s="547" t="s">
        <v>423</v>
      </c>
      <c r="O4" s="529" t="s">
        <v>52</v>
      </c>
      <c r="P4" s="529" t="s">
        <v>390</v>
      </c>
      <c r="Q4" s="531" t="s">
        <v>516</v>
      </c>
      <c r="R4" s="535" t="s">
        <v>484</v>
      </c>
      <c r="S4" s="510" t="s">
        <v>83</v>
      </c>
      <c r="T4" s="535" t="s">
        <v>347</v>
      </c>
      <c r="U4" s="535" t="s">
        <v>464</v>
      </c>
      <c r="V4" s="529" t="s">
        <v>200</v>
      </c>
      <c r="W4" s="529" t="s">
        <v>201</v>
      </c>
      <c r="X4" s="529" t="s">
        <v>202</v>
      </c>
      <c r="Y4" s="538" t="s">
        <v>434</v>
      </c>
      <c r="Z4" s="529" t="s">
        <v>199</v>
      </c>
      <c r="AA4" s="529" t="s">
        <v>584</v>
      </c>
      <c r="AB4" s="529" t="s">
        <v>553</v>
      </c>
      <c r="AC4" s="529" t="s">
        <v>554</v>
      </c>
      <c r="AD4" s="529" t="s">
        <v>555</v>
      </c>
      <c r="AE4" s="529" t="s">
        <v>585</v>
      </c>
      <c r="AF4" s="529" t="s">
        <v>586</v>
      </c>
      <c r="AG4" s="529" t="s">
        <v>587</v>
      </c>
      <c r="AH4" s="529" t="s">
        <v>588</v>
      </c>
      <c r="AI4" s="529" t="s">
        <v>564</v>
      </c>
      <c r="AJ4" s="529" t="s">
        <v>565</v>
      </c>
      <c r="AK4" s="529" t="s">
        <v>589</v>
      </c>
      <c r="AL4" s="529" t="s">
        <v>567</v>
      </c>
      <c r="AM4" s="529" t="s">
        <v>568</v>
      </c>
      <c r="AN4" s="529" t="s">
        <v>569</v>
      </c>
      <c r="AO4" s="529" t="s">
        <v>570</v>
      </c>
      <c r="AP4" s="529" t="s">
        <v>571</v>
      </c>
      <c r="AQ4" s="529" t="s">
        <v>572</v>
      </c>
      <c r="AR4" s="529" t="s">
        <v>310</v>
      </c>
    </row>
    <row r="5" spans="1:44" s="16" customFormat="1" ht="38.1" customHeight="1" x14ac:dyDescent="0.2">
      <c r="A5" s="542"/>
      <c r="B5" s="545"/>
      <c r="C5" s="530"/>
      <c r="D5" s="548"/>
      <c r="E5" s="532"/>
      <c r="F5" s="548"/>
      <c r="G5" s="530"/>
      <c r="H5" s="549"/>
      <c r="I5" s="530"/>
      <c r="J5" s="530"/>
      <c r="K5" s="530"/>
      <c r="L5" s="530"/>
      <c r="M5" s="530"/>
      <c r="N5" s="548"/>
      <c r="O5" s="534"/>
      <c r="P5" s="530"/>
      <c r="Q5" s="532"/>
      <c r="R5" s="537"/>
      <c r="S5" s="512"/>
      <c r="T5" s="537"/>
      <c r="U5" s="536"/>
      <c r="V5" s="530"/>
      <c r="W5" s="530"/>
      <c r="X5" s="530"/>
      <c r="Y5" s="539"/>
      <c r="Z5" s="530"/>
      <c r="AA5" s="530"/>
      <c r="AB5" s="530"/>
      <c r="AC5" s="530"/>
      <c r="AD5" s="530"/>
      <c r="AE5" s="530"/>
      <c r="AF5" s="530"/>
      <c r="AG5" s="530"/>
      <c r="AH5" s="530"/>
      <c r="AI5" s="530"/>
      <c r="AJ5" s="530"/>
      <c r="AK5" s="530"/>
      <c r="AL5" s="530"/>
      <c r="AM5" s="530"/>
      <c r="AN5" s="530"/>
      <c r="AO5" s="530"/>
      <c r="AP5" s="530"/>
      <c r="AQ5" s="530"/>
      <c r="AR5" s="530"/>
    </row>
    <row r="6" spans="1:44" ht="14.25" customHeight="1" x14ac:dyDescent="0.25">
      <c r="A6" s="543"/>
      <c r="B6" s="546"/>
      <c r="C6" s="40" t="s">
        <v>257</v>
      </c>
      <c r="D6" s="549"/>
      <c r="E6" s="533"/>
      <c r="F6" s="549"/>
      <c r="G6" s="40" t="s">
        <v>255</v>
      </c>
      <c r="H6" s="21" t="s">
        <v>84</v>
      </c>
      <c r="I6" s="22" t="s">
        <v>85</v>
      </c>
      <c r="J6" s="22" t="s">
        <v>86</v>
      </c>
      <c r="K6" s="40" t="s">
        <v>87</v>
      </c>
      <c r="L6" s="22" t="s">
        <v>88</v>
      </c>
      <c r="M6" s="22" t="s">
        <v>89</v>
      </c>
      <c r="N6" s="549"/>
      <c r="O6" s="530"/>
      <c r="P6" s="22" t="s">
        <v>90</v>
      </c>
      <c r="Q6" s="533"/>
      <c r="R6" s="536"/>
      <c r="S6" s="41">
        <f>Paramètres!B8</f>
        <v>2018</v>
      </c>
      <c r="T6" s="536"/>
      <c r="U6" s="208">
        <f>Paramètres!B5</f>
        <v>2018</v>
      </c>
      <c r="V6" s="22" t="s">
        <v>93</v>
      </c>
      <c r="W6" s="22" t="s">
        <v>94</v>
      </c>
      <c r="X6" s="22" t="s">
        <v>95</v>
      </c>
      <c r="Y6" s="540"/>
      <c r="Z6" s="40" t="s">
        <v>92</v>
      </c>
      <c r="AA6" s="40" t="s">
        <v>556</v>
      </c>
      <c r="AB6" s="40" t="s">
        <v>557</v>
      </c>
      <c r="AC6" s="40" t="s">
        <v>558</v>
      </c>
      <c r="AD6" s="40" t="s">
        <v>559</v>
      </c>
      <c r="AE6" s="40" t="s">
        <v>574</v>
      </c>
      <c r="AF6" s="40" t="s">
        <v>575</v>
      </c>
      <c r="AG6" s="40" t="s">
        <v>576</v>
      </c>
      <c r="AH6" s="40" t="s">
        <v>577</v>
      </c>
      <c r="AI6" s="40"/>
      <c r="AJ6" s="40"/>
      <c r="AK6" s="40"/>
      <c r="AL6" s="40"/>
      <c r="AM6" s="40" t="s">
        <v>582</v>
      </c>
      <c r="AN6" s="40"/>
      <c r="AO6" s="40"/>
      <c r="AP6" s="40"/>
      <c r="AQ6" s="40"/>
      <c r="AR6" s="24">
        <f>Paramètres!B7</f>
        <v>42003</v>
      </c>
    </row>
    <row r="7" spans="1:44" x14ac:dyDescent="0.25">
      <c r="A7" s="8">
        <f>'A) Base RI'!A7</f>
        <v>5401</v>
      </c>
      <c r="B7" s="33" t="str">
        <f>'A) Base RI'!B7</f>
        <v>Aigle</v>
      </c>
      <c r="C7" s="10">
        <f>'A) Base RI'!C7+'A) Base RI'!D7</f>
        <v>14310979.130000001</v>
      </c>
      <c r="D7" s="10">
        <f>'A) Base RI'!AO7</f>
        <v>-321666.98</v>
      </c>
      <c r="E7" s="32">
        <f>'A) Base RI'!AP7</f>
        <v>0</v>
      </c>
      <c r="F7" s="32">
        <f>'A) Base RI'!AQ7</f>
        <v>-645.51</v>
      </c>
      <c r="G7" s="2">
        <f>SUM(C7:F7)</f>
        <v>13988666.640000001</v>
      </c>
      <c r="H7" s="10">
        <f>+'A) Base RI'!E7</f>
        <v>0</v>
      </c>
      <c r="I7" s="10">
        <f>+'A) Base RI'!F7</f>
        <v>0</v>
      </c>
      <c r="J7" s="10">
        <f>+'A) Base RI'!G7+'A) Base RI'!H7</f>
        <v>2027865.55</v>
      </c>
      <c r="K7" s="10">
        <f>+'A) Base RI'!I7</f>
        <v>7765.25</v>
      </c>
      <c r="L7" s="10">
        <f>+'A) Base RI'!J7</f>
        <v>616612.9</v>
      </c>
      <c r="M7" s="10">
        <f>+'A) Base RI'!K7</f>
        <v>223186.85</v>
      </c>
      <c r="N7" s="10">
        <f>+'A) Base RI'!Q7</f>
        <v>60316.67</v>
      </c>
      <c r="O7" s="10">
        <f>(P7/Q7)*1</f>
        <v>1727551.1666666667</v>
      </c>
      <c r="P7" s="10">
        <f>+'A) Base RI'!L7</f>
        <v>2073061.4</v>
      </c>
      <c r="Q7" s="35">
        <f>'A) Base RI'!AR7</f>
        <v>1.2</v>
      </c>
      <c r="R7" s="2">
        <f>SUM(G7:O7)</f>
        <v>18651965.026666671</v>
      </c>
      <c r="S7" s="34">
        <f>+'A) Base RI'!AM7</f>
        <v>67.5</v>
      </c>
      <c r="T7" s="2">
        <f>(G7+H7+J7+K7+L7+N7)</f>
        <v>16701227.010000002</v>
      </c>
      <c r="U7" s="2">
        <f>R7/S7</f>
        <v>276325.40780246921</v>
      </c>
      <c r="V7" s="10">
        <f>+'A) Base RI'!O7</f>
        <v>586742</v>
      </c>
      <c r="W7" s="10">
        <f>+'A) Base RI'!P7</f>
        <v>811384.1</v>
      </c>
      <c r="X7" s="10">
        <f>+'A) Base RI'!R7</f>
        <v>402573.65</v>
      </c>
      <c r="Y7" s="2">
        <f>SUM(V7:X7)</f>
        <v>1800699.75</v>
      </c>
      <c r="Z7" s="10">
        <f>+'A) Base RI'!N7</f>
        <v>1058449.45</v>
      </c>
      <c r="AA7" s="10">
        <f>+'A) Base RI'!S7+'A) Base RI'!T7</f>
        <v>85926.6</v>
      </c>
      <c r="AB7" s="10">
        <f>+'A) Base RI'!U7</f>
        <v>52450</v>
      </c>
      <c r="AC7" s="10">
        <f>+'A) Base RI'!V7</f>
        <v>0</v>
      </c>
      <c r="AD7" s="10">
        <f>+'A) Base RI'!W7</f>
        <v>0</v>
      </c>
      <c r="AE7" s="10">
        <f>+'A) Base RI'!Y7</f>
        <v>55051.9</v>
      </c>
      <c r="AF7" s="10">
        <f>+'A) Base RI'!Z7</f>
        <v>0</v>
      </c>
      <c r="AG7" s="10">
        <f>+'A) Base RI'!AA7</f>
        <v>811763.05</v>
      </c>
      <c r="AH7" s="10">
        <f>+'A) Base RI'!AB7</f>
        <v>0</v>
      </c>
      <c r="AI7" s="10">
        <f>+'A) Base RI'!AC7</f>
        <v>1340623.8500000001</v>
      </c>
      <c r="AJ7" s="10">
        <f>+'A) Base RI'!AD7</f>
        <v>63170.15</v>
      </c>
      <c r="AK7" s="10">
        <f>+'A) Base RI'!AE7</f>
        <v>0</v>
      </c>
      <c r="AL7" s="10">
        <f>+'A) Base RI'!AF7</f>
        <v>566.75</v>
      </c>
      <c r="AM7" s="10">
        <f>+'A) Base RI'!AG7</f>
        <v>32872.550000000003</v>
      </c>
      <c r="AN7" s="10">
        <f>+'A) Base RI'!AH7</f>
        <v>370076.35</v>
      </c>
      <c r="AO7" s="10">
        <f>+'A) Base RI'!AI7</f>
        <v>0</v>
      </c>
      <c r="AP7" s="10">
        <f>+'A) Base RI'!AJ7</f>
        <v>0</v>
      </c>
      <c r="AQ7" s="10">
        <f>+'A) Base RI'!AK7</f>
        <v>278821.7</v>
      </c>
      <c r="AR7" s="10">
        <f>'A) Base RI'!AN7</f>
        <v>10134</v>
      </c>
    </row>
    <row r="8" spans="1:44" x14ac:dyDescent="0.25">
      <c r="A8" s="8">
        <f>'A) Base RI'!A8</f>
        <v>5402</v>
      </c>
      <c r="B8" s="33" t="str">
        <f>'A) Base RI'!B8</f>
        <v>Bex</v>
      </c>
      <c r="C8" s="10">
        <f>'A) Base RI'!C8+'A) Base RI'!D8</f>
        <v>9920613.8699999992</v>
      </c>
      <c r="D8" s="10">
        <f>'A) Base RI'!AO8</f>
        <v>-344821.64</v>
      </c>
      <c r="E8" s="32">
        <f>'A) Base RI'!AP8</f>
        <v>0</v>
      </c>
      <c r="F8" s="32">
        <f>'A) Base RI'!AQ8</f>
        <v>-401.51</v>
      </c>
      <c r="G8" s="2">
        <f t="shared" ref="G8:G71" si="0">SUM(C8:F8)</f>
        <v>9575390.7199999988</v>
      </c>
      <c r="H8" s="10">
        <f>+'A) Base RI'!E8</f>
        <v>0</v>
      </c>
      <c r="I8" s="10">
        <f>+'A) Base RI'!F8</f>
        <v>0</v>
      </c>
      <c r="J8" s="10">
        <f>+'A) Base RI'!G8+'A) Base RI'!H8</f>
        <v>985322.89999999991</v>
      </c>
      <c r="K8" s="10">
        <f>+'A) Base RI'!I8</f>
        <v>-67367.5</v>
      </c>
      <c r="L8" s="10">
        <f>+'A) Base RI'!J8</f>
        <v>309541.81</v>
      </c>
      <c r="M8" s="10">
        <f>+'A) Base RI'!K8</f>
        <v>106621.8</v>
      </c>
      <c r="N8" s="10">
        <f>+'A) Base RI'!Q8</f>
        <v>104295.16</v>
      </c>
      <c r="O8" s="10">
        <f t="shared" ref="O8:O71" si="1">(P8/Q8)*1</f>
        <v>1239859.04</v>
      </c>
      <c r="P8" s="10">
        <f>+'A) Base RI'!L8</f>
        <v>1549823.8</v>
      </c>
      <c r="Q8" s="35">
        <f>'A) Base RI'!AR8</f>
        <v>1.25</v>
      </c>
      <c r="R8" s="2">
        <f t="shared" ref="R8:R71" si="2">SUM(G8:O8)</f>
        <v>12253663.93</v>
      </c>
      <c r="S8" s="34">
        <f>+'A) Base RI'!AM8</f>
        <v>71</v>
      </c>
      <c r="T8" s="2">
        <f t="shared" ref="T8:T71" si="3">(G8+H8+J8+K8+L8+N8)</f>
        <v>10907183.09</v>
      </c>
      <c r="U8" s="2">
        <f t="shared" ref="U8:U71" si="4">R8/S8</f>
        <v>172586.81591549295</v>
      </c>
      <c r="V8" s="10">
        <f>+'A) Base RI'!O8</f>
        <v>57137.7</v>
      </c>
      <c r="W8" s="10">
        <f>+'A) Base RI'!P8</f>
        <v>540896.75</v>
      </c>
      <c r="X8" s="10">
        <f>+'A) Base RI'!R8</f>
        <v>285520.5</v>
      </c>
      <c r="Y8" s="2">
        <f t="shared" ref="Y8:Y71" si="5">SUM(V8:X8)</f>
        <v>883554.95</v>
      </c>
      <c r="Z8" s="10">
        <f>+'A) Base RI'!N8</f>
        <v>202311.1</v>
      </c>
      <c r="AA8" s="10">
        <f>+'A) Base RI'!S8+'A) Base RI'!T8</f>
        <v>31835.15</v>
      </c>
      <c r="AB8" s="10">
        <f>+'A) Base RI'!U8</f>
        <v>73500</v>
      </c>
      <c r="AC8" s="10">
        <f>+'A) Base RI'!V8</f>
        <v>112252.85</v>
      </c>
      <c r="AD8" s="10">
        <f>+'A) Base RI'!W8</f>
        <v>2000</v>
      </c>
      <c r="AE8" s="10">
        <f>+'A) Base RI'!Y8</f>
        <v>41779.800000000003</v>
      </c>
      <c r="AF8" s="10">
        <f>+'A) Base RI'!Z8</f>
        <v>163331.5</v>
      </c>
      <c r="AG8" s="10">
        <f>+'A) Base RI'!AA8</f>
        <v>2022734.8</v>
      </c>
      <c r="AH8" s="10">
        <f>+'A) Base RI'!AB8</f>
        <v>0</v>
      </c>
      <c r="AI8" s="10">
        <f>+'A) Base RI'!AC8</f>
        <v>895748.47</v>
      </c>
      <c r="AJ8" s="10">
        <f>+'A) Base RI'!AD8</f>
        <v>131452.35</v>
      </c>
      <c r="AK8" s="10">
        <f>+'A) Base RI'!AE8</f>
        <v>0</v>
      </c>
      <c r="AL8" s="10">
        <f>+'A) Base RI'!AF8</f>
        <v>0</v>
      </c>
      <c r="AM8" s="10">
        <f>+'A) Base RI'!AG8</f>
        <v>102947</v>
      </c>
      <c r="AN8" s="10">
        <f>+'A) Base RI'!AH8</f>
        <v>233533.55</v>
      </c>
      <c r="AO8" s="10">
        <f>+'A) Base RI'!AI8</f>
        <v>0</v>
      </c>
      <c r="AP8" s="10">
        <f>+'A) Base RI'!AJ8</f>
        <v>0</v>
      </c>
      <c r="AQ8" s="10">
        <f>+'A) Base RI'!AK8</f>
        <v>0</v>
      </c>
      <c r="AR8" s="10">
        <f>'A) Base RI'!AN8</f>
        <v>7757</v>
      </c>
    </row>
    <row r="9" spans="1:44" x14ac:dyDescent="0.25">
      <c r="A9" s="8">
        <f>'A) Base RI'!A9</f>
        <v>5403</v>
      </c>
      <c r="B9" s="33" t="str">
        <f>'A) Base RI'!B9</f>
        <v>Chessel</v>
      </c>
      <c r="C9" s="10">
        <f>'A) Base RI'!C9+'A) Base RI'!D9</f>
        <v>652297.76</v>
      </c>
      <c r="D9" s="10">
        <f>'A) Base RI'!AO9</f>
        <v>-16488.96</v>
      </c>
      <c r="E9" s="32">
        <f>'A) Base RI'!AP9</f>
        <v>0</v>
      </c>
      <c r="F9" s="32">
        <f>'A) Base RI'!AQ9</f>
        <v>-0.37</v>
      </c>
      <c r="G9" s="2">
        <f t="shared" si="0"/>
        <v>635808.43000000005</v>
      </c>
      <c r="H9" s="10">
        <f>+'A) Base RI'!E9</f>
        <v>0</v>
      </c>
      <c r="I9" s="10">
        <f>+'A) Base RI'!F9</f>
        <v>0</v>
      </c>
      <c r="J9" s="10">
        <f>+'A) Base RI'!G9+'A) Base RI'!H9</f>
        <v>15317</v>
      </c>
      <c r="K9" s="10">
        <f>+'A) Base RI'!I9</f>
        <v>0</v>
      </c>
      <c r="L9" s="10">
        <f>+'A) Base RI'!J9</f>
        <v>37312.67</v>
      </c>
      <c r="M9" s="10">
        <f>+'A) Base RI'!K9</f>
        <v>975.8</v>
      </c>
      <c r="N9" s="10">
        <f>+'A) Base RI'!Q9</f>
        <v>4460.54</v>
      </c>
      <c r="O9" s="10">
        <f t="shared" si="1"/>
        <v>59116.75</v>
      </c>
      <c r="P9" s="10">
        <f>+'A) Base RI'!L9</f>
        <v>59116.75</v>
      </c>
      <c r="Q9" s="35">
        <f>'A) Base RI'!AR9</f>
        <v>1</v>
      </c>
      <c r="R9" s="2">
        <f t="shared" si="2"/>
        <v>752991.19000000018</v>
      </c>
      <c r="S9" s="34">
        <f>+'A) Base RI'!AM9</f>
        <v>74</v>
      </c>
      <c r="T9" s="2">
        <f t="shared" si="3"/>
        <v>692898.64000000013</v>
      </c>
      <c r="U9" s="2">
        <f t="shared" si="4"/>
        <v>10175.556621621625</v>
      </c>
      <c r="V9" s="10">
        <f>+'A) Base RI'!O9</f>
        <v>55.5</v>
      </c>
      <c r="W9" s="10">
        <f>+'A) Base RI'!P9</f>
        <v>45793</v>
      </c>
      <c r="X9" s="10">
        <f>+'A) Base RI'!R9</f>
        <v>18465.7</v>
      </c>
      <c r="Y9" s="2">
        <f t="shared" si="5"/>
        <v>64314.2</v>
      </c>
      <c r="Z9" s="10">
        <f>+'A) Base RI'!N9</f>
        <v>0</v>
      </c>
      <c r="AA9" s="10">
        <f>+'A) Base RI'!S9+'A) Base RI'!T9</f>
        <v>0</v>
      </c>
      <c r="AB9" s="10">
        <f>+'A) Base RI'!U9</f>
        <v>6150</v>
      </c>
      <c r="AC9" s="10">
        <f>+'A) Base RI'!V9</f>
        <v>0</v>
      </c>
      <c r="AD9" s="10">
        <f>+'A) Base RI'!W9</f>
        <v>0</v>
      </c>
      <c r="AE9" s="10">
        <f>+'A) Base RI'!Y9</f>
        <v>22800</v>
      </c>
      <c r="AF9" s="10">
        <f>+'A) Base RI'!Z9</f>
        <v>0</v>
      </c>
      <c r="AG9" s="10">
        <f>+'A) Base RI'!AA9</f>
        <v>72584</v>
      </c>
      <c r="AH9" s="10">
        <f>+'A) Base RI'!AB9</f>
        <v>0</v>
      </c>
      <c r="AI9" s="10">
        <f>+'A) Base RI'!AC9</f>
        <v>42396</v>
      </c>
      <c r="AJ9" s="10">
        <f>+'A) Base RI'!AD9</f>
        <v>22800</v>
      </c>
      <c r="AK9" s="10">
        <f>+'A) Base RI'!AE9</f>
        <v>0</v>
      </c>
      <c r="AL9" s="10">
        <f>+'A) Base RI'!AF9</f>
        <v>0</v>
      </c>
      <c r="AM9" s="10">
        <f>+'A) Base RI'!AG9</f>
        <v>31187</v>
      </c>
      <c r="AN9" s="10">
        <f>+'A) Base RI'!AH9</f>
        <v>0</v>
      </c>
      <c r="AO9" s="10">
        <f>+'A) Base RI'!AI9</f>
        <v>0</v>
      </c>
      <c r="AP9" s="10">
        <f>+'A) Base RI'!AJ9</f>
        <v>0</v>
      </c>
      <c r="AQ9" s="10">
        <f>+'A) Base RI'!AK9</f>
        <v>0</v>
      </c>
      <c r="AR9" s="10">
        <f>'A) Base RI'!AN9</f>
        <v>426</v>
      </c>
    </row>
    <row r="10" spans="1:44" x14ac:dyDescent="0.25">
      <c r="A10" s="8">
        <f>'A) Base RI'!A10</f>
        <v>5404</v>
      </c>
      <c r="B10" s="33" t="str">
        <f>'A) Base RI'!B10</f>
        <v>Corbeyrier</v>
      </c>
      <c r="C10" s="10">
        <f>'A) Base RI'!C10+'A) Base RI'!D10</f>
        <v>738020.36</v>
      </c>
      <c r="D10" s="10">
        <f>'A) Base RI'!AO10</f>
        <v>-6462.73</v>
      </c>
      <c r="E10" s="32">
        <f>'A) Base RI'!AP10</f>
        <v>0</v>
      </c>
      <c r="F10" s="32">
        <f>'A) Base RI'!AQ10</f>
        <v>-17.23</v>
      </c>
      <c r="G10" s="2">
        <f t="shared" si="0"/>
        <v>731540.4</v>
      </c>
      <c r="H10" s="10">
        <f>+'A) Base RI'!E10</f>
        <v>0</v>
      </c>
      <c r="I10" s="10">
        <f>+'A) Base RI'!F10</f>
        <v>0</v>
      </c>
      <c r="J10" s="10">
        <f>+'A) Base RI'!G10+'A) Base RI'!H10</f>
        <v>29739.85</v>
      </c>
      <c r="K10" s="10">
        <f>+'A) Base RI'!I10</f>
        <v>0</v>
      </c>
      <c r="L10" s="10">
        <f>+'A) Base RI'!J10</f>
        <v>2754.62</v>
      </c>
      <c r="M10" s="10">
        <f>+'A) Base RI'!K10</f>
        <v>565.75</v>
      </c>
      <c r="N10" s="10">
        <f>+'A) Base RI'!Q10</f>
        <v>1993.73</v>
      </c>
      <c r="O10" s="10">
        <f t="shared" si="1"/>
        <v>79337.566666666666</v>
      </c>
      <c r="P10" s="10">
        <f>+'A) Base RI'!L10</f>
        <v>119006.35</v>
      </c>
      <c r="Q10" s="35">
        <f>'A) Base RI'!AR10</f>
        <v>1.5</v>
      </c>
      <c r="R10" s="2">
        <f t="shared" si="2"/>
        <v>845931.91666666663</v>
      </c>
      <c r="S10" s="34">
        <f>+'A) Base RI'!AM10</f>
        <v>70</v>
      </c>
      <c r="T10" s="2">
        <f t="shared" si="3"/>
        <v>766028.6</v>
      </c>
      <c r="U10" s="2">
        <f t="shared" si="4"/>
        <v>12084.741666666667</v>
      </c>
      <c r="V10" s="10">
        <f>+'A) Base RI'!O10</f>
        <v>6544.4</v>
      </c>
      <c r="W10" s="10">
        <f>+'A) Base RI'!P10</f>
        <v>17595.75</v>
      </c>
      <c r="X10" s="10">
        <f>+'A) Base RI'!R10</f>
        <v>34218</v>
      </c>
      <c r="Y10" s="2">
        <f t="shared" si="5"/>
        <v>58358.15</v>
      </c>
      <c r="Z10" s="10">
        <f>+'A) Base RI'!N10</f>
        <v>22870.9</v>
      </c>
      <c r="AA10" s="10">
        <f>+'A) Base RI'!S10+'A) Base RI'!T10</f>
        <v>1036.2</v>
      </c>
      <c r="AB10" s="10">
        <f>+'A) Base RI'!U10</f>
        <v>6200</v>
      </c>
      <c r="AC10" s="10">
        <f>+'A) Base RI'!V10</f>
        <v>0</v>
      </c>
      <c r="AD10" s="10">
        <f>+'A) Base RI'!W10</f>
        <v>0</v>
      </c>
      <c r="AE10" s="10">
        <f>+'A) Base RI'!Y10</f>
        <v>5500</v>
      </c>
      <c r="AF10" s="10">
        <f>+'A) Base RI'!Z10</f>
        <v>0</v>
      </c>
      <c r="AG10" s="10">
        <f>+'A) Base RI'!AA10</f>
        <v>47701.85</v>
      </c>
      <c r="AH10" s="10">
        <f>+'A) Base RI'!AB10</f>
        <v>0</v>
      </c>
      <c r="AI10" s="10">
        <f>+'A) Base RI'!AC10</f>
        <v>36766</v>
      </c>
      <c r="AJ10" s="10">
        <f>+'A) Base RI'!AD10</f>
        <v>3850</v>
      </c>
      <c r="AK10" s="10">
        <f>+'A) Base RI'!AE10</f>
        <v>0</v>
      </c>
      <c r="AL10" s="10">
        <f>+'A) Base RI'!AF10</f>
        <v>0</v>
      </c>
      <c r="AM10" s="10">
        <f>+'A) Base RI'!AG10</f>
        <v>5330.75</v>
      </c>
      <c r="AN10" s="10">
        <f>+'A) Base RI'!AH10</f>
        <v>11691.75</v>
      </c>
      <c r="AO10" s="10">
        <f>+'A) Base RI'!AI10</f>
        <v>0</v>
      </c>
      <c r="AP10" s="10">
        <f>+'A) Base RI'!AJ10</f>
        <v>0</v>
      </c>
      <c r="AQ10" s="10">
        <f>+'A) Base RI'!AK10</f>
        <v>0</v>
      </c>
      <c r="AR10" s="10">
        <f>'A) Base RI'!AN10</f>
        <v>438</v>
      </c>
    </row>
    <row r="11" spans="1:44" x14ac:dyDescent="0.25">
      <c r="A11" s="8">
        <f>'A) Base RI'!A11</f>
        <v>5405</v>
      </c>
      <c r="B11" s="33" t="str">
        <f>'A) Base RI'!B11</f>
        <v>Gryon</v>
      </c>
      <c r="C11" s="10">
        <f>'A) Base RI'!C11+'A) Base RI'!D11</f>
        <v>4239852.9000000004</v>
      </c>
      <c r="D11" s="10">
        <f>'A) Base RI'!AO11</f>
        <v>-107816.78</v>
      </c>
      <c r="E11" s="32">
        <f>'A) Base RI'!AP11</f>
        <v>0</v>
      </c>
      <c r="F11" s="32">
        <f>'A) Base RI'!AQ11</f>
        <v>-1020.24</v>
      </c>
      <c r="G11" s="2">
        <f t="shared" si="0"/>
        <v>4131015.8800000004</v>
      </c>
      <c r="H11" s="10">
        <f>+'A) Base RI'!E11</f>
        <v>0</v>
      </c>
      <c r="I11" s="10">
        <f>+'A) Base RI'!F11</f>
        <v>0</v>
      </c>
      <c r="J11" s="10">
        <f>+'A) Base RI'!G11+'A) Base RI'!H11</f>
        <v>104153.45</v>
      </c>
      <c r="K11" s="10">
        <f>+'A) Base RI'!I11</f>
        <v>167661.60999999999</v>
      </c>
      <c r="L11" s="10">
        <f>+'A) Base RI'!J11</f>
        <v>78110.41</v>
      </c>
      <c r="M11" s="10">
        <f>+'A) Base RI'!K11</f>
        <v>14245.65</v>
      </c>
      <c r="N11" s="10">
        <f>+'A) Base RI'!Q11</f>
        <v>69386.649999999994</v>
      </c>
      <c r="O11" s="10">
        <f t="shared" si="1"/>
        <v>503842.56666666665</v>
      </c>
      <c r="P11" s="10">
        <f>+'A) Base RI'!L11</f>
        <v>755763.85</v>
      </c>
      <c r="Q11" s="35">
        <f>'A) Base RI'!AR11</f>
        <v>1.5</v>
      </c>
      <c r="R11" s="2">
        <f t="shared" si="2"/>
        <v>5068416.2166666677</v>
      </c>
      <c r="S11" s="34">
        <f>+'A) Base RI'!AM11</f>
        <v>75</v>
      </c>
      <c r="T11" s="2">
        <f t="shared" si="3"/>
        <v>4550328.0000000009</v>
      </c>
      <c r="U11" s="2">
        <f t="shared" si="4"/>
        <v>67578.882888888897</v>
      </c>
      <c r="V11" s="10">
        <f>+'A) Base RI'!O11</f>
        <v>850859.6</v>
      </c>
      <c r="W11" s="10">
        <f>+'A) Base RI'!P11</f>
        <v>436669.5</v>
      </c>
      <c r="X11" s="10">
        <f>+'A) Base RI'!R11</f>
        <v>288698.25</v>
      </c>
      <c r="Y11" s="2">
        <f t="shared" si="5"/>
        <v>1576227.35</v>
      </c>
      <c r="Z11" s="10">
        <f>+'A) Base RI'!N11</f>
        <v>0</v>
      </c>
      <c r="AA11" s="10">
        <f>+'A) Base RI'!S11+'A) Base RI'!T11</f>
        <v>5472.85</v>
      </c>
      <c r="AB11" s="10">
        <f>+'A) Base RI'!U11</f>
        <v>9850</v>
      </c>
      <c r="AC11" s="10">
        <f>+'A) Base RI'!V11</f>
        <v>540</v>
      </c>
      <c r="AD11" s="10">
        <f>+'A) Base RI'!W11</f>
        <v>0</v>
      </c>
      <c r="AE11" s="10">
        <f>+'A) Base RI'!Y11</f>
        <v>16632.099999999999</v>
      </c>
      <c r="AF11" s="10">
        <f>+'A) Base RI'!Z11</f>
        <v>0</v>
      </c>
      <c r="AG11" s="10">
        <f>+'A) Base RI'!AA11</f>
        <v>181237.9</v>
      </c>
      <c r="AH11" s="10">
        <f>+'A) Base RI'!AB11</f>
        <v>0</v>
      </c>
      <c r="AI11" s="10">
        <f>+'A) Base RI'!AC11</f>
        <v>410133.24</v>
      </c>
      <c r="AJ11" s="10">
        <f>+'A) Base RI'!AD11</f>
        <v>48314.35</v>
      </c>
      <c r="AK11" s="10">
        <f>+'A) Base RI'!AE11</f>
        <v>0</v>
      </c>
      <c r="AL11" s="10">
        <f>+'A) Base RI'!AF11</f>
        <v>0</v>
      </c>
      <c r="AM11" s="10">
        <f>+'A) Base RI'!AG11</f>
        <v>0</v>
      </c>
      <c r="AN11" s="10">
        <f>+'A) Base RI'!AH11</f>
        <v>0</v>
      </c>
      <c r="AO11" s="10">
        <f>+'A) Base RI'!AI11</f>
        <v>0</v>
      </c>
      <c r="AP11" s="10">
        <f>+'A) Base RI'!AJ11</f>
        <v>0</v>
      </c>
      <c r="AQ11" s="10">
        <f>+'A) Base RI'!AK11</f>
        <v>0</v>
      </c>
      <c r="AR11" s="10">
        <f>'A) Base RI'!AN11</f>
        <v>1332</v>
      </c>
    </row>
    <row r="12" spans="1:44" x14ac:dyDescent="0.25">
      <c r="A12" s="8">
        <f>'A) Base RI'!A12</f>
        <v>5406</v>
      </c>
      <c r="B12" s="33" t="str">
        <f>'A) Base RI'!B12</f>
        <v>Lavey-Morcles</v>
      </c>
      <c r="C12" s="10">
        <f>'A) Base RI'!C12+'A) Base RI'!D12</f>
        <v>1292754.78</v>
      </c>
      <c r="D12" s="10">
        <f>'A) Base RI'!AO12</f>
        <v>-33929.61</v>
      </c>
      <c r="E12" s="32">
        <f>'A) Base RI'!AP12</f>
        <v>0</v>
      </c>
      <c r="F12" s="32">
        <f>'A) Base RI'!AQ12</f>
        <v>0</v>
      </c>
      <c r="G12" s="2">
        <f t="shared" si="0"/>
        <v>1258825.17</v>
      </c>
      <c r="H12" s="10">
        <f>+'A) Base RI'!E12</f>
        <v>0</v>
      </c>
      <c r="I12" s="10">
        <f>+'A) Base RI'!F12</f>
        <v>0</v>
      </c>
      <c r="J12" s="10">
        <f>+'A) Base RI'!G12+'A) Base RI'!H12</f>
        <v>70414.7</v>
      </c>
      <c r="K12" s="10">
        <f>+'A) Base RI'!I12</f>
        <v>0</v>
      </c>
      <c r="L12" s="10">
        <f>+'A) Base RI'!J12</f>
        <v>48594.14</v>
      </c>
      <c r="M12" s="10">
        <f>+'A) Base RI'!K12</f>
        <v>9162.85</v>
      </c>
      <c r="N12" s="10">
        <f>+'A) Base RI'!Q12</f>
        <v>15.05</v>
      </c>
      <c r="O12" s="10">
        <f t="shared" si="1"/>
        <v>145600.80769230769</v>
      </c>
      <c r="P12" s="10">
        <f>+'A) Base RI'!L12</f>
        <v>189281.05</v>
      </c>
      <c r="Q12" s="35">
        <f>'A) Base RI'!AR12</f>
        <v>1.3</v>
      </c>
      <c r="R12" s="2">
        <f t="shared" si="2"/>
        <v>1532612.7176923077</v>
      </c>
      <c r="S12" s="34">
        <f>+'A) Base RI'!AM12</f>
        <v>71</v>
      </c>
      <c r="T12" s="2">
        <f t="shared" si="3"/>
        <v>1377849.0599999998</v>
      </c>
      <c r="U12" s="2">
        <f t="shared" si="4"/>
        <v>21586.094615384616</v>
      </c>
      <c r="V12" s="10">
        <f>+'A) Base RI'!O12</f>
        <v>6382.9</v>
      </c>
      <c r="W12" s="10">
        <f>+'A) Base RI'!P12</f>
        <v>22417.05</v>
      </c>
      <c r="X12" s="10">
        <f>+'A) Base RI'!R12</f>
        <v>18573.349999999999</v>
      </c>
      <c r="Y12" s="2">
        <f t="shared" si="5"/>
        <v>47373.299999999996</v>
      </c>
      <c r="Z12" s="10">
        <f>+'A) Base RI'!N12</f>
        <v>5025.7</v>
      </c>
      <c r="AA12" s="10">
        <f>+'A) Base RI'!S12+'A) Base RI'!T12</f>
        <v>0</v>
      </c>
      <c r="AB12" s="10">
        <f>+'A) Base RI'!U12</f>
        <v>7150</v>
      </c>
      <c r="AC12" s="10">
        <f>+'A) Base RI'!V12</f>
        <v>197755</v>
      </c>
      <c r="AD12" s="10">
        <f>+'A) Base RI'!W12</f>
        <v>0</v>
      </c>
      <c r="AE12" s="10">
        <f>+'A) Base RI'!Y12</f>
        <v>4306.5</v>
      </c>
      <c r="AF12" s="10">
        <f>+'A) Base RI'!Z12</f>
        <v>2638.65</v>
      </c>
      <c r="AG12" s="10">
        <f>+'A) Base RI'!AA12</f>
        <v>275802.59999999998</v>
      </c>
      <c r="AH12" s="10">
        <f>+'A) Base RI'!AB12</f>
        <v>0</v>
      </c>
      <c r="AI12" s="10">
        <f>+'A) Base RI'!AC12</f>
        <v>123428.5</v>
      </c>
      <c r="AJ12" s="10">
        <f>+'A) Base RI'!AD12</f>
        <v>1690.25</v>
      </c>
      <c r="AK12" s="10">
        <f>+'A) Base RI'!AE12</f>
        <v>3665.9</v>
      </c>
      <c r="AL12" s="10">
        <f>+'A) Base RI'!AF12</f>
        <v>0</v>
      </c>
      <c r="AM12" s="10">
        <f>+'A) Base RI'!AG12</f>
        <v>53702</v>
      </c>
      <c r="AN12" s="10">
        <f>+'A) Base RI'!AH12</f>
        <v>53775.13</v>
      </c>
      <c r="AO12" s="10">
        <f>+'A) Base RI'!AI12</f>
        <v>0</v>
      </c>
      <c r="AP12" s="10">
        <f>+'A) Base RI'!AJ12</f>
        <v>0</v>
      </c>
      <c r="AQ12" s="10">
        <f>+'A) Base RI'!AK12</f>
        <v>0</v>
      </c>
      <c r="AR12" s="10">
        <f>'A) Base RI'!AN12</f>
        <v>946</v>
      </c>
    </row>
    <row r="13" spans="1:44" x14ac:dyDescent="0.25">
      <c r="A13" s="8">
        <f>'A) Base RI'!A13</f>
        <v>5407</v>
      </c>
      <c r="B13" s="33" t="str">
        <f>'A) Base RI'!B13</f>
        <v>Leysin</v>
      </c>
      <c r="C13" s="10">
        <f>'A) Base RI'!C13+'A) Base RI'!D13</f>
        <v>4980204.1900000004</v>
      </c>
      <c r="D13" s="10">
        <f>'A) Base RI'!AO13</f>
        <v>-200535.16</v>
      </c>
      <c r="E13" s="32">
        <f>'A) Base RI'!AP13</f>
        <v>0</v>
      </c>
      <c r="F13" s="32">
        <f>'A) Base RI'!AQ13</f>
        <v>-390.55</v>
      </c>
      <c r="G13" s="2">
        <f t="shared" si="0"/>
        <v>4779278.4800000004</v>
      </c>
      <c r="H13" s="10">
        <f>+'A) Base RI'!E13</f>
        <v>0</v>
      </c>
      <c r="I13" s="10">
        <f>+'A) Base RI'!F13</f>
        <v>0</v>
      </c>
      <c r="J13" s="10">
        <f>+'A) Base RI'!G13+'A) Base RI'!H13</f>
        <v>646598.70000000007</v>
      </c>
      <c r="K13" s="10">
        <f>+'A) Base RI'!I13</f>
        <v>103811.4</v>
      </c>
      <c r="L13" s="10">
        <f>+'A) Base RI'!J13</f>
        <v>530827.74</v>
      </c>
      <c r="M13" s="10">
        <f>+'A) Base RI'!K13</f>
        <v>56627.1</v>
      </c>
      <c r="N13" s="10">
        <f>+'A) Base RI'!Q13</f>
        <v>64255.360000000001</v>
      </c>
      <c r="O13" s="10">
        <f t="shared" si="1"/>
        <v>808673.03333333333</v>
      </c>
      <c r="P13" s="10">
        <f>+'A) Base RI'!L13</f>
        <v>1213009.55</v>
      </c>
      <c r="Q13" s="35">
        <f>'A) Base RI'!AR13</f>
        <v>1.5</v>
      </c>
      <c r="R13" s="2">
        <f t="shared" si="2"/>
        <v>6990071.8133333344</v>
      </c>
      <c r="S13" s="34">
        <f>+'A) Base RI'!AM13</f>
        <v>78</v>
      </c>
      <c r="T13" s="2">
        <f t="shared" si="3"/>
        <v>6124771.6800000016</v>
      </c>
      <c r="U13" s="2">
        <f t="shared" si="4"/>
        <v>89616.305299145315</v>
      </c>
      <c r="V13" s="10">
        <f>+'A) Base RI'!O13</f>
        <v>64833.3</v>
      </c>
      <c r="W13" s="10">
        <f>+'A) Base RI'!P13</f>
        <v>240474.65</v>
      </c>
      <c r="X13" s="10">
        <f>+'A) Base RI'!R13</f>
        <v>116951.25</v>
      </c>
      <c r="Y13" s="2">
        <f t="shared" si="5"/>
        <v>422259.20000000001</v>
      </c>
      <c r="Z13" s="10">
        <f>+'A) Base RI'!N13</f>
        <v>40574.25</v>
      </c>
      <c r="AA13" s="10">
        <f>+'A) Base RI'!S13+'A) Base RI'!T13</f>
        <v>27495.25</v>
      </c>
      <c r="AB13" s="10">
        <f>+'A) Base RI'!U13</f>
        <v>17050</v>
      </c>
      <c r="AC13" s="10">
        <f>+'A) Base RI'!V13</f>
        <v>0</v>
      </c>
      <c r="AD13" s="10">
        <f>+'A) Base RI'!W13</f>
        <v>0</v>
      </c>
      <c r="AE13" s="10">
        <f>+'A) Base RI'!Y13</f>
        <v>-213023.2</v>
      </c>
      <c r="AF13" s="10">
        <f>+'A) Base RI'!Z13</f>
        <v>0</v>
      </c>
      <c r="AG13" s="10">
        <f>+'A) Base RI'!AA13</f>
        <v>209573.75</v>
      </c>
      <c r="AH13" s="10">
        <f>+'A) Base RI'!AB13</f>
        <v>0</v>
      </c>
      <c r="AI13" s="10">
        <f>+'A) Base RI'!AC13</f>
        <v>479341.03</v>
      </c>
      <c r="AJ13" s="10">
        <f>+'A) Base RI'!AD13</f>
        <v>-213023.2</v>
      </c>
      <c r="AK13" s="10">
        <f>+'A) Base RI'!AE13</f>
        <v>0</v>
      </c>
      <c r="AL13" s="10">
        <f>+'A) Base RI'!AF13</f>
        <v>0</v>
      </c>
      <c r="AM13" s="10">
        <f>+'A) Base RI'!AG13</f>
        <v>0</v>
      </c>
      <c r="AN13" s="10">
        <f>+'A) Base RI'!AH13</f>
        <v>132487</v>
      </c>
      <c r="AO13" s="10">
        <f>+'A) Base RI'!AI13</f>
        <v>0</v>
      </c>
      <c r="AP13" s="10">
        <f>+'A) Base RI'!AJ13</f>
        <v>0</v>
      </c>
      <c r="AQ13" s="10">
        <f>+'A) Base RI'!AK13</f>
        <v>0</v>
      </c>
      <c r="AR13" s="10">
        <f>'A) Base RI'!AN13</f>
        <v>3939</v>
      </c>
    </row>
    <row r="14" spans="1:44" x14ac:dyDescent="0.25">
      <c r="A14" s="8">
        <f>'A) Base RI'!A14</f>
        <v>5408</v>
      </c>
      <c r="B14" s="33" t="str">
        <f>'A) Base RI'!B14</f>
        <v>Noville</v>
      </c>
      <c r="C14" s="10">
        <f>'A) Base RI'!C14+'A) Base RI'!D14</f>
        <v>2034282.19</v>
      </c>
      <c r="D14" s="10">
        <f>'A) Base RI'!AO14</f>
        <v>-40391.29</v>
      </c>
      <c r="E14" s="32">
        <f>'A) Base RI'!AP14</f>
        <v>0</v>
      </c>
      <c r="F14" s="32">
        <f>'A) Base RI'!AQ14</f>
        <v>-224.14</v>
      </c>
      <c r="G14" s="2">
        <f t="shared" si="0"/>
        <v>1993666.76</v>
      </c>
      <c r="H14" s="10">
        <f>+'A) Base RI'!E14</f>
        <v>0</v>
      </c>
      <c r="I14" s="10">
        <f>+'A) Base RI'!F14</f>
        <v>0</v>
      </c>
      <c r="J14" s="10">
        <f>+'A) Base RI'!G14+'A) Base RI'!H14</f>
        <v>749027.25</v>
      </c>
      <c r="K14" s="10">
        <f>+'A) Base RI'!I14</f>
        <v>0</v>
      </c>
      <c r="L14" s="10">
        <f>+'A) Base RI'!J14</f>
        <v>88283.43</v>
      </c>
      <c r="M14" s="10">
        <f>+'A) Base RI'!K14</f>
        <v>16158.25</v>
      </c>
      <c r="N14" s="10">
        <f>+'A) Base RI'!Q14</f>
        <v>8032.71</v>
      </c>
      <c r="O14" s="10">
        <f t="shared" si="1"/>
        <v>187782.56666666665</v>
      </c>
      <c r="P14" s="10">
        <f>+'A) Base RI'!L14</f>
        <v>281673.84999999998</v>
      </c>
      <c r="Q14" s="35">
        <f>'A) Base RI'!AR14</f>
        <v>1.5</v>
      </c>
      <c r="R14" s="2">
        <f t="shared" si="2"/>
        <v>3042950.9666666668</v>
      </c>
      <c r="S14" s="34">
        <f>+'A) Base RI'!AM14</f>
        <v>78.5</v>
      </c>
      <c r="T14" s="2">
        <f t="shared" si="3"/>
        <v>2839010.15</v>
      </c>
      <c r="U14" s="2">
        <f t="shared" si="4"/>
        <v>38763.706581740975</v>
      </c>
      <c r="V14" s="10">
        <f>+'A) Base RI'!O14</f>
        <v>0</v>
      </c>
      <c r="W14" s="10">
        <f>+'A) Base RI'!P14</f>
        <v>387372.55</v>
      </c>
      <c r="X14" s="10">
        <f>+'A) Base RI'!R14</f>
        <v>50551.65</v>
      </c>
      <c r="Y14" s="2">
        <f t="shared" si="5"/>
        <v>437924.2</v>
      </c>
      <c r="Z14" s="10">
        <f>+'A) Base RI'!N14</f>
        <v>139114.85</v>
      </c>
      <c r="AA14" s="10">
        <f>+'A) Base RI'!S14+'A) Base RI'!T14</f>
        <v>17206.7</v>
      </c>
      <c r="AB14" s="10">
        <f>+'A) Base RI'!U14</f>
        <v>7800</v>
      </c>
      <c r="AC14" s="10">
        <f>+'A) Base RI'!V14</f>
        <v>0</v>
      </c>
      <c r="AD14" s="10">
        <f>+'A) Base RI'!W14</f>
        <v>0</v>
      </c>
      <c r="AE14" s="10">
        <f>+'A) Base RI'!Y14</f>
        <v>168508.65</v>
      </c>
      <c r="AF14" s="10">
        <f>+'A) Base RI'!Z14</f>
        <v>0</v>
      </c>
      <c r="AG14" s="10">
        <f>+'A) Base RI'!AA14</f>
        <v>95925.8</v>
      </c>
      <c r="AH14" s="10">
        <f>+'A) Base RI'!AB14</f>
        <v>42450.9</v>
      </c>
      <c r="AI14" s="10">
        <f>+'A) Base RI'!AC14</f>
        <v>111467.55</v>
      </c>
      <c r="AJ14" s="10">
        <f>+'A) Base RI'!AD14</f>
        <v>121988.3</v>
      </c>
      <c r="AK14" s="10">
        <f>+'A) Base RI'!AE14</f>
        <v>0</v>
      </c>
      <c r="AL14" s="10">
        <f>+'A) Base RI'!AF14</f>
        <v>0</v>
      </c>
      <c r="AM14" s="10">
        <f>+'A) Base RI'!AG14</f>
        <v>62791.3</v>
      </c>
      <c r="AN14" s="10">
        <f>+'A) Base RI'!AH14</f>
        <v>57400.7</v>
      </c>
      <c r="AO14" s="10">
        <f>+'A) Base RI'!AI14</f>
        <v>0</v>
      </c>
      <c r="AP14" s="10">
        <f>+'A) Base RI'!AJ14</f>
        <v>0</v>
      </c>
      <c r="AQ14" s="10">
        <f>+'A) Base RI'!AK14</f>
        <v>0</v>
      </c>
      <c r="AR14" s="10">
        <f>'A) Base RI'!AN14</f>
        <v>1113</v>
      </c>
    </row>
    <row r="15" spans="1:44" x14ac:dyDescent="0.25">
      <c r="A15" s="8">
        <f>'A) Base RI'!A15</f>
        <v>5409</v>
      </c>
      <c r="B15" s="33" t="str">
        <f>'A) Base RI'!B15</f>
        <v>Ollon</v>
      </c>
      <c r="C15" s="10">
        <f>'A) Base RI'!C15+'A) Base RI'!D15</f>
        <v>17743422.600000001</v>
      </c>
      <c r="D15" s="10">
        <f>'A) Base RI'!AO15</f>
        <v>-272742.56</v>
      </c>
      <c r="E15" s="32">
        <f>'A) Base RI'!AP15</f>
        <v>0</v>
      </c>
      <c r="F15" s="32">
        <f>'A) Base RI'!AQ15</f>
        <v>-6460.57</v>
      </c>
      <c r="G15" s="2">
        <f t="shared" si="0"/>
        <v>17464219.470000003</v>
      </c>
      <c r="H15" s="10">
        <f>+'A) Base RI'!E15</f>
        <v>0</v>
      </c>
      <c r="I15" s="10">
        <f>+'A) Base RI'!F15</f>
        <v>0</v>
      </c>
      <c r="J15" s="10">
        <f>+'A) Base RI'!G15+'A) Base RI'!H15</f>
        <v>952905.85</v>
      </c>
      <c r="K15" s="10">
        <f>+'A) Base RI'!I15</f>
        <v>2663385.38</v>
      </c>
      <c r="L15" s="10">
        <f>+'A) Base RI'!J15</f>
        <v>636620.25</v>
      </c>
      <c r="M15" s="10">
        <f>+'A) Base RI'!K15</f>
        <v>116612.8</v>
      </c>
      <c r="N15" s="10">
        <f>+'A) Base RI'!Q15</f>
        <v>105851.69</v>
      </c>
      <c r="O15" s="10">
        <f t="shared" si="1"/>
        <v>3156160.423076923</v>
      </c>
      <c r="P15" s="10">
        <f>+'A) Base RI'!L15</f>
        <v>4103008.55</v>
      </c>
      <c r="Q15" s="35">
        <f>'A) Base RI'!AR15</f>
        <v>1.3</v>
      </c>
      <c r="R15" s="2">
        <f t="shared" si="2"/>
        <v>25095755.863076929</v>
      </c>
      <c r="S15" s="34">
        <f>+'A) Base RI'!AM15</f>
        <v>68</v>
      </c>
      <c r="T15" s="2">
        <f t="shared" si="3"/>
        <v>21822982.640000004</v>
      </c>
      <c r="U15" s="2">
        <f t="shared" si="4"/>
        <v>369055.23328054306</v>
      </c>
      <c r="V15" s="10">
        <f>+'A) Base RI'!O15</f>
        <v>1989328.1</v>
      </c>
      <c r="W15" s="10">
        <f>+'A) Base RI'!P15</f>
        <v>1463003.25</v>
      </c>
      <c r="X15" s="10">
        <f>+'A) Base RI'!R15</f>
        <v>648955.65</v>
      </c>
      <c r="Y15" s="2">
        <f t="shared" si="5"/>
        <v>4101287</v>
      </c>
      <c r="Z15" s="10">
        <f>+'A) Base RI'!N15</f>
        <v>74320.850000000006</v>
      </c>
      <c r="AA15" s="10">
        <f>+'A) Base RI'!S15+'A) Base RI'!T15</f>
        <v>0</v>
      </c>
      <c r="AB15" s="10">
        <f>+'A) Base RI'!U15</f>
        <v>56900</v>
      </c>
      <c r="AC15" s="10">
        <f>+'A) Base RI'!V15</f>
        <v>0</v>
      </c>
      <c r="AD15" s="10">
        <f>+'A) Base RI'!W15</f>
        <v>0</v>
      </c>
      <c r="AE15" s="10">
        <f>+'A) Base RI'!Y15</f>
        <v>145308.84</v>
      </c>
      <c r="AF15" s="10">
        <f>+'A) Base RI'!Z15</f>
        <v>31612.59</v>
      </c>
      <c r="AG15" s="10">
        <f>+'A) Base RI'!AA15</f>
        <v>2366664.1</v>
      </c>
      <c r="AH15" s="10">
        <f>+'A) Base RI'!AB15</f>
        <v>0</v>
      </c>
      <c r="AI15" s="10">
        <f>+'A) Base RI'!AC15</f>
        <v>1478741.25</v>
      </c>
      <c r="AJ15" s="10">
        <f>+'A) Base RI'!AD15</f>
        <v>264759.15000000002</v>
      </c>
      <c r="AK15" s="10">
        <f>+'A) Base RI'!AE15</f>
        <v>63920.55</v>
      </c>
      <c r="AL15" s="10">
        <f>+'A) Base RI'!AF15</f>
        <v>0</v>
      </c>
      <c r="AM15" s="10">
        <f>+'A) Base RI'!AG15</f>
        <v>3265067.74</v>
      </c>
      <c r="AN15" s="10">
        <f>+'A) Base RI'!AH15</f>
        <v>0</v>
      </c>
      <c r="AO15" s="10">
        <f>+'A) Base RI'!AI15</f>
        <v>0</v>
      </c>
      <c r="AP15" s="10">
        <f>+'A) Base RI'!AJ15</f>
        <v>0</v>
      </c>
      <c r="AQ15" s="10">
        <f>+'A) Base RI'!AK15</f>
        <v>0</v>
      </c>
      <c r="AR15" s="10">
        <f>'A) Base RI'!AN15</f>
        <v>7461</v>
      </c>
    </row>
    <row r="16" spans="1:44" x14ac:dyDescent="0.25">
      <c r="A16" s="8">
        <f>'A) Base RI'!A16</f>
        <v>5410</v>
      </c>
      <c r="B16" s="33" t="str">
        <f>'A) Base RI'!B16</f>
        <v>Ormont-Dessous</v>
      </c>
      <c r="C16" s="10">
        <f>'A) Base RI'!C16+'A) Base RI'!D16</f>
        <v>3005518.7199999997</v>
      </c>
      <c r="D16" s="10">
        <f>'A) Base RI'!AO16</f>
        <v>-85157.28</v>
      </c>
      <c r="E16" s="32">
        <f>'A) Base RI'!AP16</f>
        <v>0</v>
      </c>
      <c r="F16" s="32">
        <f>'A) Base RI'!AQ16</f>
        <v>-112.78</v>
      </c>
      <c r="G16" s="2">
        <f t="shared" si="0"/>
        <v>2920248.66</v>
      </c>
      <c r="H16" s="10">
        <f>+'A) Base RI'!E16</f>
        <v>0</v>
      </c>
      <c r="I16" s="10">
        <f>+'A) Base RI'!F16</f>
        <v>0</v>
      </c>
      <c r="J16" s="10">
        <f>+'A) Base RI'!G16+'A) Base RI'!H16</f>
        <v>53876.7</v>
      </c>
      <c r="K16" s="10">
        <f>+'A) Base RI'!I16</f>
        <v>0</v>
      </c>
      <c r="L16" s="10">
        <f>+'A) Base RI'!J16</f>
        <v>62143.42</v>
      </c>
      <c r="M16" s="10">
        <f>+'A) Base RI'!K16</f>
        <v>7310.15</v>
      </c>
      <c r="N16" s="10">
        <f>+'A) Base RI'!Q16</f>
        <v>80.61</v>
      </c>
      <c r="O16" s="10">
        <f t="shared" si="1"/>
        <v>370395.7</v>
      </c>
      <c r="P16" s="10">
        <f>+'A) Base RI'!L16</f>
        <v>555593.55000000005</v>
      </c>
      <c r="Q16" s="35">
        <f>'A) Base RI'!AR16</f>
        <v>1.5</v>
      </c>
      <c r="R16" s="2">
        <f t="shared" si="2"/>
        <v>3414055.24</v>
      </c>
      <c r="S16" s="34">
        <f>+'A) Base RI'!AM16</f>
        <v>78.5</v>
      </c>
      <c r="T16" s="2">
        <f t="shared" si="3"/>
        <v>3036349.39</v>
      </c>
      <c r="U16" s="2">
        <f t="shared" si="4"/>
        <v>43491.149554140131</v>
      </c>
      <c r="V16" s="10">
        <f>+'A) Base RI'!O16</f>
        <v>48586.2</v>
      </c>
      <c r="W16" s="10">
        <f>+'A) Base RI'!P16</f>
        <v>153604.75</v>
      </c>
      <c r="X16" s="10">
        <f>+'A) Base RI'!R16</f>
        <v>120544.2</v>
      </c>
      <c r="Y16" s="2">
        <f t="shared" si="5"/>
        <v>322735.15000000002</v>
      </c>
      <c r="Z16" s="10">
        <f>+'A) Base RI'!N16</f>
        <v>0</v>
      </c>
      <c r="AA16" s="10">
        <f>+'A) Base RI'!S16+'A) Base RI'!T16</f>
        <v>9174.15</v>
      </c>
      <c r="AB16" s="10">
        <f>+'A) Base RI'!U16</f>
        <v>16600</v>
      </c>
      <c r="AC16" s="10">
        <f>+'A) Base RI'!V16</f>
        <v>3187.9</v>
      </c>
      <c r="AD16" s="10">
        <f>+'A) Base RI'!W16</f>
        <v>0</v>
      </c>
      <c r="AE16" s="10">
        <f>+'A) Base RI'!Y16</f>
        <v>16350.5</v>
      </c>
      <c r="AF16" s="10">
        <f>+'A) Base RI'!Z16</f>
        <v>0</v>
      </c>
      <c r="AG16" s="10">
        <f>+'A) Base RI'!AA16</f>
        <v>478044.35</v>
      </c>
      <c r="AH16" s="10">
        <f>+'A) Base RI'!AB16</f>
        <v>0</v>
      </c>
      <c r="AI16" s="10">
        <f>+'A) Base RI'!AC16</f>
        <v>259090.94</v>
      </c>
      <c r="AJ16" s="10">
        <f>+'A) Base RI'!AD16</f>
        <v>29637</v>
      </c>
      <c r="AK16" s="10">
        <f>+'A) Base RI'!AE16</f>
        <v>0</v>
      </c>
      <c r="AL16" s="10">
        <f>+'A) Base RI'!AF16</f>
        <v>0</v>
      </c>
      <c r="AM16" s="10">
        <f>+'A) Base RI'!AG16</f>
        <v>323353.65000000002</v>
      </c>
      <c r="AN16" s="10">
        <f>+'A) Base RI'!AH16</f>
        <v>57390.9</v>
      </c>
      <c r="AO16" s="10">
        <f>+'A) Base RI'!AI16</f>
        <v>0</v>
      </c>
      <c r="AP16" s="10">
        <f>+'A) Base RI'!AJ16</f>
        <v>32794.800000000003</v>
      </c>
      <c r="AQ16" s="10">
        <f>+'A) Base RI'!AK16</f>
        <v>0</v>
      </c>
      <c r="AR16" s="10">
        <f>'A) Base RI'!AN16</f>
        <v>1121</v>
      </c>
    </row>
    <row r="17" spans="1:44" x14ac:dyDescent="0.25">
      <c r="A17" s="8">
        <f>'A) Base RI'!A17</f>
        <v>5411</v>
      </c>
      <c r="B17" s="33" t="str">
        <f>'A) Base RI'!B17</f>
        <v>Ormont-Dessus</v>
      </c>
      <c r="C17" s="10">
        <f>'A) Base RI'!C17+'A) Base RI'!D17</f>
        <v>4508661.5199999996</v>
      </c>
      <c r="D17" s="10">
        <f>'A) Base RI'!AO17</f>
        <v>-46070.25</v>
      </c>
      <c r="E17" s="32">
        <f>'A) Base RI'!AP17</f>
        <v>0</v>
      </c>
      <c r="F17" s="32">
        <f>'A) Base RI'!AQ17</f>
        <v>-608.16999999999996</v>
      </c>
      <c r="G17" s="2">
        <f t="shared" si="0"/>
        <v>4461983.0999999996</v>
      </c>
      <c r="H17" s="10">
        <f>+'A) Base RI'!E17</f>
        <v>0</v>
      </c>
      <c r="I17" s="10">
        <f>+'A) Base RI'!F17</f>
        <v>0</v>
      </c>
      <c r="J17" s="10">
        <f>+'A) Base RI'!G17+'A) Base RI'!H17</f>
        <v>84423.1</v>
      </c>
      <c r="K17" s="10">
        <f>+'A) Base RI'!I17</f>
        <v>67080.78</v>
      </c>
      <c r="L17" s="10">
        <f>+'A) Base RI'!J17</f>
        <v>119038.02</v>
      </c>
      <c r="M17" s="10">
        <f>+'A) Base RI'!K17</f>
        <v>21713.05</v>
      </c>
      <c r="N17" s="10">
        <f>+'A) Base RI'!Q17</f>
        <v>-114.66</v>
      </c>
      <c r="O17" s="10">
        <f t="shared" si="1"/>
        <v>787211.20000000007</v>
      </c>
      <c r="P17" s="10">
        <f>+'A) Base RI'!L17</f>
        <v>1180816.8</v>
      </c>
      <c r="Q17" s="35">
        <f>'A) Base RI'!AR17</f>
        <v>1.5</v>
      </c>
      <c r="R17" s="2">
        <f t="shared" si="2"/>
        <v>5541334.5899999989</v>
      </c>
      <c r="S17" s="34">
        <f>+'A) Base RI'!AM17</f>
        <v>76</v>
      </c>
      <c r="T17" s="2">
        <f t="shared" si="3"/>
        <v>4732410.3399999989</v>
      </c>
      <c r="U17" s="2">
        <f t="shared" si="4"/>
        <v>72912.297236842089</v>
      </c>
      <c r="V17" s="10">
        <f>+'A) Base RI'!O17</f>
        <v>123078.6</v>
      </c>
      <c r="W17" s="10">
        <f>+'A) Base RI'!P17</f>
        <v>354188.05</v>
      </c>
      <c r="X17" s="10">
        <f>+'A) Base RI'!R17</f>
        <v>260238.1</v>
      </c>
      <c r="Y17" s="2">
        <f t="shared" si="5"/>
        <v>737504.75</v>
      </c>
      <c r="Z17" s="10">
        <f>+'A) Base RI'!N17</f>
        <v>10324.950000000001</v>
      </c>
      <c r="AA17" s="10">
        <f>+'A) Base RI'!S17+'A) Base RI'!T17</f>
        <v>10500</v>
      </c>
      <c r="AB17" s="10">
        <f>+'A) Base RI'!U17</f>
        <v>11100</v>
      </c>
      <c r="AC17" s="10">
        <f>+'A) Base RI'!V17</f>
        <v>0</v>
      </c>
      <c r="AD17" s="10">
        <f>+'A) Base RI'!W17</f>
        <v>0</v>
      </c>
      <c r="AE17" s="10">
        <f>+'A) Base RI'!Y17</f>
        <v>5576</v>
      </c>
      <c r="AF17" s="10">
        <f>+'A) Base RI'!Z17</f>
        <v>0</v>
      </c>
      <c r="AG17" s="10">
        <f>+'A) Base RI'!AA17</f>
        <v>370604.15</v>
      </c>
      <c r="AH17" s="10">
        <f>+'A) Base RI'!AB17</f>
        <v>0</v>
      </c>
      <c r="AI17" s="10">
        <f>+'A) Base RI'!AC17</f>
        <v>501257.36</v>
      </c>
      <c r="AJ17" s="10">
        <f>+'A) Base RI'!AD17</f>
        <v>17984</v>
      </c>
      <c r="AK17" s="10">
        <f>+'A) Base RI'!AE17</f>
        <v>0</v>
      </c>
      <c r="AL17" s="10">
        <f>+'A) Base RI'!AF17</f>
        <v>0</v>
      </c>
      <c r="AM17" s="10">
        <f>+'A) Base RI'!AG17</f>
        <v>1303981.3600000001</v>
      </c>
      <c r="AN17" s="10">
        <f>+'A) Base RI'!AH17</f>
        <v>0</v>
      </c>
      <c r="AO17" s="10">
        <f>+'A) Base RI'!AI17</f>
        <v>0</v>
      </c>
      <c r="AP17" s="10">
        <f>+'A) Base RI'!AJ17</f>
        <v>0</v>
      </c>
      <c r="AQ17" s="10">
        <f>+'A) Base RI'!AK17</f>
        <v>29188.35</v>
      </c>
      <c r="AR17" s="10">
        <f>'A) Base RI'!AN17</f>
        <v>1446</v>
      </c>
    </row>
    <row r="18" spans="1:44" x14ac:dyDescent="0.25">
      <c r="A18" s="8">
        <f>'A) Base RI'!A18</f>
        <v>5412</v>
      </c>
      <c r="B18" s="33" t="str">
        <f>'A) Base RI'!B18</f>
        <v>Rennaz</v>
      </c>
      <c r="C18" s="10">
        <f>'A) Base RI'!C18+'A) Base RI'!D18</f>
        <v>1277986.6500000001</v>
      </c>
      <c r="D18" s="10">
        <f>'A) Base RI'!AO18</f>
        <v>-51995.75</v>
      </c>
      <c r="E18" s="32">
        <f>'A) Base RI'!AP18</f>
        <v>0</v>
      </c>
      <c r="F18" s="32">
        <f>'A) Base RI'!AQ18</f>
        <v>-62.62</v>
      </c>
      <c r="G18" s="2">
        <f t="shared" si="0"/>
        <v>1225928.28</v>
      </c>
      <c r="H18" s="10">
        <f>+'A) Base RI'!E18</f>
        <v>0</v>
      </c>
      <c r="I18" s="10">
        <f>+'A) Base RI'!F18</f>
        <v>0</v>
      </c>
      <c r="J18" s="10">
        <f>+'A) Base RI'!G18+'A) Base RI'!H18</f>
        <v>286555.14999999997</v>
      </c>
      <c r="K18" s="10">
        <f>+'A) Base RI'!I18</f>
        <v>26681.200000000001</v>
      </c>
      <c r="L18" s="10">
        <f>+'A) Base RI'!J18</f>
        <v>83177.75</v>
      </c>
      <c r="M18" s="10">
        <f>+'A) Base RI'!K18</f>
        <v>48414.7</v>
      </c>
      <c r="N18" s="10">
        <f>+'A) Base RI'!Q18</f>
        <v>7537.12</v>
      </c>
      <c r="O18" s="10">
        <f t="shared" si="1"/>
        <v>217898.9</v>
      </c>
      <c r="P18" s="10">
        <f>+'A) Base RI'!L18</f>
        <v>217898.9</v>
      </c>
      <c r="Q18" s="35">
        <f>'A) Base RI'!AR18</f>
        <v>1</v>
      </c>
      <c r="R18" s="2">
        <f t="shared" si="2"/>
        <v>1896193.0999999999</v>
      </c>
      <c r="S18" s="34">
        <f>+'A) Base RI'!AM18</f>
        <v>67.5</v>
      </c>
      <c r="T18" s="2">
        <f t="shared" si="3"/>
        <v>1629879.5</v>
      </c>
      <c r="U18" s="2">
        <f t="shared" si="4"/>
        <v>28091.749629629627</v>
      </c>
      <c r="V18" s="10">
        <f>+'A) Base RI'!O18</f>
        <v>0</v>
      </c>
      <c r="W18" s="10">
        <f>+'A) Base RI'!P18</f>
        <v>581927.75</v>
      </c>
      <c r="X18" s="10">
        <f>+'A) Base RI'!R18</f>
        <v>242241.05</v>
      </c>
      <c r="Y18" s="2">
        <f t="shared" si="5"/>
        <v>824168.8</v>
      </c>
      <c r="Z18" s="10">
        <f>+'A) Base RI'!N18</f>
        <v>91968.35</v>
      </c>
      <c r="AA18" s="10">
        <f>+'A) Base RI'!S18+'A) Base RI'!T18</f>
        <v>0</v>
      </c>
      <c r="AB18" s="10">
        <f>+'A) Base RI'!U18</f>
        <v>4450</v>
      </c>
      <c r="AC18" s="10">
        <f>+'A) Base RI'!V18</f>
        <v>0</v>
      </c>
      <c r="AD18" s="10">
        <f>+'A) Base RI'!W18</f>
        <v>0</v>
      </c>
      <c r="AE18" s="10">
        <f>+'A) Base RI'!Y18</f>
        <v>0</v>
      </c>
      <c r="AF18" s="10">
        <f>+'A) Base RI'!Z18</f>
        <v>4400</v>
      </c>
      <c r="AG18" s="10">
        <f>+'A) Base RI'!AA18</f>
        <v>0</v>
      </c>
      <c r="AH18" s="10">
        <f>+'A) Base RI'!AB18</f>
        <v>156395.26</v>
      </c>
      <c r="AI18" s="10">
        <f>+'A) Base RI'!AC18</f>
        <v>0</v>
      </c>
      <c r="AJ18" s="10">
        <f>+'A) Base RI'!AD18</f>
        <v>94287.3</v>
      </c>
      <c r="AK18" s="10">
        <f>+'A) Base RI'!AE18</f>
        <v>5280</v>
      </c>
      <c r="AL18" s="10">
        <f>+'A) Base RI'!AF18</f>
        <v>0</v>
      </c>
      <c r="AM18" s="10">
        <f>+'A) Base RI'!AG18</f>
        <v>502.5</v>
      </c>
      <c r="AN18" s="10">
        <f>+'A) Base RI'!AH18</f>
        <v>61439.4</v>
      </c>
      <c r="AO18" s="10">
        <f>+'A) Base RI'!AI18</f>
        <v>0</v>
      </c>
      <c r="AP18" s="10">
        <f>+'A) Base RI'!AJ18</f>
        <v>0</v>
      </c>
      <c r="AQ18" s="10">
        <f>+'A) Base RI'!AK18</f>
        <v>0</v>
      </c>
      <c r="AR18" s="10">
        <f>'A) Base RI'!AN18</f>
        <v>826</v>
      </c>
    </row>
    <row r="19" spans="1:44" x14ac:dyDescent="0.25">
      <c r="A19" s="8">
        <f>'A) Base RI'!A19</f>
        <v>5413</v>
      </c>
      <c r="B19" s="33" t="str">
        <f>'A) Base RI'!B19</f>
        <v>Roche</v>
      </c>
      <c r="C19" s="10">
        <f>'A) Base RI'!C19+'A) Base RI'!D19</f>
        <v>2124422.91</v>
      </c>
      <c r="D19" s="10">
        <f>'A) Base RI'!AO19</f>
        <v>-69426.48</v>
      </c>
      <c r="E19" s="32">
        <f>'A) Base RI'!AP19</f>
        <v>0</v>
      </c>
      <c r="F19" s="32">
        <f>'A) Base RI'!AQ19</f>
        <v>-76.510000000000005</v>
      </c>
      <c r="G19" s="2">
        <f t="shared" si="0"/>
        <v>2054919.9200000002</v>
      </c>
      <c r="H19" s="10">
        <f>+'A) Base RI'!E19</f>
        <v>0</v>
      </c>
      <c r="I19" s="10">
        <f>+'A) Base RI'!F19</f>
        <v>0</v>
      </c>
      <c r="J19" s="10">
        <f>+'A) Base RI'!G19+'A) Base RI'!H19</f>
        <v>231877.85</v>
      </c>
      <c r="K19" s="10">
        <f>+'A) Base RI'!I19</f>
        <v>0</v>
      </c>
      <c r="L19" s="10">
        <f>+'A) Base RI'!J19</f>
        <v>101427.47</v>
      </c>
      <c r="M19" s="10">
        <f>+'A) Base RI'!K19</f>
        <v>33889.550000000003</v>
      </c>
      <c r="N19" s="10">
        <f>+'A) Base RI'!Q19</f>
        <v>23241.56</v>
      </c>
      <c r="O19" s="10">
        <f t="shared" si="1"/>
        <v>244739.8</v>
      </c>
      <c r="P19" s="10">
        <f>+'A) Base RI'!L19</f>
        <v>244739.8</v>
      </c>
      <c r="Q19" s="35">
        <f>'A) Base RI'!AR19</f>
        <v>1</v>
      </c>
      <c r="R19" s="2">
        <f t="shared" si="2"/>
        <v>2690096.15</v>
      </c>
      <c r="S19" s="34">
        <f>+'A) Base RI'!AM19</f>
        <v>68</v>
      </c>
      <c r="T19" s="2">
        <f t="shared" si="3"/>
        <v>2411466.8000000003</v>
      </c>
      <c r="U19" s="2">
        <f t="shared" si="4"/>
        <v>39560.237499999996</v>
      </c>
      <c r="V19" s="10">
        <f>+'A) Base RI'!O19</f>
        <v>26964.3</v>
      </c>
      <c r="W19" s="10">
        <f>+'A) Base RI'!P19</f>
        <v>247564.85</v>
      </c>
      <c r="X19" s="10">
        <f>+'A) Base RI'!R19</f>
        <v>87070.45</v>
      </c>
      <c r="Y19" s="2">
        <f t="shared" si="5"/>
        <v>361599.60000000003</v>
      </c>
      <c r="Z19" s="10">
        <f>+'A) Base RI'!N19</f>
        <v>228358.3</v>
      </c>
      <c r="AA19" s="10">
        <f>+'A) Base RI'!S19+'A) Base RI'!T19</f>
        <v>0</v>
      </c>
      <c r="AB19" s="10">
        <f>+'A) Base RI'!U19</f>
        <v>12125</v>
      </c>
      <c r="AC19" s="10">
        <f>+'A) Base RI'!V19</f>
        <v>0</v>
      </c>
      <c r="AD19" s="10">
        <f>+'A) Base RI'!W19</f>
        <v>0</v>
      </c>
      <c r="AE19" s="10">
        <f>+'A) Base RI'!Y19</f>
        <v>30340</v>
      </c>
      <c r="AF19" s="10">
        <f>+'A) Base RI'!Z19</f>
        <v>11238</v>
      </c>
      <c r="AG19" s="10">
        <f>+'A) Base RI'!AA19</f>
        <v>130693.35</v>
      </c>
      <c r="AH19" s="10" t="str">
        <f>+'A) Base RI'!AB19</f>
        <v/>
      </c>
      <c r="AI19" s="10">
        <f>+'A) Base RI'!AC19</f>
        <v>197088.94</v>
      </c>
      <c r="AJ19" s="10">
        <f>+'A) Base RI'!AD19</f>
        <v>44845.599999999999</v>
      </c>
      <c r="AK19" s="10">
        <f>+'A) Base RI'!AE19</f>
        <v>31329.9</v>
      </c>
      <c r="AL19" s="10" t="str">
        <f>+'A) Base RI'!AF19</f>
        <v/>
      </c>
      <c r="AM19" s="10" t="str">
        <f>+'A) Base RI'!AG19</f>
        <v/>
      </c>
      <c r="AN19" s="10">
        <f>+'A) Base RI'!AH19</f>
        <v>72103.05</v>
      </c>
      <c r="AO19" s="10">
        <f>+'A) Base RI'!AI19</f>
        <v>0</v>
      </c>
      <c r="AP19" s="10">
        <f>+'A) Base RI'!AJ19</f>
        <v>20600.849999999999</v>
      </c>
      <c r="AQ19" s="10">
        <f>+'A) Base RI'!AK19</f>
        <v>0</v>
      </c>
      <c r="AR19" s="10">
        <f>'A) Base RI'!AN19</f>
        <v>1775</v>
      </c>
    </row>
    <row r="20" spans="1:44" x14ac:dyDescent="0.25">
      <c r="A20" s="8">
        <f>'A) Base RI'!A20</f>
        <v>5414</v>
      </c>
      <c r="B20" s="33" t="str">
        <f>'A) Base RI'!B20</f>
        <v>Villeneuve</v>
      </c>
      <c r="C20" s="10">
        <f>'A) Base RI'!C20+'A) Base RI'!D20</f>
        <v>9008213.6600000001</v>
      </c>
      <c r="D20" s="10">
        <f>'A) Base RI'!AO20</f>
        <v>-256734.91</v>
      </c>
      <c r="E20" s="32">
        <f>'A) Base RI'!AP20</f>
        <v>0</v>
      </c>
      <c r="F20" s="32">
        <f>'A) Base RI'!AQ20</f>
        <v>-843.06</v>
      </c>
      <c r="G20" s="2">
        <f t="shared" si="0"/>
        <v>8750635.6899999995</v>
      </c>
      <c r="H20" s="10">
        <f>+'A) Base RI'!E20</f>
        <v>0</v>
      </c>
      <c r="I20" s="10">
        <f>+'A) Base RI'!F20</f>
        <v>0</v>
      </c>
      <c r="J20" s="10">
        <f>+'A) Base RI'!G20+'A) Base RI'!H20</f>
        <v>655108.69999999995</v>
      </c>
      <c r="K20" s="10">
        <f>+'A) Base RI'!I20</f>
        <v>137304.20000000001</v>
      </c>
      <c r="L20" s="10">
        <f>+'A) Base RI'!J20</f>
        <v>500025.99</v>
      </c>
      <c r="M20" s="10">
        <f>+'A) Base RI'!K20</f>
        <v>150985.95000000001</v>
      </c>
      <c r="N20" s="10">
        <f>+'A) Base RI'!Q20</f>
        <v>35069.129999999997</v>
      </c>
      <c r="O20" s="10">
        <f t="shared" si="1"/>
        <v>1200106.1000000001</v>
      </c>
      <c r="P20" s="10">
        <f>+'A) Base RI'!L20</f>
        <v>1200106.1000000001</v>
      </c>
      <c r="Q20" s="35">
        <f>'A) Base RI'!AR20</f>
        <v>1</v>
      </c>
      <c r="R20" s="2">
        <f t="shared" si="2"/>
        <v>11429235.759999998</v>
      </c>
      <c r="S20" s="34">
        <f>+'A) Base RI'!AM20</f>
        <v>69</v>
      </c>
      <c r="T20" s="2">
        <f t="shared" si="3"/>
        <v>10078143.709999999</v>
      </c>
      <c r="U20" s="2">
        <f t="shared" si="4"/>
        <v>165641.09797101447</v>
      </c>
      <c r="V20" s="10">
        <f>+'A) Base RI'!O20</f>
        <v>640549.19999999995</v>
      </c>
      <c r="W20" s="10">
        <f>+'A) Base RI'!P20</f>
        <v>799684.8</v>
      </c>
      <c r="X20" s="10">
        <f>+'A) Base RI'!R20</f>
        <v>227065.15</v>
      </c>
      <c r="Y20" s="2">
        <f t="shared" si="5"/>
        <v>1667299.15</v>
      </c>
      <c r="Z20" s="10">
        <f>+'A) Base RI'!N20</f>
        <v>1387107.6</v>
      </c>
      <c r="AA20" s="10">
        <f>+'A) Base RI'!S20+'A) Base RI'!T20</f>
        <v>0</v>
      </c>
      <c r="AB20" s="10">
        <f>+'A) Base RI'!U20</f>
        <v>31280</v>
      </c>
      <c r="AC20" s="10">
        <f>+'A) Base RI'!V20</f>
        <v>0</v>
      </c>
      <c r="AD20" s="10">
        <f>+'A) Base RI'!W20</f>
        <v>0</v>
      </c>
      <c r="AE20" s="10">
        <f>+'A) Base RI'!Y20</f>
        <v>110287.95</v>
      </c>
      <c r="AF20" s="10">
        <f>+'A) Base RI'!Z20</f>
        <v>0</v>
      </c>
      <c r="AG20" s="10">
        <f>+'A) Base RI'!AA20</f>
        <v>1123383.1000000001</v>
      </c>
      <c r="AH20" s="10">
        <f>+'A) Base RI'!AB20</f>
        <v>0</v>
      </c>
      <c r="AI20" s="10">
        <f>+'A) Base RI'!AC20</f>
        <v>857102.45</v>
      </c>
      <c r="AJ20" s="10">
        <f>+'A) Base RI'!AD20</f>
        <v>141323.70000000001</v>
      </c>
      <c r="AK20" s="10">
        <f>+'A) Base RI'!AE20</f>
        <v>0</v>
      </c>
      <c r="AL20" s="10">
        <f>+'A) Base RI'!AF20</f>
        <v>0</v>
      </c>
      <c r="AM20" s="10">
        <f>+'A) Base RI'!AG20</f>
        <v>76133</v>
      </c>
      <c r="AN20" s="10">
        <f>+'A) Base RI'!AH20</f>
        <v>220132.8</v>
      </c>
      <c r="AO20" s="10">
        <f>+'A) Base RI'!AI20</f>
        <v>0</v>
      </c>
      <c r="AP20" s="10">
        <f>+'A) Base RI'!AJ20</f>
        <v>125790.15</v>
      </c>
      <c r="AQ20" s="10">
        <f>+'A) Base RI'!AK20</f>
        <v>0</v>
      </c>
      <c r="AR20" s="10">
        <f>'A) Base RI'!AN20</f>
        <v>5771</v>
      </c>
    </row>
    <row r="21" spans="1:44" x14ac:dyDescent="0.25">
      <c r="A21" s="8">
        <f>'A) Base RI'!A21</f>
        <v>5415</v>
      </c>
      <c r="B21" s="33" t="str">
        <f>'A) Base RI'!B21</f>
        <v>Yvorne</v>
      </c>
      <c r="C21" s="10">
        <f>'A) Base RI'!C21+'A) Base RI'!D21</f>
        <v>2018356.28</v>
      </c>
      <c r="D21" s="10">
        <f>'A) Base RI'!AO21</f>
        <v>-28198.14</v>
      </c>
      <c r="E21" s="32">
        <f>'A) Base RI'!AP21</f>
        <v>0</v>
      </c>
      <c r="F21" s="32">
        <f>'A) Base RI'!AQ21</f>
        <v>-634.12</v>
      </c>
      <c r="G21" s="2">
        <f t="shared" si="0"/>
        <v>1989524.02</v>
      </c>
      <c r="H21" s="10">
        <f>+'A) Base RI'!E21</f>
        <v>0</v>
      </c>
      <c r="I21" s="10">
        <f>+'A) Base RI'!F21</f>
        <v>0</v>
      </c>
      <c r="J21" s="10">
        <f>+'A) Base RI'!G21+'A) Base RI'!H21</f>
        <v>191796.55</v>
      </c>
      <c r="K21" s="10">
        <f>+'A) Base RI'!I21</f>
        <v>567.5</v>
      </c>
      <c r="L21" s="10">
        <f>+'A) Base RI'!J21</f>
        <v>64534.82</v>
      </c>
      <c r="M21" s="10">
        <f>+'A) Base RI'!K21</f>
        <v>8444.25</v>
      </c>
      <c r="N21" s="10">
        <f>+'A) Base RI'!Q21</f>
        <v>11963.97</v>
      </c>
      <c r="O21" s="10">
        <f t="shared" si="1"/>
        <v>206407.69999999998</v>
      </c>
      <c r="P21" s="10">
        <f>+'A) Base RI'!L21</f>
        <v>309611.55</v>
      </c>
      <c r="Q21" s="35">
        <f>'A) Base RI'!AR21</f>
        <v>1.5</v>
      </c>
      <c r="R21" s="2">
        <f t="shared" si="2"/>
        <v>2473238.81</v>
      </c>
      <c r="S21" s="34">
        <f>+'A) Base RI'!AM21</f>
        <v>71.5</v>
      </c>
      <c r="T21" s="2">
        <f t="shared" si="3"/>
        <v>2258386.86</v>
      </c>
      <c r="U21" s="2">
        <f t="shared" si="4"/>
        <v>34590.752587412586</v>
      </c>
      <c r="V21" s="10">
        <f>+'A) Base RI'!O21</f>
        <v>1177.9000000000001</v>
      </c>
      <c r="W21" s="10">
        <f>+'A) Base RI'!P21</f>
        <v>90705.75</v>
      </c>
      <c r="X21" s="10">
        <f>+'A) Base RI'!R21</f>
        <v>47979.8</v>
      </c>
      <c r="Y21" s="2">
        <f t="shared" si="5"/>
        <v>139863.45000000001</v>
      </c>
      <c r="Z21" s="10">
        <f>+'A) Base RI'!N21</f>
        <v>37308.5</v>
      </c>
      <c r="AA21" s="10">
        <f>+'A) Base RI'!S21+'A) Base RI'!T21</f>
        <v>0</v>
      </c>
      <c r="AB21" s="10">
        <f>+'A) Base RI'!U21</f>
        <v>8300</v>
      </c>
      <c r="AC21" s="10">
        <f>+'A) Base RI'!V21</f>
        <v>0</v>
      </c>
      <c r="AD21" s="10">
        <f>+'A) Base RI'!W21</f>
        <v>0</v>
      </c>
      <c r="AE21" s="10">
        <f>+'A) Base RI'!Y21</f>
        <v>34766.800000000003</v>
      </c>
      <c r="AF21" s="10">
        <f>+'A) Base RI'!Z21</f>
        <v>0</v>
      </c>
      <c r="AG21" s="10">
        <f>+'A) Base RI'!AA21</f>
        <v>211642.73</v>
      </c>
      <c r="AH21" s="10">
        <f>+'A) Base RI'!AB21</f>
        <v>0</v>
      </c>
      <c r="AI21" s="10">
        <f>+'A) Base RI'!AC21</f>
        <v>41222.839999999997</v>
      </c>
      <c r="AJ21" s="10">
        <f>+'A) Base RI'!AD21</f>
        <v>49872.95</v>
      </c>
      <c r="AK21" s="10">
        <f>+'A) Base RI'!AE21</f>
        <v>0</v>
      </c>
      <c r="AL21" s="10">
        <f>+'A) Base RI'!AF21</f>
        <v>0</v>
      </c>
      <c r="AM21" s="10">
        <f>+'A) Base RI'!AG21</f>
        <v>30296.5</v>
      </c>
      <c r="AN21" s="10">
        <f>+'A) Base RI'!AH21</f>
        <v>35985.4</v>
      </c>
      <c r="AO21" s="10">
        <f>+'A) Base RI'!AI21</f>
        <v>0</v>
      </c>
      <c r="AP21" s="10">
        <f>+'A) Base RI'!AJ21</f>
        <v>0</v>
      </c>
      <c r="AQ21" s="10">
        <f>+'A) Base RI'!AK21</f>
        <v>35985.4</v>
      </c>
      <c r="AR21" s="10">
        <f>'A) Base RI'!AN21</f>
        <v>1066</v>
      </c>
    </row>
    <row r="22" spans="1:44" x14ac:dyDescent="0.25">
      <c r="A22" s="8">
        <f>'A) Base RI'!A22</f>
        <v>5421</v>
      </c>
      <c r="B22" s="33" t="str">
        <f>'A) Base RI'!B22</f>
        <v>Apples</v>
      </c>
      <c r="C22" s="10">
        <f>'A) Base RI'!C22+'A) Base RI'!D22</f>
        <v>4862145.21</v>
      </c>
      <c r="D22" s="10">
        <f>'A) Base RI'!AO22</f>
        <v>-83924.68</v>
      </c>
      <c r="E22" s="32">
        <f>'A) Base RI'!AP22</f>
        <v>0</v>
      </c>
      <c r="F22" s="32">
        <f>'A) Base RI'!AQ22</f>
        <v>-1675.87</v>
      </c>
      <c r="G22" s="2">
        <f t="shared" si="0"/>
        <v>4776544.66</v>
      </c>
      <c r="H22" s="10">
        <f>+'A) Base RI'!E22</f>
        <v>0</v>
      </c>
      <c r="I22" s="10">
        <f>+'A) Base RI'!F22</f>
        <v>0</v>
      </c>
      <c r="J22" s="10">
        <f>+'A) Base RI'!G22+'A) Base RI'!H22</f>
        <v>232217.95</v>
      </c>
      <c r="K22" s="10">
        <f>+'A) Base RI'!I22</f>
        <v>-387052.39</v>
      </c>
      <c r="L22" s="10">
        <f>+'A) Base RI'!J22</f>
        <v>214893.62</v>
      </c>
      <c r="M22" s="10">
        <f>+'A) Base RI'!K22</f>
        <v>12675.65</v>
      </c>
      <c r="N22" s="10">
        <f>+'A) Base RI'!Q22</f>
        <v>1238.24</v>
      </c>
      <c r="O22" s="10">
        <f t="shared" si="1"/>
        <v>289507.84999999998</v>
      </c>
      <c r="P22" s="10">
        <f>+'A) Base RI'!L22</f>
        <v>289507.84999999998</v>
      </c>
      <c r="Q22" s="35">
        <f>'A) Base RI'!AR22</f>
        <v>1</v>
      </c>
      <c r="R22" s="2">
        <f t="shared" si="2"/>
        <v>5140025.580000001</v>
      </c>
      <c r="S22" s="34">
        <f>+'A) Base RI'!AM22</f>
        <v>76</v>
      </c>
      <c r="T22" s="2">
        <f t="shared" si="3"/>
        <v>4837842.080000001</v>
      </c>
      <c r="U22" s="2">
        <f t="shared" si="4"/>
        <v>67631.915526315803</v>
      </c>
      <c r="V22" s="10">
        <f>+'A) Base RI'!O22</f>
        <v>2947.5</v>
      </c>
      <c r="W22" s="10">
        <f>+'A) Base RI'!P22</f>
        <v>109777.35</v>
      </c>
      <c r="X22" s="10">
        <f>+'A) Base RI'!R22</f>
        <v>70069.399999999994</v>
      </c>
      <c r="Y22" s="2">
        <f t="shared" si="5"/>
        <v>182794.25</v>
      </c>
      <c r="Z22" s="10">
        <f>+'A) Base RI'!N22</f>
        <v>27569.15</v>
      </c>
      <c r="AA22" s="10">
        <f>+'A) Base RI'!S22+'A) Base RI'!T22</f>
        <v>1583.7</v>
      </c>
      <c r="AB22" s="10">
        <f>+'A) Base RI'!U22</f>
        <v>9600</v>
      </c>
      <c r="AC22" s="10">
        <f>+'A) Base RI'!V22</f>
        <v>0</v>
      </c>
      <c r="AD22" s="10">
        <f>+'A) Base RI'!W22</f>
        <v>0</v>
      </c>
      <c r="AE22" s="10">
        <f>+'A) Base RI'!Y22</f>
        <v>17205</v>
      </c>
      <c r="AF22" s="10">
        <f>+'A) Base RI'!Z22</f>
        <v>0</v>
      </c>
      <c r="AG22" s="10">
        <f>+'A) Base RI'!AA22</f>
        <v>362414.65</v>
      </c>
      <c r="AH22" s="10">
        <f>+'A) Base RI'!AB22</f>
        <v>0</v>
      </c>
      <c r="AI22" s="10">
        <f>+'A) Base RI'!AC22</f>
        <v>215004.92</v>
      </c>
      <c r="AJ22" s="10">
        <f>+'A) Base RI'!AD22</f>
        <v>28350</v>
      </c>
      <c r="AK22" s="10">
        <f>+'A) Base RI'!AE22</f>
        <v>0</v>
      </c>
      <c r="AL22" s="10">
        <f>+'A) Base RI'!AF22</f>
        <v>0</v>
      </c>
      <c r="AM22" s="10">
        <f>+'A) Base RI'!AG22</f>
        <v>0</v>
      </c>
      <c r="AN22" s="10">
        <f>+'A) Base RI'!AH22</f>
        <v>0</v>
      </c>
      <c r="AO22" s="10">
        <f>+'A) Base RI'!AI22</f>
        <v>0</v>
      </c>
      <c r="AP22" s="10">
        <f>+'A) Base RI'!AJ22</f>
        <v>0</v>
      </c>
      <c r="AQ22" s="10">
        <f>+'A) Base RI'!AK22</f>
        <v>0</v>
      </c>
      <c r="AR22" s="10">
        <f>'A) Base RI'!AN22</f>
        <v>1469</v>
      </c>
    </row>
    <row r="23" spans="1:44" x14ac:dyDescent="0.25">
      <c r="A23" s="8">
        <f>'A) Base RI'!A23</f>
        <v>5422</v>
      </c>
      <c r="B23" s="33" t="str">
        <f>'A) Base RI'!B23</f>
        <v>Aubonne</v>
      </c>
      <c r="C23" s="10">
        <f>'A) Base RI'!C23+'A) Base RI'!D23</f>
        <v>10939660.450000001</v>
      </c>
      <c r="D23" s="10">
        <f>'A) Base RI'!AO23</f>
        <v>-84992.53</v>
      </c>
      <c r="E23" s="32">
        <f>'A) Base RI'!AP23</f>
        <v>0</v>
      </c>
      <c r="F23" s="32">
        <f>'A) Base RI'!AQ23</f>
        <v>-1803.41</v>
      </c>
      <c r="G23" s="2">
        <f t="shared" si="0"/>
        <v>10852864.510000002</v>
      </c>
      <c r="H23" s="10">
        <f>+'A) Base RI'!E23</f>
        <v>0</v>
      </c>
      <c r="I23" s="10">
        <f>+'A) Base RI'!F23</f>
        <v>0</v>
      </c>
      <c r="J23" s="10">
        <f>+'A) Base RI'!G23+'A) Base RI'!H23</f>
        <v>3335932.1</v>
      </c>
      <c r="K23" s="10">
        <f>+'A) Base RI'!I23</f>
        <v>240354.05</v>
      </c>
      <c r="L23" s="10">
        <f>+'A) Base RI'!J23</f>
        <v>669107.03</v>
      </c>
      <c r="M23" s="10">
        <f>+'A) Base RI'!K23</f>
        <v>185342.2</v>
      </c>
      <c r="N23" s="10">
        <f>+'A) Base RI'!Q23</f>
        <v>4139.51</v>
      </c>
      <c r="O23" s="10">
        <f t="shared" si="1"/>
        <v>944512.26</v>
      </c>
      <c r="P23" s="10">
        <f>+'A) Base RI'!L23</f>
        <v>944512.26</v>
      </c>
      <c r="Q23" s="35">
        <f>'A) Base RI'!AR23</f>
        <v>1</v>
      </c>
      <c r="R23" s="2">
        <f t="shared" si="2"/>
        <v>16232251.66</v>
      </c>
      <c r="S23" s="34">
        <f>+'A) Base RI'!AM23</f>
        <v>68</v>
      </c>
      <c r="T23" s="2">
        <f t="shared" si="3"/>
        <v>15102397.200000001</v>
      </c>
      <c r="U23" s="2">
        <f t="shared" si="4"/>
        <v>238709.58323529412</v>
      </c>
      <c r="V23" s="10">
        <f>+'A) Base RI'!O23</f>
        <v>461684.8</v>
      </c>
      <c r="W23" s="10">
        <f>+'A) Base RI'!P23</f>
        <v>446452.45</v>
      </c>
      <c r="X23" s="10">
        <f>+'A) Base RI'!R23</f>
        <v>1448074.1</v>
      </c>
      <c r="Y23" s="2">
        <f t="shared" si="5"/>
        <v>2356211.35</v>
      </c>
      <c r="Z23" s="10">
        <f>+'A) Base RI'!N23</f>
        <v>883114.1</v>
      </c>
      <c r="AA23" s="10">
        <f>+'A) Base RI'!S23+'A) Base RI'!T23</f>
        <v>15417.8</v>
      </c>
      <c r="AB23" s="10">
        <f>+'A) Base RI'!U23</f>
        <v>24300</v>
      </c>
      <c r="AC23" s="10">
        <f>+'A) Base RI'!V23</f>
        <v>0</v>
      </c>
      <c r="AD23" s="10">
        <f>+'A) Base RI'!W23</f>
        <v>0</v>
      </c>
      <c r="AE23" s="10">
        <f>+'A) Base RI'!Y23</f>
        <v>224937.29</v>
      </c>
      <c r="AF23" s="10">
        <f>+'A) Base RI'!Z23</f>
        <v>0</v>
      </c>
      <c r="AG23" s="10">
        <f>+'A) Base RI'!AA23</f>
        <v>509842.59</v>
      </c>
      <c r="AH23" s="10">
        <f>+'A) Base RI'!AB23</f>
        <v>0</v>
      </c>
      <c r="AI23" s="10">
        <f>+'A) Base RI'!AC23</f>
        <v>283069.01</v>
      </c>
      <c r="AJ23" s="10">
        <f>+'A) Base RI'!AD23</f>
        <v>238746.2</v>
      </c>
      <c r="AK23" s="10">
        <f>+'A) Base RI'!AE23</f>
        <v>0</v>
      </c>
      <c r="AL23" s="10">
        <f>+'A) Base RI'!AF23</f>
        <v>0</v>
      </c>
      <c r="AM23" s="10">
        <f>+'A) Base RI'!AG23</f>
        <v>0</v>
      </c>
      <c r="AN23" s="10">
        <f>+'A) Base RI'!AH23</f>
        <v>217848</v>
      </c>
      <c r="AO23" s="10">
        <f>+'A) Base RI'!AI23</f>
        <v>0</v>
      </c>
      <c r="AP23" s="10">
        <f>+'A) Base RI'!AJ23</f>
        <v>0</v>
      </c>
      <c r="AQ23" s="10">
        <f>+'A) Base RI'!AK23</f>
        <v>0</v>
      </c>
      <c r="AR23" s="10">
        <f>'A) Base RI'!AN23</f>
        <v>3242</v>
      </c>
    </row>
    <row r="24" spans="1:44" x14ac:dyDescent="0.25">
      <c r="A24" s="8">
        <f>'A) Base RI'!A24</f>
        <v>5423</v>
      </c>
      <c r="B24" s="33" t="str">
        <f>'A) Base RI'!B24</f>
        <v>Ballens</v>
      </c>
      <c r="C24" s="10">
        <f>'A) Base RI'!C24+'A) Base RI'!D24</f>
        <v>1006693.5</v>
      </c>
      <c r="D24" s="10">
        <f>'A) Base RI'!AO24</f>
        <v>-185172.08</v>
      </c>
      <c r="E24" s="32">
        <f>'A) Base RI'!AP24</f>
        <v>0</v>
      </c>
      <c r="F24" s="32">
        <f>'A) Base RI'!AQ24</f>
        <v>-214.02</v>
      </c>
      <c r="G24" s="2">
        <f t="shared" si="0"/>
        <v>821307.4</v>
      </c>
      <c r="H24" s="10">
        <f>+'A) Base RI'!E24</f>
        <v>0</v>
      </c>
      <c r="I24" s="10">
        <f>+'A) Base RI'!F24</f>
        <v>2730</v>
      </c>
      <c r="J24" s="10">
        <f>+'A) Base RI'!G24+'A) Base RI'!H24</f>
        <v>46310.9</v>
      </c>
      <c r="K24" s="10">
        <f>+'A) Base RI'!I24</f>
        <v>0</v>
      </c>
      <c r="L24" s="10">
        <f>+'A) Base RI'!J24</f>
        <v>60665.62</v>
      </c>
      <c r="M24" s="10">
        <f>+'A) Base RI'!K24</f>
        <v>3179.05</v>
      </c>
      <c r="N24" s="10">
        <f>+'A) Base RI'!Q24</f>
        <v>266.7</v>
      </c>
      <c r="O24" s="10">
        <f t="shared" si="1"/>
        <v>74511</v>
      </c>
      <c r="P24" s="10">
        <f>+'A) Base RI'!L24</f>
        <v>37255.5</v>
      </c>
      <c r="Q24" s="35">
        <f>'A) Base RI'!AR24</f>
        <v>0.5</v>
      </c>
      <c r="R24" s="2">
        <f t="shared" si="2"/>
        <v>1008970.67</v>
      </c>
      <c r="S24" s="34">
        <f>+'A) Base RI'!AM24</f>
        <v>73</v>
      </c>
      <c r="T24" s="2">
        <f t="shared" si="3"/>
        <v>928550.62</v>
      </c>
      <c r="U24" s="2">
        <f t="shared" si="4"/>
        <v>13821.516027397261</v>
      </c>
      <c r="V24" s="10">
        <f>+'A) Base RI'!O24</f>
        <v>0</v>
      </c>
      <c r="W24" s="10">
        <f>+'A) Base RI'!P24</f>
        <v>20222.8</v>
      </c>
      <c r="X24" s="10">
        <f>+'A) Base RI'!R24</f>
        <v>14117.25</v>
      </c>
      <c r="Y24" s="2">
        <f t="shared" si="5"/>
        <v>34340.050000000003</v>
      </c>
      <c r="Z24" s="10">
        <f>+'A) Base RI'!N24</f>
        <v>20050.099999999999</v>
      </c>
      <c r="AA24" s="10">
        <f>+'A) Base RI'!S24+'A) Base RI'!T24</f>
        <v>1336.2</v>
      </c>
      <c r="AB24" s="10">
        <f>+'A) Base RI'!U24</f>
        <v>1450</v>
      </c>
      <c r="AC24" s="10">
        <f>+'A) Base RI'!V24</f>
        <v>0</v>
      </c>
      <c r="AD24" s="10">
        <f>+'A) Base RI'!W24</f>
        <v>0</v>
      </c>
      <c r="AE24" s="10">
        <f>+'A) Base RI'!Y24</f>
        <v>31726.5</v>
      </c>
      <c r="AF24" s="10">
        <f>+'A) Base RI'!Z24</f>
        <v>0</v>
      </c>
      <c r="AG24" s="10">
        <f>+'A) Base RI'!AA24</f>
        <v>135430.75</v>
      </c>
      <c r="AH24" s="10">
        <f>+'A) Base RI'!AB24</f>
        <v>0</v>
      </c>
      <c r="AI24" s="10">
        <f>+'A) Base RI'!AC24</f>
        <v>25587.5</v>
      </c>
      <c r="AJ24" s="10">
        <f>+'A) Base RI'!AD24</f>
        <v>75115</v>
      </c>
      <c r="AK24" s="10">
        <f>+'A) Base RI'!AE24</f>
        <v>0</v>
      </c>
      <c r="AL24" s="10">
        <f>+'A) Base RI'!AF24</f>
        <v>0</v>
      </c>
      <c r="AM24" s="10">
        <f>+'A) Base RI'!AG24</f>
        <v>0</v>
      </c>
      <c r="AN24" s="10">
        <f>+'A) Base RI'!AH24</f>
        <v>12088.55</v>
      </c>
      <c r="AO24" s="10">
        <f>+'A) Base RI'!AI24</f>
        <v>0</v>
      </c>
      <c r="AP24" s="10">
        <f>+'A) Base RI'!AJ24</f>
        <v>0</v>
      </c>
      <c r="AQ24" s="10">
        <f>+'A) Base RI'!AK24</f>
        <v>0</v>
      </c>
      <c r="AR24" s="10">
        <f>'A) Base RI'!AN24</f>
        <v>536</v>
      </c>
    </row>
    <row r="25" spans="1:44" x14ac:dyDescent="0.25">
      <c r="A25" s="8">
        <f>'A) Base RI'!A25</f>
        <v>5424</v>
      </c>
      <c r="B25" s="33" t="str">
        <f>'A) Base RI'!B25</f>
        <v>Berolle</v>
      </c>
      <c r="C25" s="10">
        <f>'A) Base RI'!C25+'A) Base RI'!D25</f>
        <v>689096.57000000007</v>
      </c>
      <c r="D25" s="10">
        <f>'A) Base RI'!AO25</f>
        <v>-15019.7</v>
      </c>
      <c r="E25" s="32">
        <f>'A) Base RI'!AP25</f>
        <v>0</v>
      </c>
      <c r="F25" s="32">
        <f>'A) Base RI'!AQ25</f>
        <v>-196.35</v>
      </c>
      <c r="G25" s="2">
        <f t="shared" si="0"/>
        <v>673880.52000000014</v>
      </c>
      <c r="H25" s="10">
        <f>+'A) Base RI'!E25</f>
        <v>0</v>
      </c>
      <c r="I25" s="10">
        <f>+'A) Base RI'!F25</f>
        <v>0</v>
      </c>
      <c r="J25" s="10">
        <f>+'A) Base RI'!G25+'A) Base RI'!H25</f>
        <v>-256.85000000000002</v>
      </c>
      <c r="K25" s="10">
        <f>+'A) Base RI'!I25</f>
        <v>-741.75</v>
      </c>
      <c r="L25" s="10">
        <f>+'A) Base RI'!J25</f>
        <v>-7071.08</v>
      </c>
      <c r="M25" s="10">
        <f>+'A) Base RI'!K25</f>
        <v>767.1</v>
      </c>
      <c r="N25" s="10">
        <f>+'A) Base RI'!Q25</f>
        <v>0</v>
      </c>
      <c r="O25" s="10">
        <f t="shared" si="1"/>
        <v>49339.9</v>
      </c>
      <c r="P25" s="10">
        <f>+'A) Base RI'!L25</f>
        <v>49339.9</v>
      </c>
      <c r="Q25" s="35">
        <f>'A) Base RI'!AR25</f>
        <v>1</v>
      </c>
      <c r="R25" s="2">
        <f t="shared" si="2"/>
        <v>715917.8400000002</v>
      </c>
      <c r="S25" s="34">
        <f>+'A) Base RI'!AM25</f>
        <v>77</v>
      </c>
      <c r="T25" s="2">
        <f t="shared" si="3"/>
        <v>665810.8400000002</v>
      </c>
      <c r="U25" s="2">
        <f t="shared" si="4"/>
        <v>9297.6342857142881</v>
      </c>
      <c r="V25" s="10">
        <f>+'A) Base RI'!O25</f>
        <v>0</v>
      </c>
      <c r="W25" s="10">
        <f>+'A) Base RI'!P25</f>
        <v>4002.35</v>
      </c>
      <c r="X25" s="10">
        <f>+'A) Base RI'!R25</f>
        <v>4550</v>
      </c>
      <c r="Y25" s="2">
        <f t="shared" si="5"/>
        <v>8552.35</v>
      </c>
      <c r="Z25" s="10">
        <f>+'A) Base RI'!N25</f>
        <v>0</v>
      </c>
      <c r="AA25" s="10">
        <f>+'A) Base RI'!S25+'A) Base RI'!T25</f>
        <v>0</v>
      </c>
      <c r="AB25" s="10">
        <f>+'A) Base RI'!U25</f>
        <v>1750</v>
      </c>
      <c r="AC25" s="10">
        <f>+'A) Base RI'!V25</f>
        <v>0</v>
      </c>
      <c r="AD25" s="10">
        <f>+'A) Base RI'!W25</f>
        <v>0</v>
      </c>
      <c r="AE25" s="10">
        <f>+'A) Base RI'!Y25</f>
        <v>0</v>
      </c>
      <c r="AF25" s="10">
        <f>+'A) Base RI'!Z25</f>
        <v>0</v>
      </c>
      <c r="AG25" s="10">
        <f>+'A) Base RI'!AA25</f>
        <v>39475.85</v>
      </c>
      <c r="AH25" s="10">
        <f>+'A) Base RI'!AB25</f>
        <v>9697.0499999999993</v>
      </c>
      <c r="AI25" s="10">
        <f>+'A) Base RI'!AC25</f>
        <v>13089.7</v>
      </c>
      <c r="AJ25" s="10">
        <f>+'A) Base RI'!AD25</f>
        <v>0</v>
      </c>
      <c r="AK25" s="10">
        <f>+'A) Base RI'!AE25</f>
        <v>0</v>
      </c>
      <c r="AL25" s="10">
        <f>+'A) Base RI'!AF25</f>
        <v>0</v>
      </c>
      <c r="AM25" s="10">
        <f>+'A) Base RI'!AG25</f>
        <v>0</v>
      </c>
      <c r="AN25" s="10">
        <f>+'A) Base RI'!AH25</f>
        <v>7290.8</v>
      </c>
      <c r="AO25" s="10">
        <f>+'A) Base RI'!AI25</f>
        <v>0</v>
      </c>
      <c r="AP25" s="10">
        <f>+'A) Base RI'!AJ25</f>
        <v>0</v>
      </c>
      <c r="AQ25" s="10">
        <f>+'A) Base RI'!AK25</f>
        <v>0</v>
      </c>
      <c r="AR25" s="10">
        <f>'A) Base RI'!AN25</f>
        <v>307</v>
      </c>
    </row>
    <row r="26" spans="1:44" x14ac:dyDescent="0.25">
      <c r="A26" s="8">
        <f>'A) Base RI'!A26</f>
        <v>5425</v>
      </c>
      <c r="B26" s="33" t="str">
        <f>'A) Base RI'!B26</f>
        <v>Bière</v>
      </c>
      <c r="C26" s="10">
        <f>'A) Base RI'!C26+'A) Base RI'!D26</f>
        <v>2345778.38</v>
      </c>
      <c r="D26" s="10">
        <f>'A) Base RI'!AO26</f>
        <v>-98388.38</v>
      </c>
      <c r="E26" s="32">
        <f>'A) Base RI'!AP26</f>
        <v>0</v>
      </c>
      <c r="F26" s="32">
        <f>'A) Base RI'!AQ26</f>
        <v>-2.61</v>
      </c>
      <c r="G26" s="2">
        <f t="shared" si="0"/>
        <v>2247387.39</v>
      </c>
      <c r="H26" s="10">
        <f>+'A) Base RI'!E26</f>
        <v>0</v>
      </c>
      <c r="I26" s="10">
        <f>+'A) Base RI'!F26</f>
        <v>0</v>
      </c>
      <c r="J26" s="10">
        <f>+'A) Base RI'!G26+'A) Base RI'!H26</f>
        <v>139997.85</v>
      </c>
      <c r="K26" s="10">
        <f>+'A) Base RI'!I26</f>
        <v>0</v>
      </c>
      <c r="L26" s="10">
        <f>+'A) Base RI'!J26</f>
        <v>143065.01999999999</v>
      </c>
      <c r="M26" s="10">
        <f>+'A) Base RI'!K26</f>
        <v>16082.9</v>
      </c>
      <c r="N26" s="10">
        <f>+'A) Base RI'!Q26</f>
        <v>16103.51</v>
      </c>
      <c r="O26" s="10">
        <f t="shared" si="1"/>
        <v>197150.25862068965</v>
      </c>
      <c r="P26" s="10">
        <f>+'A) Base RI'!L26</f>
        <v>114347.15</v>
      </c>
      <c r="Q26" s="35">
        <f>'A) Base RI'!AR26</f>
        <v>0.57999999999999996</v>
      </c>
      <c r="R26" s="2">
        <f t="shared" si="2"/>
        <v>2759786.9286206895</v>
      </c>
      <c r="S26" s="34">
        <f>+'A) Base RI'!AM26</f>
        <v>70</v>
      </c>
      <c r="T26" s="2">
        <f t="shared" si="3"/>
        <v>2546553.77</v>
      </c>
      <c r="U26" s="2">
        <f t="shared" si="4"/>
        <v>39425.527551724139</v>
      </c>
      <c r="V26" s="10">
        <f>+'A) Base RI'!O26</f>
        <v>45543.5</v>
      </c>
      <c r="W26" s="10">
        <f>+'A) Base RI'!P26</f>
        <v>65086.1</v>
      </c>
      <c r="X26" s="10">
        <f>+'A) Base RI'!R26</f>
        <v>42665.15</v>
      </c>
      <c r="Y26" s="2">
        <f t="shared" si="5"/>
        <v>153294.75</v>
      </c>
      <c r="Z26" s="10">
        <f>+'A) Base RI'!N26</f>
        <v>57880.65</v>
      </c>
      <c r="AA26" s="10">
        <f>+'A) Base RI'!S26+'A) Base RI'!T26</f>
        <v>1865</v>
      </c>
      <c r="AB26" s="10">
        <f>+'A) Base RI'!U26</f>
        <v>12850</v>
      </c>
      <c r="AC26" s="10">
        <f>+'A) Base RI'!V26</f>
        <v>6556</v>
      </c>
      <c r="AD26" s="10">
        <f>+'A) Base RI'!W26</f>
        <v>0</v>
      </c>
      <c r="AE26" s="10">
        <f>+'A) Base RI'!Y26</f>
        <v>46097</v>
      </c>
      <c r="AF26" s="10">
        <f>+'A) Base RI'!Z26</f>
        <v>0</v>
      </c>
      <c r="AG26" s="10">
        <f>+'A) Base RI'!AA26</f>
        <v>180718.65</v>
      </c>
      <c r="AH26" s="10">
        <f>+'A) Base RI'!AB26</f>
        <v>0</v>
      </c>
      <c r="AI26" s="10">
        <f>+'A) Base RI'!AC26</f>
        <v>150275.74</v>
      </c>
      <c r="AJ26" s="10">
        <f>+'A) Base RI'!AD26</f>
        <v>24710</v>
      </c>
      <c r="AK26" s="10">
        <f>+'A) Base RI'!AE26</f>
        <v>0</v>
      </c>
      <c r="AL26" s="10">
        <f>+'A) Base RI'!AF26</f>
        <v>0</v>
      </c>
      <c r="AM26" s="10">
        <f>+'A) Base RI'!AG26</f>
        <v>0</v>
      </c>
      <c r="AN26" s="10">
        <f>+'A) Base RI'!AH26</f>
        <v>54619.9</v>
      </c>
      <c r="AO26" s="10">
        <f>+'A) Base RI'!AI26</f>
        <v>0</v>
      </c>
      <c r="AP26" s="10">
        <f>+'A) Base RI'!AJ26</f>
        <v>0</v>
      </c>
      <c r="AQ26" s="10">
        <f>+'A) Base RI'!AK26</f>
        <v>0</v>
      </c>
      <c r="AR26" s="10">
        <f>'A) Base RI'!AN26</f>
        <v>1595</v>
      </c>
    </row>
    <row r="27" spans="1:44" x14ac:dyDescent="0.25">
      <c r="A27" s="8">
        <f>'A) Base RI'!A27</f>
        <v>5426</v>
      </c>
      <c r="B27" s="33" t="str">
        <f>'A) Base RI'!B27</f>
        <v>Bougy-Villars</v>
      </c>
      <c r="C27" s="10">
        <f>'A) Base RI'!C27+'A) Base RI'!D27</f>
        <v>2426040.58</v>
      </c>
      <c r="D27" s="10">
        <f>'A) Base RI'!AO27</f>
        <v>-5555.45</v>
      </c>
      <c r="E27" s="32">
        <f>'A) Base RI'!AP27</f>
        <v>0</v>
      </c>
      <c r="F27" s="32">
        <f>'A) Base RI'!AQ27</f>
        <v>-1636.76</v>
      </c>
      <c r="G27" s="2">
        <f t="shared" si="0"/>
        <v>2418848.37</v>
      </c>
      <c r="H27" s="10">
        <f>+'A) Base RI'!E27</f>
        <v>0</v>
      </c>
      <c r="I27" s="10">
        <f>+'A) Base RI'!F27</f>
        <v>0</v>
      </c>
      <c r="J27" s="10">
        <f>+'A) Base RI'!G27+'A) Base RI'!H27</f>
        <v>20734.7</v>
      </c>
      <c r="K27" s="10">
        <f>+'A) Base RI'!I27</f>
        <v>645105.65</v>
      </c>
      <c r="L27" s="10">
        <f>+'A) Base RI'!J27</f>
        <v>22792.9</v>
      </c>
      <c r="M27" s="10">
        <f>+'A) Base RI'!K27</f>
        <v>6577.3</v>
      </c>
      <c r="N27" s="10">
        <f>+'A) Base RI'!Q27</f>
        <v>-6543.37</v>
      </c>
      <c r="O27" s="10">
        <f t="shared" si="1"/>
        <v>243293.79166666666</v>
      </c>
      <c r="P27" s="10">
        <f>+'A) Base RI'!L27</f>
        <v>291952.55</v>
      </c>
      <c r="Q27" s="35">
        <f>'A) Base RI'!AR27</f>
        <v>1.2</v>
      </c>
      <c r="R27" s="2">
        <f t="shared" si="2"/>
        <v>3350809.3416666663</v>
      </c>
      <c r="S27" s="34">
        <f>+'A) Base RI'!AM27</f>
        <v>66</v>
      </c>
      <c r="T27" s="2">
        <f t="shared" si="3"/>
        <v>3100938.25</v>
      </c>
      <c r="U27" s="2">
        <f t="shared" si="4"/>
        <v>50769.838510101006</v>
      </c>
      <c r="V27" s="10">
        <f>+'A) Base RI'!O27</f>
        <v>2170859.9</v>
      </c>
      <c r="W27" s="10">
        <f>+'A) Base RI'!P27</f>
        <v>103518.8</v>
      </c>
      <c r="X27" s="10">
        <f>+'A) Base RI'!R27</f>
        <v>2479.15</v>
      </c>
      <c r="Y27" s="2">
        <f t="shared" si="5"/>
        <v>2276857.8499999996</v>
      </c>
      <c r="Z27" s="10">
        <f>+'A) Base RI'!N27</f>
        <v>16551.05</v>
      </c>
      <c r="AA27" s="10">
        <f>+'A) Base RI'!S27+'A) Base RI'!T27</f>
        <v>700</v>
      </c>
      <c r="AB27" s="10">
        <f>+'A) Base RI'!U27</f>
        <v>4800</v>
      </c>
      <c r="AC27" s="10">
        <f>+'A) Base RI'!V27</f>
        <v>40570.35</v>
      </c>
      <c r="AD27" s="10">
        <f>+'A) Base RI'!W27</f>
        <v>0</v>
      </c>
      <c r="AE27" s="10">
        <f>+'A) Base RI'!Y27</f>
        <v>22039.599999999999</v>
      </c>
      <c r="AF27" s="10">
        <f>+'A) Base RI'!Z27</f>
        <v>0</v>
      </c>
      <c r="AG27" s="10">
        <f>+'A) Base RI'!AA27</f>
        <v>266617.5</v>
      </c>
      <c r="AH27" s="10">
        <f>+'A) Base RI'!AB27</f>
        <v>0</v>
      </c>
      <c r="AI27" s="10">
        <f>+'A) Base RI'!AC27</f>
        <v>44825</v>
      </c>
      <c r="AJ27" s="10">
        <f>+'A) Base RI'!AD27</f>
        <v>0</v>
      </c>
      <c r="AK27" s="10">
        <f>+'A) Base RI'!AE27</f>
        <v>0</v>
      </c>
      <c r="AL27" s="10">
        <f>+'A) Base RI'!AF27</f>
        <v>0</v>
      </c>
      <c r="AM27" s="10">
        <f>+'A) Base RI'!AG27</f>
        <v>0</v>
      </c>
      <c r="AN27" s="10">
        <f>+'A) Base RI'!AH27</f>
        <v>0</v>
      </c>
      <c r="AO27" s="10">
        <f>+'A) Base RI'!AI27</f>
        <v>0</v>
      </c>
      <c r="AP27" s="10">
        <f>+'A) Base RI'!AJ27</f>
        <v>0</v>
      </c>
      <c r="AQ27" s="10">
        <f>+'A) Base RI'!AK27</f>
        <v>0</v>
      </c>
      <c r="AR27" s="10">
        <f>'A) Base RI'!AN27</f>
        <v>490</v>
      </c>
    </row>
    <row r="28" spans="1:44" x14ac:dyDescent="0.25">
      <c r="A28" s="8">
        <f>'A) Base RI'!A28</f>
        <v>5427</v>
      </c>
      <c r="B28" s="33" t="str">
        <f>'A) Base RI'!B28</f>
        <v>Féchy</v>
      </c>
      <c r="C28" s="10">
        <f>'A) Base RI'!C28+'A) Base RI'!D28</f>
        <v>3928639.5300000003</v>
      </c>
      <c r="D28" s="10">
        <f>'A) Base RI'!AO28</f>
        <v>-80706.03</v>
      </c>
      <c r="E28" s="32">
        <f>'A) Base RI'!AP28</f>
        <v>0</v>
      </c>
      <c r="F28" s="32">
        <f>'A) Base RI'!AQ28</f>
        <v>0</v>
      </c>
      <c r="G28" s="2">
        <f t="shared" si="0"/>
        <v>3847933.5000000005</v>
      </c>
      <c r="H28" s="10">
        <f>+'A) Base RI'!E28</f>
        <v>0</v>
      </c>
      <c r="I28" s="10">
        <f>+'A) Base RI'!F28</f>
        <v>0</v>
      </c>
      <c r="J28" s="10">
        <f>+'A) Base RI'!G28+'A) Base RI'!H28</f>
        <v>32698.149999999998</v>
      </c>
      <c r="K28" s="10">
        <f>+'A) Base RI'!I28</f>
        <v>395011.25</v>
      </c>
      <c r="L28" s="10">
        <f>+'A) Base RI'!J28</f>
        <v>49438.61</v>
      </c>
      <c r="M28" s="10">
        <f>+'A) Base RI'!K28</f>
        <v>4090.2</v>
      </c>
      <c r="N28" s="10">
        <f>+'A) Base RI'!Q28</f>
        <v>0</v>
      </c>
      <c r="O28" s="10">
        <f t="shared" si="1"/>
        <v>344441.57692307688</v>
      </c>
      <c r="P28" s="10">
        <f>+'A) Base RI'!L28</f>
        <v>447774.05</v>
      </c>
      <c r="Q28" s="35">
        <f>'A) Base RI'!AR28</f>
        <v>1.3</v>
      </c>
      <c r="R28" s="2">
        <f t="shared" si="2"/>
        <v>4673613.2869230779</v>
      </c>
      <c r="S28" s="34">
        <f>+'A) Base RI'!AM28</f>
        <v>64</v>
      </c>
      <c r="T28" s="2">
        <f t="shared" si="3"/>
        <v>4325081.5100000007</v>
      </c>
      <c r="U28" s="2">
        <f t="shared" si="4"/>
        <v>73025.207608173092</v>
      </c>
      <c r="V28" s="10">
        <f>+'A) Base RI'!O28</f>
        <v>37690.199999999997</v>
      </c>
      <c r="W28" s="10">
        <f>+'A) Base RI'!P28</f>
        <v>252488.85</v>
      </c>
      <c r="X28" s="10">
        <f>+'A) Base RI'!R28</f>
        <v>134378.15</v>
      </c>
      <c r="Y28" s="2">
        <f t="shared" si="5"/>
        <v>424557.19999999995</v>
      </c>
      <c r="Z28" s="10">
        <f>+'A) Base RI'!N28</f>
        <v>11374.1</v>
      </c>
      <c r="AA28" s="10">
        <f>+'A) Base RI'!S28+'A) Base RI'!T28</f>
        <v>474</v>
      </c>
      <c r="AB28" s="10">
        <f>+'A) Base RI'!U28</f>
        <v>4500</v>
      </c>
      <c r="AC28" s="10" t="str">
        <f>+'A) Base RI'!V28</f>
        <v/>
      </c>
      <c r="AD28" s="10" t="str">
        <f>+'A) Base RI'!W28</f>
        <v/>
      </c>
      <c r="AE28" s="10">
        <f>+'A) Base RI'!Y28</f>
        <v>2273.75</v>
      </c>
      <c r="AF28" s="10">
        <f>+'A) Base RI'!Z28</f>
        <v>0</v>
      </c>
      <c r="AG28" s="10">
        <f>+'A) Base RI'!AA28</f>
        <v>248671.2</v>
      </c>
      <c r="AH28" s="10">
        <f>+'A) Base RI'!AB28</f>
        <v>0</v>
      </c>
      <c r="AI28" s="10">
        <f>+'A) Base RI'!AC28</f>
        <v>100376.2</v>
      </c>
      <c r="AJ28" s="10">
        <f>+'A) Base RI'!AD28</f>
        <v>0</v>
      </c>
      <c r="AK28" s="10">
        <f>+'A) Base RI'!AE28</f>
        <v>0</v>
      </c>
      <c r="AL28" s="10">
        <f>+'A) Base RI'!AF28</f>
        <v>0</v>
      </c>
      <c r="AM28" s="10">
        <f>+'A) Base RI'!AG28</f>
        <v>0</v>
      </c>
      <c r="AN28" s="10">
        <f>+'A) Base RI'!AH28</f>
        <v>0</v>
      </c>
      <c r="AO28" s="10">
        <f>+'A) Base RI'!AI28</f>
        <v>0</v>
      </c>
      <c r="AP28" s="10">
        <f>+'A) Base RI'!AJ28</f>
        <v>0</v>
      </c>
      <c r="AQ28" s="10">
        <f>+'A) Base RI'!AK28</f>
        <v>0</v>
      </c>
      <c r="AR28" s="10">
        <f>'A) Base RI'!AN28</f>
        <v>860</v>
      </c>
    </row>
    <row r="29" spans="1:44" x14ac:dyDescent="0.25">
      <c r="A29" s="8">
        <f>'A) Base RI'!A29</f>
        <v>5428</v>
      </c>
      <c r="B29" s="33" t="str">
        <f>'A) Base RI'!B29</f>
        <v>Gimel</v>
      </c>
      <c r="C29" s="10">
        <f>'A) Base RI'!C29+'A) Base RI'!D29</f>
        <v>3621956.24</v>
      </c>
      <c r="D29" s="10">
        <f>'A) Base RI'!AO29</f>
        <v>-75426.34</v>
      </c>
      <c r="E29" s="32">
        <f>'A) Base RI'!AP29</f>
        <v>0</v>
      </c>
      <c r="F29" s="32">
        <f>'A) Base RI'!AQ29</f>
        <v>-59.63</v>
      </c>
      <c r="G29" s="2">
        <f t="shared" si="0"/>
        <v>3546470.2700000005</v>
      </c>
      <c r="H29" s="10">
        <f>+'A) Base RI'!E29</f>
        <v>0</v>
      </c>
      <c r="I29" s="10">
        <f>+'A) Base RI'!F29</f>
        <v>0</v>
      </c>
      <c r="J29" s="10">
        <f>+'A) Base RI'!G29+'A) Base RI'!H29</f>
        <v>169991.5</v>
      </c>
      <c r="K29" s="10">
        <f>+'A) Base RI'!I29</f>
        <v>42710.15</v>
      </c>
      <c r="L29" s="10">
        <f>+'A) Base RI'!J29</f>
        <v>162212.21</v>
      </c>
      <c r="M29" s="10">
        <f>+'A) Base RI'!K29</f>
        <v>15766.45</v>
      </c>
      <c r="N29" s="10">
        <f>+'A) Base RI'!Q29</f>
        <v>8198.9500000000007</v>
      </c>
      <c r="O29" s="10">
        <f t="shared" si="1"/>
        <v>331591.25</v>
      </c>
      <c r="P29" s="10">
        <f>+'A) Base RI'!L29</f>
        <v>397909.5</v>
      </c>
      <c r="Q29" s="35">
        <f>'A) Base RI'!AR29</f>
        <v>1.2</v>
      </c>
      <c r="R29" s="2">
        <f t="shared" si="2"/>
        <v>4276940.7800000012</v>
      </c>
      <c r="S29" s="34">
        <f>+'A) Base RI'!AM29</f>
        <v>71.5</v>
      </c>
      <c r="T29" s="2">
        <f t="shared" si="3"/>
        <v>3929583.0800000005</v>
      </c>
      <c r="U29" s="2">
        <f t="shared" si="4"/>
        <v>59817.35356643358</v>
      </c>
      <c r="V29" s="10">
        <f>+'A) Base RI'!O29</f>
        <v>124279.5</v>
      </c>
      <c r="W29" s="10">
        <f>+'A) Base RI'!P29</f>
        <v>386124.45</v>
      </c>
      <c r="X29" s="10">
        <f>+'A) Base RI'!R29</f>
        <v>194064.55</v>
      </c>
      <c r="Y29" s="2">
        <f t="shared" si="5"/>
        <v>704468.5</v>
      </c>
      <c r="Z29" s="10">
        <f>+'A) Base RI'!N29</f>
        <v>228410.25</v>
      </c>
      <c r="AA29" s="10">
        <f>+'A) Base RI'!S29+'A) Base RI'!T29</f>
        <v>4777.55</v>
      </c>
      <c r="AB29" s="10">
        <f>+'A) Base RI'!U29</f>
        <v>10800</v>
      </c>
      <c r="AC29" s="10">
        <f>+'A) Base RI'!V29</f>
        <v>0</v>
      </c>
      <c r="AD29" s="10">
        <f>+'A) Base RI'!W29</f>
        <v>0</v>
      </c>
      <c r="AE29" s="10">
        <f>+'A) Base RI'!Y29</f>
        <v>28312.05</v>
      </c>
      <c r="AF29" s="10">
        <f>+'A) Base RI'!Z29</f>
        <v>1316.85</v>
      </c>
      <c r="AG29" s="10">
        <f>+'A) Base RI'!AA29</f>
        <v>277868.11</v>
      </c>
      <c r="AH29" s="10">
        <f>+'A) Base RI'!AB29</f>
        <v>0</v>
      </c>
      <c r="AI29" s="10">
        <f>+'A) Base RI'!AC29</f>
        <v>212087.16</v>
      </c>
      <c r="AJ29" s="10">
        <f>+'A) Base RI'!AD29</f>
        <v>28312</v>
      </c>
      <c r="AK29" s="10">
        <f>+'A) Base RI'!AE29</f>
        <v>1631.5</v>
      </c>
      <c r="AL29" s="10">
        <f>+'A) Base RI'!AF29</f>
        <v>0</v>
      </c>
      <c r="AM29" s="10">
        <f>+'A) Base RI'!AG29</f>
        <v>0</v>
      </c>
      <c r="AN29" s="10">
        <f>+'A) Base RI'!AH29</f>
        <v>46683</v>
      </c>
      <c r="AO29" s="10">
        <f>+'A) Base RI'!AI29</f>
        <v>0</v>
      </c>
      <c r="AP29" s="10">
        <f>+'A) Base RI'!AJ29</f>
        <v>0</v>
      </c>
      <c r="AQ29" s="10">
        <f>+'A) Base RI'!AK29</f>
        <v>0</v>
      </c>
      <c r="AR29" s="10">
        <f>'A) Base RI'!AN29</f>
        <v>2186</v>
      </c>
    </row>
    <row r="30" spans="1:44" x14ac:dyDescent="0.25">
      <c r="A30" s="8">
        <f>'A) Base RI'!A30</f>
        <v>5429</v>
      </c>
      <c r="B30" s="33" t="str">
        <f>'A) Base RI'!B30</f>
        <v>Longirod</v>
      </c>
      <c r="C30" s="10">
        <f>'A) Base RI'!C30+'A) Base RI'!D30</f>
        <v>995817.33000000007</v>
      </c>
      <c r="D30" s="10">
        <f>'A) Base RI'!AO30</f>
        <v>-7247.67</v>
      </c>
      <c r="E30" s="32">
        <f>'A) Base RI'!AP30</f>
        <v>0</v>
      </c>
      <c r="F30" s="32">
        <f>'A) Base RI'!AQ30</f>
        <v>-42.22</v>
      </c>
      <c r="G30" s="2">
        <f t="shared" si="0"/>
        <v>988527.44000000006</v>
      </c>
      <c r="H30" s="10">
        <f>+'A) Base RI'!E30</f>
        <v>0</v>
      </c>
      <c r="I30" s="10">
        <f>+'A) Base RI'!F30</f>
        <v>0</v>
      </c>
      <c r="J30" s="10">
        <f>+'A) Base RI'!G30+'A) Base RI'!H30</f>
        <v>5169.2</v>
      </c>
      <c r="K30" s="10">
        <f>+'A) Base RI'!I30</f>
        <v>0</v>
      </c>
      <c r="L30" s="10">
        <f>+'A) Base RI'!J30</f>
        <v>24882.77</v>
      </c>
      <c r="M30" s="10">
        <f>+'A) Base RI'!K30</f>
        <v>1589.4</v>
      </c>
      <c r="N30" s="10">
        <f>+'A) Base RI'!Q30</f>
        <v>1131.28</v>
      </c>
      <c r="O30" s="10">
        <f t="shared" si="1"/>
        <v>95963.8</v>
      </c>
      <c r="P30" s="10">
        <f>+'A) Base RI'!L30</f>
        <v>95963.8</v>
      </c>
      <c r="Q30" s="35">
        <f>'A) Base RI'!AR30</f>
        <v>1</v>
      </c>
      <c r="R30" s="2">
        <f t="shared" si="2"/>
        <v>1117263.8900000001</v>
      </c>
      <c r="S30" s="34">
        <f>+'A) Base RI'!AM30</f>
        <v>81</v>
      </c>
      <c r="T30" s="2">
        <f t="shared" si="3"/>
        <v>1019710.6900000001</v>
      </c>
      <c r="U30" s="2">
        <f t="shared" si="4"/>
        <v>13793.381358024693</v>
      </c>
      <c r="V30" s="10">
        <f>+'A) Base RI'!O30</f>
        <v>0</v>
      </c>
      <c r="W30" s="10">
        <f>+'A) Base RI'!P30</f>
        <v>44047.7</v>
      </c>
      <c r="X30" s="10">
        <f>+'A) Base RI'!R30</f>
        <v>28737.7</v>
      </c>
      <c r="Y30" s="2">
        <f t="shared" si="5"/>
        <v>72785.399999999994</v>
      </c>
      <c r="Z30" s="10">
        <f>+'A) Base RI'!N30</f>
        <v>0</v>
      </c>
      <c r="AA30" s="10">
        <f>+'A) Base RI'!S30+'A) Base RI'!T30</f>
        <v>0</v>
      </c>
      <c r="AB30" s="10">
        <f>+'A) Base RI'!U30</f>
        <v>5085</v>
      </c>
      <c r="AC30" s="10">
        <f>+'A) Base RI'!V30</f>
        <v>0</v>
      </c>
      <c r="AD30" s="10">
        <f>+'A) Base RI'!W30</f>
        <v>0</v>
      </c>
      <c r="AE30" s="10">
        <f>+'A) Base RI'!Y30</f>
        <v>4775</v>
      </c>
      <c r="AF30" s="10">
        <f>+'A) Base RI'!Z30</f>
        <v>0</v>
      </c>
      <c r="AG30" s="10">
        <f>+'A) Base RI'!AA30</f>
        <v>38993.599999999999</v>
      </c>
      <c r="AH30" s="10">
        <f>+'A) Base RI'!AB30</f>
        <v>63399.35</v>
      </c>
      <c r="AI30" s="10">
        <f>+'A) Base RI'!AC30</f>
        <v>0</v>
      </c>
      <c r="AJ30" s="10">
        <f>+'A) Base RI'!AD30</f>
        <v>0</v>
      </c>
      <c r="AK30" s="10">
        <f>+'A) Base RI'!AE30</f>
        <v>0</v>
      </c>
      <c r="AL30" s="10">
        <f>+'A) Base RI'!AF30</f>
        <v>0</v>
      </c>
      <c r="AM30" s="10">
        <f>+'A) Base RI'!AG30</f>
        <v>2651</v>
      </c>
      <c r="AN30" s="10">
        <f>+'A) Base RI'!AH30</f>
        <v>0</v>
      </c>
      <c r="AO30" s="10">
        <f>+'A) Base RI'!AI30</f>
        <v>0</v>
      </c>
      <c r="AP30" s="10">
        <f>+'A) Base RI'!AJ30</f>
        <v>0</v>
      </c>
      <c r="AQ30" s="10">
        <f>+'A) Base RI'!AK30</f>
        <v>0</v>
      </c>
      <c r="AR30" s="10">
        <f>'A) Base RI'!AN30</f>
        <v>478</v>
      </c>
    </row>
    <row r="31" spans="1:44" x14ac:dyDescent="0.25">
      <c r="A31" s="8">
        <f>'A) Base RI'!A31</f>
        <v>5430</v>
      </c>
      <c r="B31" s="33" t="str">
        <f>'A) Base RI'!B31</f>
        <v>Marchissy</v>
      </c>
      <c r="C31" s="10">
        <f>'A) Base RI'!C31+'A) Base RI'!D31</f>
        <v>940135.5</v>
      </c>
      <c r="D31" s="10">
        <f>'A) Base RI'!AO31</f>
        <v>-13287.86</v>
      </c>
      <c r="E31" s="32">
        <f>'A) Base RI'!AP31</f>
        <v>0</v>
      </c>
      <c r="F31" s="32">
        <f>'A) Base RI'!AQ31</f>
        <v>-72.08</v>
      </c>
      <c r="G31" s="2">
        <f t="shared" si="0"/>
        <v>926775.56</v>
      </c>
      <c r="H31" s="10">
        <f>+'A) Base RI'!E31</f>
        <v>0</v>
      </c>
      <c r="I31" s="10">
        <f>+'A) Base RI'!F31</f>
        <v>0</v>
      </c>
      <c r="J31" s="10">
        <f>+'A) Base RI'!G31+'A) Base RI'!H31</f>
        <v>40150.950000000004</v>
      </c>
      <c r="K31" s="10">
        <f>+'A) Base RI'!I31</f>
        <v>0</v>
      </c>
      <c r="L31" s="10">
        <f>+'A) Base RI'!J31</f>
        <v>12134.07</v>
      </c>
      <c r="M31" s="10">
        <f>+'A) Base RI'!K31</f>
        <v>433.1</v>
      </c>
      <c r="N31" s="10">
        <f>+'A) Base RI'!Q31</f>
        <v>10756.33</v>
      </c>
      <c r="O31" s="10">
        <f t="shared" si="1"/>
        <v>85449.7</v>
      </c>
      <c r="P31" s="10">
        <f>+'A) Base RI'!L31</f>
        <v>85449.7</v>
      </c>
      <c r="Q31" s="35">
        <f>'A) Base RI'!AR31</f>
        <v>1</v>
      </c>
      <c r="R31" s="2">
        <f t="shared" si="2"/>
        <v>1075699.71</v>
      </c>
      <c r="S31" s="34">
        <f>+'A) Base RI'!AM31</f>
        <v>79</v>
      </c>
      <c r="T31" s="2">
        <f t="shared" si="3"/>
        <v>989816.90999999992</v>
      </c>
      <c r="U31" s="2">
        <f t="shared" si="4"/>
        <v>13616.452025316456</v>
      </c>
      <c r="V31" s="10">
        <f>+'A) Base RI'!O31</f>
        <v>8961.7999999999993</v>
      </c>
      <c r="W31" s="10">
        <f>+'A) Base RI'!P31</f>
        <v>48220.15</v>
      </c>
      <c r="X31" s="10">
        <f>+'A) Base RI'!R31</f>
        <v>12398.85</v>
      </c>
      <c r="Y31" s="2">
        <f t="shared" si="5"/>
        <v>69580.800000000003</v>
      </c>
      <c r="Z31" s="10">
        <f>+'A) Base RI'!N31</f>
        <v>6788.55</v>
      </c>
      <c r="AA31" s="10">
        <f>+'A) Base RI'!S31+'A) Base RI'!T31</f>
        <v>0</v>
      </c>
      <c r="AB31" s="10">
        <f>+'A) Base RI'!U31</f>
        <v>3880</v>
      </c>
      <c r="AC31" s="10">
        <f>+'A) Base RI'!V31</f>
        <v>0</v>
      </c>
      <c r="AD31" s="10">
        <f>+'A) Base RI'!W31</f>
        <v>0</v>
      </c>
      <c r="AE31" s="10">
        <f>+'A) Base RI'!Y31</f>
        <v>0</v>
      </c>
      <c r="AF31" s="10">
        <f>+'A) Base RI'!Z31</f>
        <v>0</v>
      </c>
      <c r="AG31" s="10">
        <f>+'A) Base RI'!AA31</f>
        <v>51679.3</v>
      </c>
      <c r="AH31" s="10">
        <f>+'A) Base RI'!AB31</f>
        <v>0</v>
      </c>
      <c r="AI31" s="10">
        <f>+'A) Base RI'!AC31</f>
        <v>40767.15</v>
      </c>
      <c r="AJ31" s="10">
        <f>+'A) Base RI'!AD31</f>
        <v>0</v>
      </c>
      <c r="AK31" s="10">
        <f>+'A) Base RI'!AE31</f>
        <v>0</v>
      </c>
      <c r="AL31" s="10">
        <f>+'A) Base RI'!AF31</f>
        <v>0</v>
      </c>
      <c r="AM31" s="10">
        <f>+'A) Base RI'!AG31</f>
        <v>0</v>
      </c>
      <c r="AN31" s="10">
        <f>+'A) Base RI'!AH31</f>
        <v>0</v>
      </c>
      <c r="AO31" s="10">
        <f>+'A) Base RI'!AI31</f>
        <v>0</v>
      </c>
      <c r="AP31" s="10">
        <f>+'A) Base RI'!AJ31</f>
        <v>0</v>
      </c>
      <c r="AQ31" s="10">
        <f>+'A) Base RI'!AK31</f>
        <v>0</v>
      </c>
      <c r="AR31" s="10">
        <f>'A) Base RI'!AN31</f>
        <v>463</v>
      </c>
    </row>
    <row r="32" spans="1:44" x14ac:dyDescent="0.25">
      <c r="A32" s="8">
        <f>'A) Base RI'!A32</f>
        <v>5431</v>
      </c>
      <c r="B32" s="33" t="str">
        <f>'A) Base RI'!B32</f>
        <v>Mollens</v>
      </c>
      <c r="C32" s="10">
        <f>'A) Base RI'!C32+'A) Base RI'!D32</f>
        <v>582880.82000000007</v>
      </c>
      <c r="D32" s="10">
        <f>'A) Base RI'!AO32</f>
        <v>-357.13</v>
      </c>
      <c r="E32" s="32">
        <f>'A) Base RI'!AP32</f>
        <v>0</v>
      </c>
      <c r="F32" s="32">
        <f>'A) Base RI'!AQ32</f>
        <v>-531.15</v>
      </c>
      <c r="G32" s="2">
        <f t="shared" si="0"/>
        <v>581992.54</v>
      </c>
      <c r="H32" s="10">
        <f>+'A) Base RI'!E32</f>
        <v>0</v>
      </c>
      <c r="I32" s="10">
        <f>+'A) Base RI'!F32</f>
        <v>0</v>
      </c>
      <c r="J32" s="10">
        <f>+'A) Base RI'!G32+'A) Base RI'!H32</f>
        <v>-84.45</v>
      </c>
      <c r="K32" s="10">
        <f>+'A) Base RI'!I32</f>
        <v>0</v>
      </c>
      <c r="L32" s="10">
        <f>+'A) Base RI'!J32</f>
        <v>7809.53</v>
      </c>
      <c r="M32" s="10">
        <f>+'A) Base RI'!K32</f>
        <v>300.85000000000002</v>
      </c>
      <c r="N32" s="10">
        <f>+'A) Base RI'!Q32</f>
        <v>277.45</v>
      </c>
      <c r="O32" s="10">
        <f t="shared" si="1"/>
        <v>48212.800000000003</v>
      </c>
      <c r="P32" s="10">
        <f>+'A) Base RI'!L32</f>
        <v>48212.800000000003</v>
      </c>
      <c r="Q32" s="35">
        <f>'A) Base RI'!AR32</f>
        <v>1</v>
      </c>
      <c r="R32" s="2">
        <f t="shared" si="2"/>
        <v>638508.72000000009</v>
      </c>
      <c r="S32" s="34">
        <f>+'A) Base RI'!AM32</f>
        <v>74</v>
      </c>
      <c r="T32" s="2">
        <f t="shared" si="3"/>
        <v>589995.07000000007</v>
      </c>
      <c r="U32" s="2">
        <f t="shared" si="4"/>
        <v>8628.4962162162174</v>
      </c>
      <c r="V32" s="10">
        <f>+'A) Base RI'!O32</f>
        <v>51520</v>
      </c>
      <c r="W32" s="10">
        <f>+'A) Base RI'!P32</f>
        <v>42447.1</v>
      </c>
      <c r="X32" s="10">
        <f>+'A) Base RI'!R32</f>
        <v>1102.5</v>
      </c>
      <c r="Y32" s="2">
        <f t="shared" si="5"/>
        <v>95069.6</v>
      </c>
      <c r="Z32" s="10">
        <f>+'A) Base RI'!N32</f>
        <v>275.7</v>
      </c>
      <c r="AA32" s="10">
        <f>+'A) Base RI'!S32+'A) Base RI'!T32</f>
        <v>0</v>
      </c>
      <c r="AB32" s="10">
        <f>+'A) Base RI'!U32</f>
        <v>2100</v>
      </c>
      <c r="AC32" s="10">
        <f>+'A) Base RI'!V32</f>
        <v>0</v>
      </c>
      <c r="AD32" s="10">
        <f>+'A) Base RI'!W32</f>
        <v>0</v>
      </c>
      <c r="AE32" s="10">
        <f>+'A) Base RI'!Y32</f>
        <v>5250</v>
      </c>
      <c r="AF32" s="10">
        <f>+'A) Base RI'!Z32</f>
        <v>0</v>
      </c>
      <c r="AG32" s="10">
        <f>+'A) Base RI'!AA32</f>
        <v>90600</v>
      </c>
      <c r="AH32" s="10">
        <f>+'A) Base RI'!AB32</f>
        <v>0</v>
      </c>
      <c r="AI32" s="10">
        <f>+'A) Base RI'!AC32</f>
        <v>13520.8</v>
      </c>
      <c r="AJ32" s="10">
        <f>+'A) Base RI'!AD32</f>
        <v>15280</v>
      </c>
      <c r="AK32" s="10">
        <f>+'A) Base RI'!AE32</f>
        <v>0</v>
      </c>
      <c r="AL32" s="10">
        <f>+'A) Base RI'!AF32</f>
        <v>0</v>
      </c>
      <c r="AM32" s="10">
        <f>+'A) Base RI'!AG32</f>
        <v>0</v>
      </c>
      <c r="AN32" s="10">
        <f>+'A) Base RI'!AH32</f>
        <v>0</v>
      </c>
      <c r="AO32" s="10">
        <f>+'A) Base RI'!AI32</f>
        <v>0</v>
      </c>
      <c r="AP32" s="10">
        <f>+'A) Base RI'!AJ32</f>
        <v>0</v>
      </c>
      <c r="AQ32" s="10">
        <f>+'A) Base RI'!AK32</f>
        <v>0</v>
      </c>
      <c r="AR32" s="10">
        <f>'A) Base RI'!AN32</f>
        <v>283</v>
      </c>
    </row>
    <row r="33" spans="1:44" x14ac:dyDescent="0.25">
      <c r="A33" s="8">
        <f>'A) Base RI'!A33</f>
        <v>5432</v>
      </c>
      <c r="B33" s="33" t="str">
        <f>'A) Base RI'!B33</f>
        <v>Montherod</v>
      </c>
      <c r="C33" s="10">
        <f>'A) Base RI'!C33+'A) Base RI'!D33</f>
        <v>1263007.78</v>
      </c>
      <c r="D33" s="10">
        <f>'A) Base RI'!AO33</f>
        <v>-12190.48</v>
      </c>
      <c r="E33" s="32">
        <f>'A) Base RI'!AP33</f>
        <v>-12258.4</v>
      </c>
      <c r="F33" s="32">
        <f>'A) Base RI'!AQ33</f>
        <v>-26.32</v>
      </c>
      <c r="G33" s="2">
        <f t="shared" si="0"/>
        <v>1238532.58</v>
      </c>
      <c r="H33" s="10">
        <f>+'A) Base RI'!E33</f>
        <v>0</v>
      </c>
      <c r="I33" s="10">
        <f>+'A) Base RI'!F33</f>
        <v>0</v>
      </c>
      <c r="J33" s="10">
        <f>+'A) Base RI'!G33+'A) Base RI'!H33</f>
        <v>28272.05</v>
      </c>
      <c r="K33" s="10">
        <f>+'A) Base RI'!I33</f>
        <v>0</v>
      </c>
      <c r="L33" s="10">
        <f>+'A) Base RI'!J33</f>
        <v>49648.160000000003</v>
      </c>
      <c r="M33" s="10">
        <f>+'A) Base RI'!K33</f>
        <v>5014.3</v>
      </c>
      <c r="N33" s="10">
        <f>+'A) Base RI'!Q33</f>
        <v>8483.11</v>
      </c>
      <c r="O33" s="10">
        <f t="shared" si="1"/>
        <v>94546.1</v>
      </c>
      <c r="P33" s="10">
        <f>+'A) Base RI'!L33</f>
        <v>94546.1</v>
      </c>
      <c r="Q33" s="35">
        <f>'A) Base RI'!AR33</f>
        <v>1</v>
      </c>
      <c r="R33" s="2">
        <f t="shared" si="2"/>
        <v>1424496.3000000003</v>
      </c>
      <c r="S33" s="34">
        <f>+'A) Base RI'!AM33</f>
        <v>78</v>
      </c>
      <c r="T33" s="2">
        <f t="shared" si="3"/>
        <v>1324935.9000000001</v>
      </c>
      <c r="U33" s="2">
        <f t="shared" si="4"/>
        <v>18262.77307692308</v>
      </c>
      <c r="V33" s="10">
        <f>+'A) Base RI'!O33</f>
        <v>0</v>
      </c>
      <c r="W33" s="10">
        <f>+'A) Base RI'!P33</f>
        <v>24744.5</v>
      </c>
      <c r="X33" s="10">
        <f>+'A) Base RI'!R33</f>
        <v>20579.05</v>
      </c>
      <c r="Y33" s="2">
        <f t="shared" si="5"/>
        <v>45323.55</v>
      </c>
      <c r="Z33" s="10">
        <f>+'A) Base RI'!N33</f>
        <v>16499.2</v>
      </c>
      <c r="AA33" s="10">
        <f>+'A) Base RI'!S33+'A) Base RI'!T33</f>
        <v>490</v>
      </c>
      <c r="AB33" s="10">
        <f>+'A) Base RI'!U33</f>
        <v>4060</v>
      </c>
      <c r="AC33" s="10">
        <f>+'A) Base RI'!V33</f>
        <v>0</v>
      </c>
      <c r="AD33" s="10">
        <f>+'A) Base RI'!W33</f>
        <v>0</v>
      </c>
      <c r="AE33" s="10">
        <f>+'A) Base RI'!Y33</f>
        <v>35392.5</v>
      </c>
      <c r="AF33" s="10" t="str">
        <f>+'A) Base RI'!Z33</f>
        <v/>
      </c>
      <c r="AG33" s="10">
        <f>+'A) Base RI'!AA33</f>
        <v>38383.15</v>
      </c>
      <c r="AH33" s="10" t="str">
        <f>+'A) Base RI'!AB33</f>
        <v/>
      </c>
      <c r="AI33" s="10">
        <f>+'A) Base RI'!AC33</f>
        <v>47835</v>
      </c>
      <c r="AJ33" s="10">
        <f>+'A) Base RI'!AD33</f>
        <v>15360</v>
      </c>
      <c r="AK33" s="10" t="str">
        <f>+'A) Base RI'!AE33</f>
        <v/>
      </c>
      <c r="AL33" s="10" t="str">
        <f>+'A) Base RI'!AF33</f>
        <v/>
      </c>
      <c r="AM33" s="10" t="str">
        <f>+'A) Base RI'!AG33</f>
        <v/>
      </c>
      <c r="AN33" s="10">
        <f>+'A) Base RI'!AH33</f>
        <v>10903.1</v>
      </c>
      <c r="AO33" s="10">
        <f>+'A) Base RI'!AI33</f>
        <v>0</v>
      </c>
      <c r="AP33" s="10">
        <f>+'A) Base RI'!AJ33</f>
        <v>0</v>
      </c>
      <c r="AQ33" s="10">
        <f>+'A) Base RI'!AK33</f>
        <v>0</v>
      </c>
      <c r="AR33" s="10">
        <f>'A) Base RI'!AN33</f>
        <v>536</v>
      </c>
    </row>
    <row r="34" spans="1:44" x14ac:dyDescent="0.25">
      <c r="A34" s="8">
        <f>'A) Base RI'!A34</f>
        <v>5434</v>
      </c>
      <c r="B34" s="33" t="str">
        <f>'A) Base RI'!B34</f>
        <v>Saint-George</v>
      </c>
      <c r="C34" s="10">
        <f>'A) Base RI'!C34+'A) Base RI'!D34</f>
        <v>2348283.33</v>
      </c>
      <c r="D34" s="10">
        <f>'A) Base RI'!AO34</f>
        <v>-15696.46</v>
      </c>
      <c r="E34" s="32">
        <f>'A) Base RI'!AP34</f>
        <v>0</v>
      </c>
      <c r="F34" s="32">
        <f>'A) Base RI'!AQ34</f>
        <v>0</v>
      </c>
      <c r="G34" s="2">
        <f t="shared" si="0"/>
        <v>2332586.87</v>
      </c>
      <c r="H34" s="10">
        <f>+'A) Base RI'!E34</f>
        <v>0</v>
      </c>
      <c r="I34" s="10">
        <f>+'A) Base RI'!F34</f>
        <v>0</v>
      </c>
      <c r="J34" s="10">
        <f>+'A) Base RI'!G34+'A) Base RI'!H34</f>
        <v>20725.25</v>
      </c>
      <c r="K34" s="10">
        <f>+'A) Base RI'!I34</f>
        <v>0</v>
      </c>
      <c r="L34" s="10">
        <f>+'A) Base RI'!J34</f>
        <v>31754.76</v>
      </c>
      <c r="M34" s="10">
        <f>+'A) Base RI'!K34</f>
        <v>3299.7</v>
      </c>
      <c r="N34" s="10">
        <f>+'A) Base RI'!Q34</f>
        <v>940.55</v>
      </c>
      <c r="O34" s="10">
        <f t="shared" si="1"/>
        <v>222583.8</v>
      </c>
      <c r="P34" s="10">
        <f>+'A) Base RI'!L34</f>
        <v>222583.8</v>
      </c>
      <c r="Q34" s="35">
        <f>'A) Base RI'!AR34</f>
        <v>1</v>
      </c>
      <c r="R34" s="2">
        <f t="shared" si="2"/>
        <v>2611890.9299999997</v>
      </c>
      <c r="S34" s="34">
        <f>+'A) Base RI'!AM34</f>
        <v>71</v>
      </c>
      <c r="T34" s="2">
        <f>(G34+H34+J34+K34+L34+N34)</f>
        <v>2386007.4299999997</v>
      </c>
      <c r="U34" s="2">
        <f t="shared" si="4"/>
        <v>36787.196197183097</v>
      </c>
      <c r="V34" s="10">
        <f>+'A) Base RI'!O34</f>
        <v>49856.9</v>
      </c>
      <c r="W34" s="10">
        <f>+'A) Base RI'!P34</f>
        <v>190495.25</v>
      </c>
      <c r="X34" s="10">
        <f>+'A) Base RI'!R34</f>
        <v>85786.5</v>
      </c>
      <c r="Y34" s="2">
        <f t="shared" si="5"/>
        <v>326138.65000000002</v>
      </c>
      <c r="Z34" s="10">
        <f>+'A) Base RI'!N34</f>
        <v>35998.949999999997</v>
      </c>
      <c r="AA34" s="10">
        <f>+'A) Base RI'!S34+'A) Base RI'!T34</f>
        <v>0</v>
      </c>
      <c r="AB34" s="10">
        <f>+'A) Base RI'!U34</f>
        <v>9360</v>
      </c>
      <c r="AC34" s="10" t="str">
        <f>+'A) Base RI'!V34</f>
        <v/>
      </c>
      <c r="AD34" s="10" t="str">
        <f>+'A) Base RI'!W34</f>
        <v/>
      </c>
      <c r="AE34" s="10">
        <f>+'A) Base RI'!Y34</f>
        <v>0</v>
      </c>
      <c r="AF34" s="10">
        <f>+'A) Base RI'!Z34</f>
        <v>0</v>
      </c>
      <c r="AG34" s="10">
        <f>+'A) Base RI'!AA34</f>
        <v>109033.4</v>
      </c>
      <c r="AH34" s="10">
        <f>+'A) Base RI'!AB34</f>
        <v>0</v>
      </c>
      <c r="AI34" s="10">
        <f>+'A) Base RI'!AC34</f>
        <v>88046.7</v>
      </c>
      <c r="AJ34" s="10">
        <f>+'A) Base RI'!AD34</f>
        <v>0</v>
      </c>
      <c r="AK34" s="10">
        <f>+'A) Base RI'!AE34</f>
        <v>0</v>
      </c>
      <c r="AL34" s="10">
        <f>+'A) Base RI'!AF34</f>
        <v>0</v>
      </c>
      <c r="AM34" s="10">
        <f>+'A) Base RI'!AG34</f>
        <v>11864.55</v>
      </c>
      <c r="AN34" s="10">
        <f>+'A) Base RI'!AH34</f>
        <v>0</v>
      </c>
      <c r="AO34" s="10">
        <f>+'A) Base RI'!AI34</f>
        <v>0</v>
      </c>
      <c r="AP34" s="10">
        <f>+'A) Base RI'!AJ34</f>
        <v>0</v>
      </c>
      <c r="AQ34" s="10">
        <f>+'A) Base RI'!AK34</f>
        <v>0</v>
      </c>
      <c r="AR34" s="10">
        <f>'A) Base RI'!AN34</f>
        <v>1031</v>
      </c>
    </row>
    <row r="35" spans="1:44" x14ac:dyDescent="0.25">
      <c r="A35" s="8">
        <f>'A) Base RI'!A35</f>
        <v>5435</v>
      </c>
      <c r="B35" s="33" t="str">
        <f>'A) Base RI'!B35</f>
        <v>Saint-Livres</v>
      </c>
      <c r="C35" s="10">
        <f>'A) Base RI'!C35+'A) Base RI'!D35</f>
        <v>1631301.8199999998</v>
      </c>
      <c r="D35" s="10">
        <f>'A) Base RI'!AO35</f>
        <v>-28183.34</v>
      </c>
      <c r="E35" s="32">
        <f>'A) Base RI'!AP35</f>
        <v>0</v>
      </c>
      <c r="F35" s="32">
        <f>'A) Base RI'!AQ35</f>
        <v>-9.75</v>
      </c>
      <c r="G35" s="2">
        <f t="shared" si="0"/>
        <v>1603108.7299999997</v>
      </c>
      <c r="H35" s="10">
        <f>+'A) Base RI'!E35</f>
        <v>0</v>
      </c>
      <c r="I35" s="10">
        <f>+'A) Base RI'!F35</f>
        <v>0</v>
      </c>
      <c r="J35" s="10">
        <f>+'A) Base RI'!G35+'A) Base RI'!H35</f>
        <v>2010.75</v>
      </c>
      <c r="K35" s="10">
        <f>+'A) Base RI'!I35</f>
        <v>0</v>
      </c>
      <c r="L35" s="10">
        <f>+'A) Base RI'!J35</f>
        <v>-64499.29</v>
      </c>
      <c r="M35" s="10">
        <f>+'A) Base RI'!K35</f>
        <v>0</v>
      </c>
      <c r="N35" s="10">
        <f>+'A) Base RI'!Q35</f>
        <v>2844.54</v>
      </c>
      <c r="O35" s="10">
        <f t="shared" si="1"/>
        <v>122559</v>
      </c>
      <c r="P35" s="10">
        <f>+'A) Base RI'!L35</f>
        <v>122559</v>
      </c>
      <c r="Q35" s="35">
        <f>'A) Base RI'!AR35</f>
        <v>1</v>
      </c>
      <c r="R35" s="2">
        <f t="shared" si="2"/>
        <v>1666023.7299999997</v>
      </c>
      <c r="S35" s="34">
        <f>+'A) Base RI'!AM35</f>
        <v>69</v>
      </c>
      <c r="T35" s="2">
        <f t="shared" si="3"/>
        <v>1543464.7299999997</v>
      </c>
      <c r="U35" s="2">
        <f t="shared" si="4"/>
        <v>24145.271449275358</v>
      </c>
      <c r="V35" s="10">
        <f>+'A) Base RI'!O35</f>
        <v>0</v>
      </c>
      <c r="W35" s="10">
        <f>+'A) Base RI'!P35</f>
        <v>45574.15</v>
      </c>
      <c r="X35" s="10">
        <f>+'A) Base RI'!R35</f>
        <v>42020.45</v>
      </c>
      <c r="Y35" s="2">
        <f t="shared" si="5"/>
        <v>87594.6</v>
      </c>
      <c r="Z35" s="10">
        <f>+'A) Base RI'!N35</f>
        <v>1718.3</v>
      </c>
      <c r="AA35" s="10">
        <f>+'A) Base RI'!S35+'A) Base RI'!T35</f>
        <v>390</v>
      </c>
      <c r="AB35" s="10">
        <f>+'A) Base RI'!U35</f>
        <v>5760</v>
      </c>
      <c r="AC35" s="10">
        <f>+'A) Base RI'!V35</f>
        <v>0</v>
      </c>
      <c r="AD35" s="10">
        <f>+'A) Base RI'!W35</f>
        <v>0</v>
      </c>
      <c r="AE35" s="10">
        <f>+'A) Base RI'!Y35</f>
        <v>0</v>
      </c>
      <c r="AF35" s="10">
        <f>+'A) Base RI'!Z35</f>
        <v>0</v>
      </c>
      <c r="AG35" s="10">
        <f>+'A) Base RI'!AA35</f>
        <v>86150.9</v>
      </c>
      <c r="AH35" s="10">
        <f>+'A) Base RI'!AB35</f>
        <v>0</v>
      </c>
      <c r="AI35" s="10">
        <f>+'A) Base RI'!AC35</f>
        <v>56500</v>
      </c>
      <c r="AJ35" s="10">
        <f>+'A) Base RI'!AD35</f>
        <v>0</v>
      </c>
      <c r="AK35" s="10">
        <f>+'A) Base RI'!AE35</f>
        <v>0</v>
      </c>
      <c r="AL35" s="10">
        <f>+'A) Base RI'!AF35</f>
        <v>0</v>
      </c>
      <c r="AM35" s="10">
        <f>+'A) Base RI'!AG35</f>
        <v>0</v>
      </c>
      <c r="AN35" s="10">
        <f>+'A) Base RI'!AH35</f>
        <v>11266.75</v>
      </c>
      <c r="AO35" s="10">
        <f>+'A) Base RI'!AI35</f>
        <v>0</v>
      </c>
      <c r="AP35" s="10">
        <f>+'A) Base RI'!AJ35</f>
        <v>0</v>
      </c>
      <c r="AQ35" s="10">
        <f>+'A) Base RI'!AK35</f>
        <v>0</v>
      </c>
      <c r="AR35" s="10">
        <f>'A) Base RI'!AN35</f>
        <v>690</v>
      </c>
    </row>
    <row r="36" spans="1:44" x14ac:dyDescent="0.25">
      <c r="A36" s="8">
        <f>'A) Base RI'!A36</f>
        <v>5436</v>
      </c>
      <c r="B36" s="33" t="str">
        <f>'A) Base RI'!B36</f>
        <v>Saint-Oyens</v>
      </c>
      <c r="C36" s="10">
        <f>'A) Base RI'!C36+'A) Base RI'!D36</f>
        <v>1188446.01</v>
      </c>
      <c r="D36" s="10">
        <f>'A) Base RI'!AO36</f>
        <v>-39468.68</v>
      </c>
      <c r="E36" s="32">
        <f>'A) Base RI'!AP36</f>
        <v>0</v>
      </c>
      <c r="F36" s="32">
        <f>'A) Base RI'!AQ36</f>
        <v>-441.14</v>
      </c>
      <c r="G36" s="2">
        <f t="shared" si="0"/>
        <v>1148536.1900000002</v>
      </c>
      <c r="H36" s="10">
        <f>+'A) Base RI'!E36</f>
        <v>0</v>
      </c>
      <c r="I36" s="10">
        <f>+'A) Base RI'!F36</f>
        <v>0</v>
      </c>
      <c r="J36" s="10">
        <f>+'A) Base RI'!G36+'A) Base RI'!H36</f>
        <v>1639.05</v>
      </c>
      <c r="K36" s="10">
        <f>+'A) Base RI'!I36</f>
        <v>0</v>
      </c>
      <c r="L36" s="10">
        <f>+'A) Base RI'!J36</f>
        <v>3099.33</v>
      </c>
      <c r="M36" s="10">
        <f>+'A) Base RI'!K36</f>
        <v>0</v>
      </c>
      <c r="N36" s="10">
        <f>+'A) Base RI'!Q36</f>
        <v>0</v>
      </c>
      <c r="O36" s="10">
        <f t="shared" si="1"/>
        <v>67988.8125</v>
      </c>
      <c r="P36" s="10">
        <f>+'A) Base RI'!L36</f>
        <v>54391.05</v>
      </c>
      <c r="Q36" s="35">
        <f>'A) Base RI'!AR36</f>
        <v>0.8</v>
      </c>
      <c r="R36" s="2">
        <f t="shared" si="2"/>
        <v>1221263.3825000003</v>
      </c>
      <c r="S36" s="34">
        <f>+'A) Base RI'!AM36</f>
        <v>81</v>
      </c>
      <c r="T36" s="2">
        <f t="shared" si="3"/>
        <v>1153274.5700000003</v>
      </c>
      <c r="U36" s="2">
        <f t="shared" si="4"/>
        <v>15077.325709876546</v>
      </c>
      <c r="V36" s="10">
        <f>+'A) Base RI'!O36</f>
        <v>0</v>
      </c>
      <c r="W36" s="10">
        <f>+'A) Base RI'!P36</f>
        <v>77523.7</v>
      </c>
      <c r="X36" s="10">
        <f>+'A) Base RI'!R36</f>
        <v>36951.15</v>
      </c>
      <c r="Y36" s="2">
        <f t="shared" si="5"/>
        <v>114474.85</v>
      </c>
      <c r="Z36" s="10">
        <f>+'A) Base RI'!N36</f>
        <v>0</v>
      </c>
      <c r="AA36" s="10">
        <f>+'A) Base RI'!S36+'A) Base RI'!T36</f>
        <v>0</v>
      </c>
      <c r="AB36" s="10">
        <f>+'A) Base RI'!U36</f>
        <v>3600</v>
      </c>
      <c r="AC36" s="10">
        <f>+'A) Base RI'!V36</f>
        <v>0</v>
      </c>
      <c r="AD36" s="10">
        <f>+'A) Base RI'!W36</f>
        <v>0</v>
      </c>
      <c r="AE36" s="10">
        <f>+'A) Base RI'!Y36</f>
        <v>14068.45</v>
      </c>
      <c r="AF36" s="10" t="str">
        <f>+'A) Base RI'!Z36</f>
        <v/>
      </c>
      <c r="AG36" s="10">
        <f>+'A) Base RI'!AA36</f>
        <v>63427.1</v>
      </c>
      <c r="AH36" s="10" t="str">
        <f>+'A) Base RI'!AB36</f>
        <v/>
      </c>
      <c r="AI36" s="10">
        <f>+'A) Base RI'!AC36</f>
        <v>34156.050000000003</v>
      </c>
      <c r="AJ36" s="10">
        <f>+'A) Base RI'!AD36</f>
        <v>14068.45</v>
      </c>
      <c r="AK36" s="10" t="str">
        <f>+'A) Base RI'!AE36</f>
        <v/>
      </c>
      <c r="AL36" s="10" t="str">
        <f>+'A) Base RI'!AF36</f>
        <v/>
      </c>
      <c r="AM36" s="10" t="str">
        <f>+'A) Base RI'!AG36</f>
        <v/>
      </c>
      <c r="AN36" s="10">
        <f>+'A) Base RI'!AH36</f>
        <v>0</v>
      </c>
      <c r="AO36" s="10">
        <f>+'A) Base RI'!AI36</f>
        <v>0</v>
      </c>
      <c r="AP36" s="10">
        <f>+'A) Base RI'!AJ36</f>
        <v>0</v>
      </c>
      <c r="AQ36" s="10">
        <f>+'A) Base RI'!AK36</f>
        <v>0</v>
      </c>
      <c r="AR36" s="10">
        <f>'A) Base RI'!AN36</f>
        <v>448</v>
      </c>
    </row>
    <row r="37" spans="1:44" x14ac:dyDescent="0.25">
      <c r="A37" s="8">
        <f>'A) Base RI'!A37</f>
        <v>5437</v>
      </c>
      <c r="B37" s="33" t="str">
        <f>'A) Base RI'!B37</f>
        <v>Saubraz</v>
      </c>
      <c r="C37" s="10">
        <f>'A) Base RI'!C37+'A) Base RI'!D37</f>
        <v>783593.67</v>
      </c>
      <c r="D37" s="10">
        <f>'A) Base RI'!AO37</f>
        <v>-8158.17</v>
      </c>
      <c r="E37" s="32">
        <f>'A) Base RI'!AP37</f>
        <v>0</v>
      </c>
      <c r="F37" s="32">
        <f>'A) Base RI'!AQ37</f>
        <v>-49.96</v>
      </c>
      <c r="G37" s="2">
        <f t="shared" si="0"/>
        <v>775385.54</v>
      </c>
      <c r="H37" s="10">
        <f>+'A) Base RI'!E37</f>
        <v>0</v>
      </c>
      <c r="I37" s="10">
        <f>+'A) Base RI'!F37</f>
        <v>0</v>
      </c>
      <c r="J37" s="10">
        <f>+'A) Base RI'!G37+'A) Base RI'!H37</f>
        <v>9836.6</v>
      </c>
      <c r="K37" s="10">
        <f>+'A) Base RI'!I37</f>
        <v>0</v>
      </c>
      <c r="L37" s="10">
        <f>+'A) Base RI'!J37</f>
        <v>51048.36</v>
      </c>
      <c r="M37" s="10">
        <f>+'A) Base RI'!K37</f>
        <v>746.35</v>
      </c>
      <c r="N37" s="10">
        <f>+'A) Base RI'!Q37</f>
        <v>12233.07</v>
      </c>
      <c r="O37" s="10">
        <f t="shared" si="1"/>
        <v>64529.25</v>
      </c>
      <c r="P37" s="10">
        <f>+'A) Base RI'!L37</f>
        <v>64529.25</v>
      </c>
      <c r="Q37" s="35">
        <f>'A) Base RI'!AR37</f>
        <v>1</v>
      </c>
      <c r="R37" s="2">
        <f t="shared" si="2"/>
        <v>913779.16999999993</v>
      </c>
      <c r="S37" s="34">
        <f>+'A) Base RI'!AM37</f>
        <v>80</v>
      </c>
      <c r="T37" s="2">
        <f t="shared" si="3"/>
        <v>848503.57</v>
      </c>
      <c r="U37" s="2">
        <f t="shared" si="4"/>
        <v>11422.239624999998</v>
      </c>
      <c r="V37" s="10">
        <f>+'A) Base RI'!O37</f>
        <v>34735.599999999999</v>
      </c>
      <c r="W37" s="10">
        <f>+'A) Base RI'!P37</f>
        <v>29260</v>
      </c>
      <c r="X37" s="10">
        <f>+'A) Base RI'!R37</f>
        <v>17928.349999999999</v>
      </c>
      <c r="Y37" s="2">
        <f t="shared" si="5"/>
        <v>81923.95</v>
      </c>
      <c r="Z37" s="10">
        <f>+'A) Base RI'!N37</f>
        <v>0</v>
      </c>
      <c r="AA37" s="10">
        <f>+'A) Base RI'!S37+'A) Base RI'!T37</f>
        <v>0</v>
      </c>
      <c r="AB37" s="10">
        <f>+'A) Base RI'!U37</f>
        <v>2250</v>
      </c>
      <c r="AC37" s="10">
        <f>+'A) Base RI'!V37</f>
        <v>0</v>
      </c>
      <c r="AD37" s="10">
        <f>+'A) Base RI'!W37</f>
        <v>0</v>
      </c>
      <c r="AE37" s="10">
        <f>+'A) Base RI'!Y37</f>
        <v>0</v>
      </c>
      <c r="AF37" s="10">
        <f>+'A) Base RI'!Z37</f>
        <v>0</v>
      </c>
      <c r="AG37" s="10">
        <f>+'A) Base RI'!AA37</f>
        <v>37185.800000000003</v>
      </c>
      <c r="AH37" s="10">
        <f>+'A) Base RI'!AB37</f>
        <v>0</v>
      </c>
      <c r="AI37" s="10">
        <f>+'A) Base RI'!AC37</f>
        <v>37620</v>
      </c>
      <c r="AJ37" s="10">
        <f>+'A) Base RI'!AD37</f>
        <v>0</v>
      </c>
      <c r="AK37" s="10">
        <f>+'A) Base RI'!AE37</f>
        <v>0</v>
      </c>
      <c r="AL37" s="10">
        <f>+'A) Base RI'!AF37</f>
        <v>0</v>
      </c>
      <c r="AM37" s="10">
        <f>+'A) Base RI'!AG37</f>
        <v>0</v>
      </c>
      <c r="AN37" s="10">
        <f>+'A) Base RI'!AH37</f>
        <v>0</v>
      </c>
      <c r="AO37" s="10">
        <f>+'A) Base RI'!AI37</f>
        <v>0</v>
      </c>
      <c r="AP37" s="10">
        <f>+'A) Base RI'!AJ37</f>
        <v>0</v>
      </c>
      <c r="AQ37" s="10">
        <f>+'A) Base RI'!AK37</f>
        <v>0</v>
      </c>
      <c r="AR37" s="10">
        <f>'A) Base RI'!AN37</f>
        <v>418</v>
      </c>
    </row>
    <row r="38" spans="1:44" x14ac:dyDescent="0.25">
      <c r="A38" s="8">
        <f>'A) Base RI'!A38</f>
        <v>5451</v>
      </c>
      <c r="B38" s="33" t="str">
        <f>'A) Base RI'!B38</f>
        <v>Avenches</v>
      </c>
      <c r="C38" s="10">
        <f>'A) Base RI'!C38+'A) Base RI'!D38</f>
        <v>5889957.0800000001</v>
      </c>
      <c r="D38" s="10">
        <f>'A) Base RI'!AO38</f>
        <v>-301396.52</v>
      </c>
      <c r="E38" s="32">
        <f>'A) Base RI'!AP38</f>
        <v>0</v>
      </c>
      <c r="F38" s="32">
        <f>'A) Base RI'!AQ38</f>
        <v>-90.14</v>
      </c>
      <c r="G38" s="2">
        <f t="shared" si="0"/>
        <v>5588470.4200000009</v>
      </c>
      <c r="H38" s="10">
        <f>+'A) Base RI'!E38</f>
        <v>0</v>
      </c>
      <c r="I38" s="10">
        <f>+'A) Base RI'!F38</f>
        <v>0</v>
      </c>
      <c r="J38" s="10">
        <f>+'A) Base RI'!G38+'A) Base RI'!H38</f>
        <v>3237246.4</v>
      </c>
      <c r="K38" s="10">
        <f>+'A) Base RI'!I38</f>
        <v>0</v>
      </c>
      <c r="L38" s="10">
        <f>+'A) Base RI'!J38</f>
        <v>336376.17</v>
      </c>
      <c r="M38" s="10">
        <f>+'A) Base RI'!K38</f>
        <v>132495.65</v>
      </c>
      <c r="N38" s="10">
        <f>+'A) Base RI'!Q38</f>
        <v>60112.98</v>
      </c>
      <c r="O38" s="10">
        <f t="shared" si="1"/>
        <v>896824.2666666666</v>
      </c>
      <c r="P38" s="10">
        <f>+'A) Base RI'!L38</f>
        <v>1345236.4</v>
      </c>
      <c r="Q38" s="35">
        <f>'A) Base RI'!AR38</f>
        <v>1.5</v>
      </c>
      <c r="R38" s="2">
        <f t="shared" si="2"/>
        <v>10251525.886666667</v>
      </c>
      <c r="S38" s="34">
        <f>+'A) Base RI'!AM38</f>
        <v>68</v>
      </c>
      <c r="T38" s="2">
        <f t="shared" si="3"/>
        <v>9222205.9700000007</v>
      </c>
      <c r="U38" s="2">
        <f t="shared" si="4"/>
        <v>150757.73362745097</v>
      </c>
      <c r="V38" s="10">
        <f>+'A) Base RI'!O38</f>
        <v>87250.7</v>
      </c>
      <c r="W38" s="10">
        <f>+'A) Base RI'!P38</f>
        <v>604917.30000000005</v>
      </c>
      <c r="X38" s="10">
        <f>+'A) Base RI'!R38</f>
        <v>342241.9</v>
      </c>
      <c r="Y38" s="2">
        <f t="shared" si="5"/>
        <v>1034409.9</v>
      </c>
      <c r="Z38" s="10">
        <f>+'A) Base RI'!N38</f>
        <v>582876.80000000005</v>
      </c>
      <c r="AA38" s="10">
        <f>+'A) Base RI'!S38+'A) Base RI'!T38</f>
        <v>37023.800000000003</v>
      </c>
      <c r="AB38" s="10">
        <f>+'A) Base RI'!U38</f>
        <v>22950</v>
      </c>
      <c r="AC38" s="10" t="str">
        <f>+'A) Base RI'!V38</f>
        <v/>
      </c>
      <c r="AD38" s="10" t="str">
        <f>+'A) Base RI'!W38</f>
        <v/>
      </c>
      <c r="AE38" s="10">
        <f>+'A) Base RI'!Y38</f>
        <v>18079.5</v>
      </c>
      <c r="AF38" s="10">
        <f>+'A) Base RI'!Z38</f>
        <v>7656.85</v>
      </c>
      <c r="AG38" s="10">
        <f>+'A) Base RI'!AA38</f>
        <v>944516.45</v>
      </c>
      <c r="AH38" s="10">
        <f>+'A) Base RI'!AB38</f>
        <v>0</v>
      </c>
      <c r="AI38" s="10">
        <f>+'A) Base RI'!AC38</f>
        <v>443088.26</v>
      </c>
      <c r="AJ38" s="10">
        <f>+'A) Base RI'!AD38</f>
        <v>12711.1</v>
      </c>
      <c r="AK38" s="10">
        <f>+'A) Base RI'!AE38</f>
        <v>-130.44999999999999</v>
      </c>
      <c r="AL38" s="10">
        <f>+'A) Base RI'!AF38</f>
        <v>0</v>
      </c>
      <c r="AM38" s="10">
        <f>+'A) Base RI'!AG38</f>
        <v>316402</v>
      </c>
      <c r="AN38" s="10">
        <f>+'A) Base RI'!AH38</f>
        <v>0</v>
      </c>
      <c r="AO38" s="10">
        <f>+'A) Base RI'!AI38</f>
        <v>0</v>
      </c>
      <c r="AP38" s="10">
        <f>+'A) Base RI'!AJ38</f>
        <v>0</v>
      </c>
      <c r="AQ38" s="10">
        <f>+'A) Base RI'!AK38</f>
        <v>0</v>
      </c>
      <c r="AR38" s="10">
        <f>'A) Base RI'!AN38</f>
        <v>4282</v>
      </c>
    </row>
    <row r="39" spans="1:44" x14ac:dyDescent="0.25">
      <c r="A39" s="8">
        <f>'A) Base RI'!A39</f>
        <v>5456</v>
      </c>
      <c r="B39" s="33" t="str">
        <f>'A) Base RI'!B39</f>
        <v>Cudrefin</v>
      </c>
      <c r="C39" s="10">
        <f>'A) Base RI'!C39+'A) Base RI'!D39</f>
        <v>2988171.14</v>
      </c>
      <c r="D39" s="10">
        <f>'A) Base RI'!AO39</f>
        <v>-54012.65</v>
      </c>
      <c r="E39" s="32">
        <f>'A) Base RI'!AP39</f>
        <v>0</v>
      </c>
      <c r="F39" s="32">
        <f>'A) Base RI'!AQ39</f>
        <v>-7.67</v>
      </c>
      <c r="G39" s="2">
        <f t="shared" si="0"/>
        <v>2934150.8200000003</v>
      </c>
      <c r="H39" s="10">
        <f>+'A) Base RI'!E39</f>
        <v>0</v>
      </c>
      <c r="I39" s="10">
        <f>+'A) Base RI'!F39</f>
        <v>0</v>
      </c>
      <c r="J39" s="10">
        <f>+'A) Base RI'!G39+'A) Base RI'!H39</f>
        <v>207032.5</v>
      </c>
      <c r="K39" s="10">
        <f>+'A) Base RI'!I39</f>
        <v>0</v>
      </c>
      <c r="L39" s="10">
        <f>+'A) Base RI'!J39</f>
        <v>36756.33</v>
      </c>
      <c r="M39" s="10">
        <f>+'A) Base RI'!K39</f>
        <v>9478.5499999999993</v>
      </c>
      <c r="N39" s="10">
        <f>+'A) Base RI'!Q39</f>
        <v>6794.66</v>
      </c>
      <c r="O39" s="10">
        <f t="shared" si="1"/>
        <v>309027.5</v>
      </c>
      <c r="P39" s="10">
        <f>+'A) Base RI'!L39</f>
        <v>463541.25</v>
      </c>
      <c r="Q39" s="35">
        <f>'A) Base RI'!AR39</f>
        <v>1.5</v>
      </c>
      <c r="R39" s="2">
        <f t="shared" si="2"/>
        <v>3503240.3600000003</v>
      </c>
      <c r="S39" s="34">
        <f>+'A) Base RI'!AM39</f>
        <v>59</v>
      </c>
      <c r="T39" s="2">
        <f t="shared" si="3"/>
        <v>3184734.3100000005</v>
      </c>
      <c r="U39" s="2">
        <f t="shared" si="4"/>
        <v>59376.955254237291</v>
      </c>
      <c r="V39" s="10">
        <f>+'A) Base RI'!O39</f>
        <v>29432.400000000001</v>
      </c>
      <c r="W39" s="10">
        <f>+'A) Base RI'!P39</f>
        <v>319251.34999999998</v>
      </c>
      <c r="X39" s="10">
        <f>+'A) Base RI'!R39</f>
        <v>160243.54999999999</v>
      </c>
      <c r="Y39" s="2">
        <f t="shared" si="5"/>
        <v>508927.3</v>
      </c>
      <c r="Z39" s="10">
        <f>+'A) Base RI'!N39</f>
        <v>10293.4</v>
      </c>
      <c r="AA39" s="10">
        <f>+'A) Base RI'!S39+'A) Base RI'!T39</f>
        <v>0</v>
      </c>
      <c r="AB39" s="10">
        <f>+'A) Base RI'!U39</f>
        <v>6500</v>
      </c>
      <c r="AC39" s="10">
        <f>+'A) Base RI'!V39</f>
        <v>0</v>
      </c>
      <c r="AD39" s="10">
        <f>+'A) Base RI'!W39</f>
        <v>0</v>
      </c>
      <c r="AE39" s="10">
        <f>+'A) Base RI'!Y39</f>
        <v>200000</v>
      </c>
      <c r="AF39" s="10">
        <f>+'A) Base RI'!Z39</f>
        <v>0</v>
      </c>
      <c r="AG39" s="10">
        <f>+'A) Base RI'!AA39</f>
        <v>146057.65</v>
      </c>
      <c r="AH39" s="10">
        <f>+'A) Base RI'!AB39</f>
        <v>0</v>
      </c>
      <c r="AI39" s="10">
        <f>+'A) Base RI'!AC39</f>
        <v>225770.38</v>
      </c>
      <c r="AJ39" s="10">
        <f>+'A) Base RI'!AD39</f>
        <v>73755.350000000006</v>
      </c>
      <c r="AK39" s="10">
        <f>+'A) Base RI'!AE39</f>
        <v>0</v>
      </c>
      <c r="AL39" s="10">
        <f>+'A) Base RI'!AF39</f>
        <v>0</v>
      </c>
      <c r="AM39" s="10">
        <f>+'A) Base RI'!AG39</f>
        <v>126205</v>
      </c>
      <c r="AN39" s="10">
        <f>+'A) Base RI'!AH39</f>
        <v>0</v>
      </c>
      <c r="AO39" s="10">
        <f>+'A) Base RI'!AI39</f>
        <v>0</v>
      </c>
      <c r="AP39" s="10">
        <f>+'A) Base RI'!AJ39</f>
        <v>0</v>
      </c>
      <c r="AQ39" s="10">
        <f>+'A) Base RI'!AK39</f>
        <v>0</v>
      </c>
      <c r="AR39" s="10">
        <f>'A) Base RI'!AN39</f>
        <v>1633</v>
      </c>
    </row>
    <row r="40" spans="1:44" x14ac:dyDescent="0.25">
      <c r="A40" s="8">
        <f>'A) Base RI'!A40</f>
        <v>5458</v>
      </c>
      <c r="B40" s="33" t="str">
        <f>'A) Base RI'!B40</f>
        <v>Faoug</v>
      </c>
      <c r="C40" s="10">
        <f>'A) Base RI'!C40+'A) Base RI'!D40</f>
        <v>1701060.74</v>
      </c>
      <c r="D40" s="10">
        <f>'A) Base RI'!AO40</f>
        <v>-63758.67</v>
      </c>
      <c r="E40" s="32">
        <f>'A) Base RI'!AP40</f>
        <v>0</v>
      </c>
      <c r="F40" s="32">
        <f>'A) Base RI'!AQ40</f>
        <v>-141.69999999999999</v>
      </c>
      <c r="G40" s="2">
        <f t="shared" si="0"/>
        <v>1637160.37</v>
      </c>
      <c r="H40" s="10">
        <f>+'A) Base RI'!E40</f>
        <v>0</v>
      </c>
      <c r="I40" s="10">
        <f>+'A) Base RI'!F40</f>
        <v>0</v>
      </c>
      <c r="J40" s="10">
        <f>+'A) Base RI'!G40+'A) Base RI'!H40</f>
        <v>69863</v>
      </c>
      <c r="K40" s="10">
        <f>+'A) Base RI'!I40</f>
        <v>0</v>
      </c>
      <c r="L40" s="10">
        <f>+'A) Base RI'!J40</f>
        <v>51963.93</v>
      </c>
      <c r="M40" s="10">
        <f>+'A) Base RI'!K40</f>
        <v>9656.9500000000007</v>
      </c>
      <c r="N40" s="10">
        <f>+'A) Base RI'!Q40</f>
        <v>14468.67</v>
      </c>
      <c r="O40" s="10">
        <f t="shared" si="1"/>
        <v>170789.35</v>
      </c>
      <c r="P40" s="10">
        <f>+'A) Base RI'!L40</f>
        <v>170789.35</v>
      </c>
      <c r="Q40" s="35">
        <f>'A) Base RI'!AR40</f>
        <v>1</v>
      </c>
      <c r="R40" s="2">
        <f t="shared" si="2"/>
        <v>1953902.27</v>
      </c>
      <c r="S40" s="34">
        <f>+'A) Base RI'!AM40</f>
        <v>64</v>
      </c>
      <c r="T40" s="2">
        <f t="shared" si="3"/>
        <v>1773455.97</v>
      </c>
      <c r="U40" s="2">
        <f t="shared" si="4"/>
        <v>30529.72296875</v>
      </c>
      <c r="V40" s="10">
        <f>+'A) Base RI'!O40</f>
        <v>2516.8000000000002</v>
      </c>
      <c r="W40" s="10">
        <f>+'A) Base RI'!P40</f>
        <v>125399.1</v>
      </c>
      <c r="X40" s="10">
        <f>+'A) Base RI'!R40</f>
        <v>122359.35</v>
      </c>
      <c r="Y40" s="2">
        <f t="shared" si="5"/>
        <v>250275.25</v>
      </c>
      <c r="Z40" s="10">
        <f>+'A) Base RI'!N40</f>
        <v>0</v>
      </c>
      <c r="AA40" s="10">
        <f>+'A) Base RI'!S40+'A) Base RI'!T40</f>
        <v>0</v>
      </c>
      <c r="AB40" s="10">
        <f>+'A) Base RI'!U40</f>
        <v>10050</v>
      </c>
      <c r="AC40" s="10">
        <f>+'A) Base RI'!V40</f>
        <v>0</v>
      </c>
      <c r="AD40" s="10">
        <f>+'A) Base RI'!W40</f>
        <v>0</v>
      </c>
      <c r="AE40" s="10">
        <f>+'A) Base RI'!Y40</f>
        <v>32839.1</v>
      </c>
      <c r="AF40" s="10">
        <f>+'A) Base RI'!Z40</f>
        <v>6004.1</v>
      </c>
      <c r="AG40" s="10">
        <f>+'A) Base RI'!AA40</f>
        <v>167176.20000000001</v>
      </c>
      <c r="AH40" s="10">
        <f>+'A) Base RI'!AB40</f>
        <v>0</v>
      </c>
      <c r="AI40" s="10">
        <f>+'A) Base RI'!AC40</f>
        <v>84267.45</v>
      </c>
      <c r="AJ40" s="10">
        <f>+'A) Base RI'!AD40</f>
        <v>30039.1</v>
      </c>
      <c r="AK40" s="10">
        <f>+'A) Base RI'!AE40</f>
        <v>6004.1</v>
      </c>
      <c r="AL40" s="10">
        <f>+'A) Base RI'!AF40</f>
        <v>0</v>
      </c>
      <c r="AM40" s="10">
        <f>+'A) Base RI'!AG40</f>
        <v>30861.95</v>
      </c>
      <c r="AN40" s="10">
        <f>+'A) Base RI'!AH40</f>
        <v>27527.5</v>
      </c>
      <c r="AO40" s="10">
        <f>+'A) Base RI'!AI40</f>
        <v>0</v>
      </c>
      <c r="AP40" s="10">
        <f>+'A) Base RI'!AJ40</f>
        <v>0</v>
      </c>
      <c r="AQ40" s="10">
        <f>+'A) Base RI'!AK40</f>
        <v>0</v>
      </c>
      <c r="AR40" s="10">
        <f>'A) Base RI'!AN40</f>
        <v>904</v>
      </c>
    </row>
    <row r="41" spans="1:44" x14ac:dyDescent="0.25">
      <c r="A41" s="8">
        <f>'A) Base RI'!A41</f>
        <v>5464</v>
      </c>
      <c r="B41" s="33" t="str">
        <f>'A) Base RI'!B41</f>
        <v>Vully-les-Lacs</v>
      </c>
      <c r="C41" s="10">
        <f>'A) Base RI'!C41+'A) Base RI'!D41</f>
        <v>6246390.2400000002</v>
      </c>
      <c r="D41" s="10">
        <f>'A) Base RI'!AO41</f>
        <v>-121626.08</v>
      </c>
      <c r="E41" s="32">
        <f>'A) Base RI'!AP41</f>
        <v>0</v>
      </c>
      <c r="F41" s="32">
        <f>'A) Base RI'!AQ41</f>
        <v>-499.04</v>
      </c>
      <c r="G41" s="2">
        <f t="shared" si="0"/>
        <v>6124265.1200000001</v>
      </c>
      <c r="H41" s="10">
        <f>+'A) Base RI'!E41</f>
        <v>0</v>
      </c>
      <c r="I41" s="10">
        <f>+'A) Base RI'!F41</f>
        <v>0</v>
      </c>
      <c r="J41" s="10">
        <f>+'A) Base RI'!G41+'A) Base RI'!H41</f>
        <v>51504.7</v>
      </c>
      <c r="K41" s="10">
        <f>+'A) Base RI'!I41</f>
        <v>0</v>
      </c>
      <c r="L41" s="10">
        <f>+'A) Base RI'!J41</f>
        <v>115915.85</v>
      </c>
      <c r="M41" s="10">
        <f>+'A) Base RI'!K41</f>
        <v>26287.95</v>
      </c>
      <c r="N41" s="10">
        <f>+'A) Base RI'!Q41</f>
        <v>24475.95</v>
      </c>
      <c r="O41" s="10">
        <f t="shared" si="1"/>
        <v>623070.70000000007</v>
      </c>
      <c r="P41" s="10">
        <f>+'A) Base RI'!L41</f>
        <v>934606.05</v>
      </c>
      <c r="Q41" s="35">
        <f>'A) Base RI'!AR41</f>
        <v>1.5</v>
      </c>
      <c r="R41" s="2">
        <f t="shared" si="2"/>
        <v>6965520.2700000005</v>
      </c>
      <c r="S41" s="34">
        <f>+'A) Base RI'!AM41</f>
        <v>67</v>
      </c>
      <c r="T41" s="2">
        <f t="shared" si="3"/>
        <v>6316161.6200000001</v>
      </c>
      <c r="U41" s="2">
        <f t="shared" si="4"/>
        <v>103962.98910447762</v>
      </c>
      <c r="V41" s="10">
        <f>+'A) Base RI'!O41</f>
        <v>289968.3</v>
      </c>
      <c r="W41" s="10">
        <f>+'A) Base RI'!P41</f>
        <v>320190.15000000002</v>
      </c>
      <c r="X41" s="10">
        <f>+'A) Base RI'!R41</f>
        <v>169581.8</v>
      </c>
      <c r="Y41" s="2">
        <f t="shared" si="5"/>
        <v>779740.25</v>
      </c>
      <c r="Z41" s="10">
        <f>+'A) Base RI'!N41</f>
        <v>0</v>
      </c>
      <c r="AA41" s="10">
        <f>+'A) Base RI'!S41+'A) Base RI'!T41</f>
        <v>0</v>
      </c>
      <c r="AB41" s="10">
        <f>+'A) Base RI'!U41</f>
        <v>23450</v>
      </c>
      <c r="AC41" s="10">
        <f>+'A) Base RI'!V41</f>
        <v>0</v>
      </c>
      <c r="AD41" s="10">
        <f>+'A) Base RI'!W41</f>
        <v>0</v>
      </c>
      <c r="AE41" s="10">
        <f>+'A) Base RI'!Y41</f>
        <v>385240.1</v>
      </c>
      <c r="AF41" s="10">
        <f>+'A) Base RI'!Z41</f>
        <v>190526</v>
      </c>
      <c r="AG41" s="10">
        <f>+'A) Base RI'!AA41</f>
        <v>484771.9</v>
      </c>
      <c r="AH41" s="10" t="str">
        <f>+'A) Base RI'!AB41</f>
        <v/>
      </c>
      <c r="AI41" s="10">
        <f>+'A) Base RI'!AC41</f>
        <v>322365.96000000002</v>
      </c>
      <c r="AJ41" s="10">
        <f>+'A) Base RI'!AD41</f>
        <v>440729.8</v>
      </c>
      <c r="AK41" s="10" t="str">
        <f>+'A) Base RI'!AE41</f>
        <v/>
      </c>
      <c r="AL41" s="10" t="str">
        <f>+'A) Base RI'!AF41</f>
        <v/>
      </c>
      <c r="AM41" s="10">
        <f>+'A) Base RI'!AG41</f>
        <v>220364.85</v>
      </c>
      <c r="AN41" s="10">
        <f>+'A) Base RI'!AH41</f>
        <v>0</v>
      </c>
      <c r="AO41" s="10">
        <f>+'A) Base RI'!AI41</f>
        <v>94781.41</v>
      </c>
      <c r="AP41" s="10">
        <f>+'A) Base RI'!AJ41</f>
        <v>0</v>
      </c>
      <c r="AQ41" s="10">
        <f>+'A) Base RI'!AK41</f>
        <v>0</v>
      </c>
      <c r="AR41" s="10">
        <f>'A) Base RI'!AN41</f>
        <v>3163</v>
      </c>
    </row>
    <row r="42" spans="1:44" x14ac:dyDescent="0.25">
      <c r="A42" s="8">
        <f>'A) Base RI'!A42</f>
        <v>5471</v>
      </c>
      <c r="B42" s="33" t="str">
        <f>'A) Base RI'!B42</f>
        <v>Bettens</v>
      </c>
      <c r="C42" s="10">
        <f>'A) Base RI'!C42+'A) Base RI'!D42</f>
        <v>1113612.6400000001</v>
      </c>
      <c r="D42" s="10">
        <f>'A) Base RI'!AO42</f>
        <v>-7715.8</v>
      </c>
      <c r="E42" s="32">
        <f>'A) Base RI'!AP42</f>
        <v>0</v>
      </c>
      <c r="F42" s="32">
        <f>'A) Base RI'!AQ42</f>
        <v>-682.53</v>
      </c>
      <c r="G42" s="2">
        <f t="shared" si="0"/>
        <v>1105214.31</v>
      </c>
      <c r="H42" s="10">
        <f>+'A) Base RI'!E42</f>
        <v>0</v>
      </c>
      <c r="I42" s="10">
        <f>+'A) Base RI'!F42</f>
        <v>0</v>
      </c>
      <c r="J42" s="10">
        <f>+'A) Base RI'!G42+'A) Base RI'!H42</f>
        <v>55390.1</v>
      </c>
      <c r="K42" s="10">
        <f>+'A) Base RI'!I42</f>
        <v>0</v>
      </c>
      <c r="L42" s="10">
        <f>+'A) Base RI'!J42</f>
        <v>16630.55</v>
      </c>
      <c r="M42" s="10">
        <f>+'A) Base RI'!K42</f>
        <v>6092</v>
      </c>
      <c r="N42" s="10">
        <f>+'A) Base RI'!Q42</f>
        <v>2829.85</v>
      </c>
      <c r="O42" s="10">
        <f t="shared" si="1"/>
        <v>114799.27777777778</v>
      </c>
      <c r="P42" s="10">
        <f>+'A) Base RI'!L42</f>
        <v>103319.35</v>
      </c>
      <c r="Q42" s="35">
        <f>'A) Base RI'!AR42</f>
        <v>0.9</v>
      </c>
      <c r="R42" s="2">
        <f t="shared" si="2"/>
        <v>1300956.087777778</v>
      </c>
      <c r="S42" s="34">
        <f>+'A) Base RI'!AM42</f>
        <v>70</v>
      </c>
      <c r="T42" s="2">
        <f t="shared" si="3"/>
        <v>1180064.8100000003</v>
      </c>
      <c r="U42" s="2">
        <f t="shared" si="4"/>
        <v>18585.086968253971</v>
      </c>
      <c r="V42" s="10">
        <f>+'A) Base RI'!O42</f>
        <v>0</v>
      </c>
      <c r="W42" s="10">
        <f>+'A) Base RI'!P42</f>
        <v>61981.05</v>
      </c>
      <c r="X42" s="10">
        <f>+'A) Base RI'!R42</f>
        <v>429.85</v>
      </c>
      <c r="Y42" s="2">
        <f t="shared" si="5"/>
        <v>62410.9</v>
      </c>
      <c r="Z42" s="10">
        <f>+'A) Base RI'!N42</f>
        <v>17517.349999999999</v>
      </c>
      <c r="AA42" s="10">
        <f>+'A) Base RI'!S42+'A) Base RI'!T42</f>
        <v>0</v>
      </c>
      <c r="AB42" s="10">
        <f>+'A) Base RI'!U42</f>
        <v>4750</v>
      </c>
      <c r="AC42" s="10">
        <f>+'A) Base RI'!V42</f>
        <v>0</v>
      </c>
      <c r="AD42" s="10">
        <f>+'A) Base RI'!W42</f>
        <v>0</v>
      </c>
      <c r="AE42" s="10">
        <f>+'A) Base RI'!Y42</f>
        <v>25295</v>
      </c>
      <c r="AF42" s="10">
        <f>+'A) Base RI'!Z42</f>
        <v>0</v>
      </c>
      <c r="AG42" s="10">
        <f>+'A) Base RI'!AA42</f>
        <v>70202</v>
      </c>
      <c r="AH42" s="10">
        <f>+'A) Base RI'!AB42</f>
        <v>0</v>
      </c>
      <c r="AI42" s="10">
        <f>+'A) Base RI'!AC42</f>
        <v>20430.3</v>
      </c>
      <c r="AJ42" s="10">
        <f>+'A) Base RI'!AD42</f>
        <v>10656.5</v>
      </c>
      <c r="AK42" s="10">
        <f>+'A) Base RI'!AE42</f>
        <v>0</v>
      </c>
      <c r="AL42" s="10">
        <f>+'A) Base RI'!AF42</f>
        <v>0</v>
      </c>
      <c r="AM42" s="10">
        <f>+'A) Base RI'!AG42</f>
        <v>0</v>
      </c>
      <c r="AN42" s="10">
        <f>+'A) Base RI'!AH42</f>
        <v>0</v>
      </c>
      <c r="AO42" s="10">
        <f>+'A) Base RI'!AI42</f>
        <v>0</v>
      </c>
      <c r="AP42" s="10">
        <f>+'A) Base RI'!AJ42</f>
        <v>0</v>
      </c>
      <c r="AQ42" s="10">
        <f>+'A) Base RI'!AK42</f>
        <v>0</v>
      </c>
      <c r="AR42" s="10">
        <f>'A) Base RI'!AN42</f>
        <v>592</v>
      </c>
    </row>
    <row r="43" spans="1:44" x14ac:dyDescent="0.25">
      <c r="A43" s="8">
        <f>'A) Base RI'!A43</f>
        <v>5472</v>
      </c>
      <c r="B43" s="33" t="str">
        <f>'A) Base RI'!B43</f>
        <v>Bournens</v>
      </c>
      <c r="C43" s="10">
        <f>'A) Base RI'!C43+'A) Base RI'!D43</f>
        <v>1133840.96</v>
      </c>
      <c r="D43" s="10">
        <f>'A) Base RI'!AO43</f>
        <v>-7805.18</v>
      </c>
      <c r="E43" s="32">
        <f>'A) Base RI'!AP43</f>
        <v>0</v>
      </c>
      <c r="F43" s="32">
        <f>'A) Base RI'!AQ43</f>
        <v>-90.07</v>
      </c>
      <c r="G43" s="2">
        <f t="shared" si="0"/>
        <v>1125945.71</v>
      </c>
      <c r="H43" s="10">
        <f>+'A) Base RI'!E43</f>
        <v>0</v>
      </c>
      <c r="I43" s="10">
        <f>+'A) Base RI'!F43</f>
        <v>0</v>
      </c>
      <c r="J43" s="10">
        <f>+'A) Base RI'!G43+'A) Base RI'!H43</f>
        <v>15586.199999999999</v>
      </c>
      <c r="K43" s="10">
        <f>+'A) Base RI'!I43</f>
        <v>0</v>
      </c>
      <c r="L43" s="10">
        <f>+'A) Base RI'!J43</f>
        <v>25919.01</v>
      </c>
      <c r="M43" s="10">
        <f>+'A) Base RI'!K43</f>
        <v>1389</v>
      </c>
      <c r="N43" s="10">
        <f>+'A) Base RI'!Q43</f>
        <v>0</v>
      </c>
      <c r="O43" s="10">
        <f t="shared" si="1"/>
        <v>88402.15</v>
      </c>
      <c r="P43" s="10">
        <f>+'A) Base RI'!L43</f>
        <v>88402.15</v>
      </c>
      <c r="Q43" s="35">
        <f>'A) Base RI'!AR43</f>
        <v>1</v>
      </c>
      <c r="R43" s="2">
        <f t="shared" si="2"/>
        <v>1257242.0699999998</v>
      </c>
      <c r="S43" s="34">
        <f>+'A) Base RI'!AM43</f>
        <v>76</v>
      </c>
      <c r="T43" s="2">
        <f t="shared" si="3"/>
        <v>1167450.92</v>
      </c>
      <c r="U43" s="2">
        <f t="shared" si="4"/>
        <v>16542.658815789473</v>
      </c>
      <c r="V43" s="10">
        <f>+'A) Base RI'!O43</f>
        <v>0</v>
      </c>
      <c r="W43" s="10">
        <f>+'A) Base RI'!P43</f>
        <v>32083.85</v>
      </c>
      <c r="X43" s="10">
        <f>+'A) Base RI'!R43</f>
        <v>9733.2999999999993</v>
      </c>
      <c r="Y43" s="2">
        <f t="shared" si="5"/>
        <v>41817.149999999994</v>
      </c>
      <c r="Z43" s="10">
        <f>+'A) Base RI'!N43</f>
        <v>0</v>
      </c>
      <c r="AA43" s="10">
        <f>+'A) Base RI'!S43+'A) Base RI'!T43</f>
        <v>222.25</v>
      </c>
      <c r="AB43" s="10">
        <f>+'A) Base RI'!U43</f>
        <v>1830</v>
      </c>
      <c r="AC43" s="10">
        <f>+'A) Base RI'!V43</f>
        <v>0</v>
      </c>
      <c r="AD43" s="10">
        <f>+'A) Base RI'!W43</f>
        <v>0</v>
      </c>
      <c r="AE43" s="10">
        <f>+'A) Base RI'!Y43</f>
        <v>346864</v>
      </c>
      <c r="AF43" s="10" t="str">
        <f>+'A) Base RI'!Z43</f>
        <v/>
      </c>
      <c r="AG43" s="10">
        <f>+'A) Base RI'!AA43</f>
        <v>81826.8</v>
      </c>
      <c r="AH43" s="10" t="str">
        <f>+'A) Base RI'!AB43</f>
        <v/>
      </c>
      <c r="AI43" s="10">
        <f>+'A) Base RI'!AC43</f>
        <v>42315</v>
      </c>
      <c r="AJ43" s="10">
        <f>+'A) Base RI'!AD43</f>
        <v>251709.7</v>
      </c>
      <c r="AK43" s="10" t="str">
        <f>+'A) Base RI'!AE43</f>
        <v/>
      </c>
      <c r="AL43" s="10" t="str">
        <f>+'A) Base RI'!AF43</f>
        <v/>
      </c>
      <c r="AM43" s="10" t="str">
        <f>+'A) Base RI'!AG43</f>
        <v/>
      </c>
      <c r="AN43" s="10">
        <f>+'A) Base RI'!AH43</f>
        <v>0</v>
      </c>
      <c r="AO43" s="10">
        <f>+'A) Base RI'!AI43</f>
        <v>0</v>
      </c>
      <c r="AP43" s="10">
        <f>+'A) Base RI'!AJ43</f>
        <v>0</v>
      </c>
      <c r="AQ43" s="10">
        <f>+'A) Base RI'!AK43</f>
        <v>0</v>
      </c>
      <c r="AR43" s="10">
        <f>'A) Base RI'!AN43</f>
        <v>404</v>
      </c>
    </row>
    <row r="44" spans="1:44" x14ac:dyDescent="0.25">
      <c r="A44" s="8">
        <f>'A) Base RI'!A44</f>
        <v>5473</v>
      </c>
      <c r="B44" s="33" t="str">
        <f>'A) Base RI'!B44</f>
        <v>Boussens</v>
      </c>
      <c r="C44" s="10">
        <f>'A) Base RI'!C44+'A) Base RI'!D44</f>
        <v>2230358.15</v>
      </c>
      <c r="D44" s="10">
        <f>'A) Base RI'!AO44</f>
        <v>-34359.550000000003</v>
      </c>
      <c r="E44" s="32">
        <f>'A) Base RI'!AP44</f>
        <v>0</v>
      </c>
      <c r="F44" s="32">
        <f>'A) Base RI'!AQ44</f>
        <v>-42.26</v>
      </c>
      <c r="G44" s="2">
        <f t="shared" si="0"/>
        <v>2195956.3400000003</v>
      </c>
      <c r="H44" s="10">
        <f>+'A) Base RI'!E44</f>
        <v>0</v>
      </c>
      <c r="I44" s="10">
        <f>+'A) Base RI'!F44</f>
        <v>0</v>
      </c>
      <c r="J44" s="10">
        <f>+'A) Base RI'!G44+'A) Base RI'!H44</f>
        <v>135466.45000000001</v>
      </c>
      <c r="K44" s="10">
        <f>+'A) Base RI'!I44</f>
        <v>0</v>
      </c>
      <c r="L44" s="10">
        <f>+'A) Base RI'!J44</f>
        <v>14930.43</v>
      </c>
      <c r="M44" s="10">
        <f>+'A) Base RI'!K44</f>
        <v>4488.2</v>
      </c>
      <c r="N44" s="10">
        <f>+'A) Base RI'!Q44</f>
        <v>7069.78</v>
      </c>
      <c r="O44" s="10">
        <f t="shared" si="1"/>
        <v>175827.1</v>
      </c>
      <c r="P44" s="10">
        <f>+'A) Base RI'!L44</f>
        <v>175827.1</v>
      </c>
      <c r="Q44" s="35">
        <f>'A) Base RI'!AR44</f>
        <v>1</v>
      </c>
      <c r="R44" s="2">
        <f t="shared" si="2"/>
        <v>2533738.3000000007</v>
      </c>
      <c r="S44" s="34">
        <f>+'A) Base RI'!AM44</f>
        <v>69</v>
      </c>
      <c r="T44" s="2">
        <f t="shared" si="3"/>
        <v>2353423.0000000005</v>
      </c>
      <c r="U44" s="2">
        <f t="shared" si="4"/>
        <v>36720.844927536244</v>
      </c>
      <c r="V44" s="10">
        <f>+'A) Base RI'!O44</f>
        <v>0</v>
      </c>
      <c r="W44" s="10">
        <f>+'A) Base RI'!P44</f>
        <v>59371.35</v>
      </c>
      <c r="X44" s="10">
        <f>+'A) Base RI'!R44</f>
        <v>21331.5</v>
      </c>
      <c r="Y44" s="2">
        <f t="shared" si="5"/>
        <v>80702.850000000006</v>
      </c>
      <c r="Z44" s="10">
        <f>+'A) Base RI'!N44</f>
        <v>0</v>
      </c>
      <c r="AA44" s="10">
        <f>+'A) Base RI'!S44+'A) Base RI'!T44</f>
        <v>0</v>
      </c>
      <c r="AB44" s="10">
        <f>+'A) Base RI'!U44</f>
        <v>4920</v>
      </c>
      <c r="AC44" s="10">
        <f>+'A) Base RI'!V44</f>
        <v>0</v>
      </c>
      <c r="AD44" s="10">
        <f>+'A) Base RI'!W44</f>
        <v>0</v>
      </c>
      <c r="AE44" s="10">
        <f>+'A) Base RI'!Y44</f>
        <v>23000</v>
      </c>
      <c r="AF44" s="10" t="str">
        <f>+'A) Base RI'!Z44</f>
        <v/>
      </c>
      <c r="AG44" s="10">
        <f>+'A) Base RI'!AA44</f>
        <v>155833.35</v>
      </c>
      <c r="AH44" s="10" t="str">
        <f>+'A) Base RI'!AB44</f>
        <v/>
      </c>
      <c r="AI44" s="10">
        <f>+'A) Base RI'!AC44</f>
        <v>104131.27</v>
      </c>
      <c r="AJ44" s="10" t="str">
        <f>+'A) Base RI'!AD44</f>
        <v/>
      </c>
      <c r="AK44" s="10" t="str">
        <f>+'A) Base RI'!AE44</f>
        <v/>
      </c>
      <c r="AL44" s="10" t="str">
        <f>+'A) Base RI'!AF44</f>
        <v/>
      </c>
      <c r="AM44" s="10" t="str">
        <f>+'A) Base RI'!AG44</f>
        <v/>
      </c>
      <c r="AN44" s="10">
        <f>+'A) Base RI'!AH44</f>
        <v>0</v>
      </c>
      <c r="AO44" s="10">
        <f>+'A) Base RI'!AI44</f>
        <v>0</v>
      </c>
      <c r="AP44" s="10">
        <f>+'A) Base RI'!AJ44</f>
        <v>0</v>
      </c>
      <c r="AQ44" s="10">
        <f>+'A) Base RI'!AK44</f>
        <v>0</v>
      </c>
      <c r="AR44" s="10">
        <f>'A) Base RI'!AN44</f>
        <v>968</v>
      </c>
    </row>
    <row r="45" spans="1:44" x14ac:dyDescent="0.25">
      <c r="A45" s="8">
        <f>'A) Base RI'!A45</f>
        <v>5474</v>
      </c>
      <c r="B45" s="33" t="str">
        <f>'A) Base RI'!B45</f>
        <v>La Chaux (Cossonay)</v>
      </c>
      <c r="C45" s="10">
        <f>'A) Base RI'!C45+'A) Base RI'!D45</f>
        <v>884363.1</v>
      </c>
      <c r="D45" s="10">
        <f>'A) Base RI'!AO45</f>
        <v>-774.91</v>
      </c>
      <c r="E45" s="32">
        <f>'A) Base RI'!AP45</f>
        <v>0</v>
      </c>
      <c r="F45" s="32">
        <f>'A) Base RI'!AQ45</f>
        <v>-14.32</v>
      </c>
      <c r="G45" s="2">
        <f t="shared" si="0"/>
        <v>883573.87</v>
      </c>
      <c r="H45" s="10">
        <f>+'A) Base RI'!E45</f>
        <v>0</v>
      </c>
      <c r="I45" s="10">
        <f>+'A) Base RI'!F45</f>
        <v>0</v>
      </c>
      <c r="J45" s="10">
        <f>+'A) Base RI'!G45+'A) Base RI'!H45</f>
        <v>2508.3000000000002</v>
      </c>
      <c r="K45" s="10">
        <f>+'A) Base RI'!I45</f>
        <v>37946</v>
      </c>
      <c r="L45" s="10">
        <f>+'A) Base RI'!J45</f>
        <v>4262.05</v>
      </c>
      <c r="M45" s="10">
        <f>+'A) Base RI'!K45</f>
        <v>845</v>
      </c>
      <c r="N45" s="10">
        <f>+'A) Base RI'!Q45</f>
        <v>0</v>
      </c>
      <c r="O45" s="10">
        <f t="shared" si="1"/>
        <v>70740.083333333343</v>
      </c>
      <c r="P45" s="10">
        <f>+'A) Base RI'!L45</f>
        <v>84888.1</v>
      </c>
      <c r="Q45" s="35">
        <f>'A) Base RI'!AR45</f>
        <v>1.2</v>
      </c>
      <c r="R45" s="2">
        <f t="shared" si="2"/>
        <v>999875.30333333346</v>
      </c>
      <c r="S45" s="34">
        <f>+'A) Base RI'!AM45</f>
        <v>77</v>
      </c>
      <c r="T45" s="2">
        <f t="shared" si="3"/>
        <v>928290.22000000009</v>
      </c>
      <c r="U45" s="2">
        <f t="shared" si="4"/>
        <v>12985.393549783552</v>
      </c>
      <c r="V45" s="10">
        <f>+'A) Base RI'!O45</f>
        <v>676.4</v>
      </c>
      <c r="W45" s="10">
        <f>+'A) Base RI'!P45</f>
        <v>9627.6</v>
      </c>
      <c r="X45" s="10">
        <f>+'A) Base RI'!R45</f>
        <v>-15881.8</v>
      </c>
      <c r="Y45" s="2">
        <f t="shared" si="5"/>
        <v>-5577.7999999999993</v>
      </c>
      <c r="Z45" s="10">
        <f>+'A) Base RI'!N45</f>
        <v>2867.05</v>
      </c>
      <c r="AA45" s="10">
        <f>+'A) Base RI'!S45+'A) Base RI'!T45</f>
        <v>0</v>
      </c>
      <c r="AB45" s="10">
        <f>+'A) Base RI'!U45</f>
        <v>1675</v>
      </c>
      <c r="AC45" s="10">
        <f>+'A) Base RI'!V45</f>
        <v>0</v>
      </c>
      <c r="AD45" s="10">
        <f>+'A) Base RI'!W45</f>
        <v>0</v>
      </c>
      <c r="AE45" s="10">
        <f>+'A) Base RI'!Y45</f>
        <v>13880</v>
      </c>
      <c r="AF45" s="10">
        <f>+'A) Base RI'!Z45</f>
        <v>0</v>
      </c>
      <c r="AG45" s="10">
        <f>+'A) Base RI'!AA45</f>
        <v>71239.55</v>
      </c>
      <c r="AH45" s="10">
        <f>+'A) Base RI'!AB45</f>
        <v>0</v>
      </c>
      <c r="AI45" s="10">
        <f>+'A) Base RI'!AC45</f>
        <v>27755</v>
      </c>
      <c r="AJ45" s="10">
        <f>+'A) Base RI'!AD45</f>
        <v>8541</v>
      </c>
      <c r="AK45" s="10">
        <f>+'A) Base RI'!AE45</f>
        <v>0</v>
      </c>
      <c r="AL45" s="10">
        <f>+'A) Base RI'!AF45</f>
        <v>0</v>
      </c>
      <c r="AM45" s="10">
        <f>+'A) Base RI'!AG45</f>
        <v>0</v>
      </c>
      <c r="AN45" s="10">
        <f>+'A) Base RI'!AH45</f>
        <v>0</v>
      </c>
      <c r="AO45" s="10">
        <f>+'A) Base RI'!AI45</f>
        <v>0</v>
      </c>
      <c r="AP45" s="10">
        <f>+'A) Base RI'!AJ45</f>
        <v>0</v>
      </c>
      <c r="AQ45" s="10">
        <f>+'A) Base RI'!AK45</f>
        <v>0</v>
      </c>
      <c r="AR45" s="10">
        <f>'A) Base RI'!AN45</f>
        <v>410</v>
      </c>
    </row>
    <row r="46" spans="1:44" x14ac:dyDescent="0.25">
      <c r="A46" s="8">
        <f>'A) Base RI'!A46</f>
        <v>5475</v>
      </c>
      <c r="B46" s="33" t="str">
        <f>'A) Base RI'!B46</f>
        <v>Chavannes-le-Veyron</v>
      </c>
      <c r="C46" s="10">
        <f>'A) Base RI'!C46+'A) Base RI'!D46</f>
        <v>346614.75</v>
      </c>
      <c r="D46" s="10">
        <f>'A) Base RI'!AO46</f>
        <v>-3985.25</v>
      </c>
      <c r="E46" s="32">
        <f>'A) Base RI'!AP46</f>
        <v>0</v>
      </c>
      <c r="F46" s="32">
        <f>'A) Base RI'!AQ46</f>
        <v>0</v>
      </c>
      <c r="G46" s="2">
        <f t="shared" si="0"/>
        <v>342629.5</v>
      </c>
      <c r="H46" s="10">
        <f>+'A) Base RI'!E46</f>
        <v>0</v>
      </c>
      <c r="I46" s="10">
        <f>+'A) Base RI'!F46</f>
        <v>0</v>
      </c>
      <c r="J46" s="10">
        <f>+'A) Base RI'!G46+'A) Base RI'!H46</f>
        <v>9577.75</v>
      </c>
      <c r="K46" s="10">
        <f>+'A) Base RI'!I46</f>
        <v>0</v>
      </c>
      <c r="L46" s="10">
        <f>+'A) Base RI'!J46</f>
        <v>7198.35</v>
      </c>
      <c r="M46" s="10">
        <f>+'A) Base RI'!K46</f>
        <v>0</v>
      </c>
      <c r="N46" s="10">
        <f>+'A) Base RI'!Q46</f>
        <v>0</v>
      </c>
      <c r="O46" s="10">
        <f t="shared" si="1"/>
        <v>22237.3</v>
      </c>
      <c r="P46" s="10">
        <f>+'A) Base RI'!L46</f>
        <v>22237.3</v>
      </c>
      <c r="Q46" s="35">
        <f>'A) Base RI'!AR46</f>
        <v>1</v>
      </c>
      <c r="R46" s="2">
        <f t="shared" si="2"/>
        <v>381642.89999999997</v>
      </c>
      <c r="S46" s="34">
        <f>+'A) Base RI'!AM46</f>
        <v>77</v>
      </c>
      <c r="T46" s="2">
        <f t="shared" si="3"/>
        <v>359405.6</v>
      </c>
      <c r="U46" s="2">
        <f t="shared" si="4"/>
        <v>4956.4012987012984</v>
      </c>
      <c r="V46" s="10">
        <f>+'A) Base RI'!O46</f>
        <v>0</v>
      </c>
      <c r="W46" s="10">
        <f>+'A) Base RI'!P46</f>
        <v>12280.9</v>
      </c>
      <c r="X46" s="10">
        <f>+'A) Base RI'!R46</f>
        <v>52362.2</v>
      </c>
      <c r="Y46" s="2">
        <f t="shared" si="5"/>
        <v>64643.1</v>
      </c>
      <c r="Z46" s="10">
        <f>+'A) Base RI'!N46</f>
        <v>0</v>
      </c>
      <c r="AA46" s="10">
        <f>+'A) Base RI'!S46+'A) Base RI'!T46</f>
        <v>0</v>
      </c>
      <c r="AB46" s="10">
        <f>+'A) Base RI'!U46</f>
        <v>375</v>
      </c>
      <c r="AC46" s="10">
        <f>+'A) Base RI'!V46</f>
        <v>0</v>
      </c>
      <c r="AD46" s="10">
        <f>+'A) Base RI'!W46</f>
        <v>0</v>
      </c>
      <c r="AE46" s="10">
        <f>+'A) Base RI'!Y46</f>
        <v>0</v>
      </c>
      <c r="AF46" s="10">
        <f>+'A) Base RI'!Z46</f>
        <v>0</v>
      </c>
      <c r="AG46" s="10">
        <f>+'A) Base RI'!AA46</f>
        <v>12350.1</v>
      </c>
      <c r="AH46" s="10">
        <f>+'A) Base RI'!AB46</f>
        <v>0</v>
      </c>
      <c r="AI46" s="10">
        <f>+'A) Base RI'!AC46</f>
        <v>15626.75</v>
      </c>
      <c r="AJ46" s="10">
        <f>+'A) Base RI'!AD46</f>
        <v>0</v>
      </c>
      <c r="AK46" s="10">
        <f>+'A) Base RI'!AE46</f>
        <v>0</v>
      </c>
      <c r="AL46" s="10">
        <f>+'A) Base RI'!AF46</f>
        <v>0</v>
      </c>
      <c r="AM46" s="10">
        <f>+'A) Base RI'!AG46</f>
        <v>0</v>
      </c>
      <c r="AN46" s="10">
        <f>+'A) Base RI'!AH46</f>
        <v>0</v>
      </c>
      <c r="AO46" s="10">
        <f>+'A) Base RI'!AI46</f>
        <v>0</v>
      </c>
      <c r="AP46" s="10">
        <f>+'A) Base RI'!AJ46</f>
        <v>0</v>
      </c>
      <c r="AQ46" s="10">
        <f>+'A) Base RI'!AK46</f>
        <v>0</v>
      </c>
      <c r="AR46" s="10">
        <f>'A) Base RI'!AN46</f>
        <v>142</v>
      </c>
    </row>
    <row r="47" spans="1:44" x14ac:dyDescent="0.25">
      <c r="A47" s="8">
        <f>'A) Base RI'!A47</f>
        <v>5476</v>
      </c>
      <c r="B47" s="33" t="str">
        <f>'A) Base RI'!B47</f>
        <v>Chevilly</v>
      </c>
      <c r="C47" s="10">
        <f>'A) Base RI'!C47+'A) Base RI'!D47</f>
        <v>732550</v>
      </c>
      <c r="D47" s="10">
        <f>'A) Base RI'!AO47</f>
        <v>-12733.74</v>
      </c>
      <c r="E47" s="32">
        <f>'A) Base RI'!AP47</f>
        <v>0</v>
      </c>
      <c r="F47" s="32">
        <f>'A) Base RI'!AQ47</f>
        <v>-178.72</v>
      </c>
      <c r="G47" s="2">
        <f t="shared" si="0"/>
        <v>719637.54</v>
      </c>
      <c r="H47" s="10">
        <f>+'A) Base RI'!E47</f>
        <v>0</v>
      </c>
      <c r="I47" s="10">
        <f>+'A) Base RI'!F47</f>
        <v>0</v>
      </c>
      <c r="J47" s="10">
        <f>+'A) Base RI'!G47+'A) Base RI'!H47</f>
        <v>9304.5499999999993</v>
      </c>
      <c r="K47" s="10">
        <f>+'A) Base RI'!I47</f>
        <v>0</v>
      </c>
      <c r="L47" s="10">
        <f>+'A) Base RI'!J47</f>
        <v>1323.02</v>
      </c>
      <c r="M47" s="10">
        <f>+'A) Base RI'!K47</f>
        <v>0</v>
      </c>
      <c r="N47" s="10">
        <f>+'A) Base RI'!Q47</f>
        <v>0</v>
      </c>
      <c r="O47" s="10">
        <f t="shared" si="1"/>
        <v>56402.85</v>
      </c>
      <c r="P47" s="10">
        <f>+'A) Base RI'!L47</f>
        <v>56402.85</v>
      </c>
      <c r="Q47" s="35">
        <f>'A) Base RI'!AR47</f>
        <v>1</v>
      </c>
      <c r="R47" s="2">
        <f t="shared" si="2"/>
        <v>786667.96000000008</v>
      </c>
      <c r="S47" s="34">
        <f>+'A) Base RI'!AM47</f>
        <v>74</v>
      </c>
      <c r="T47" s="2">
        <f t="shared" si="3"/>
        <v>730265.1100000001</v>
      </c>
      <c r="U47" s="2">
        <f t="shared" si="4"/>
        <v>10630.648108108109</v>
      </c>
      <c r="V47" s="10">
        <f>+'A) Base RI'!O47</f>
        <v>-4347.2</v>
      </c>
      <c r="W47" s="10">
        <f>+'A) Base RI'!P47</f>
        <v>4015</v>
      </c>
      <c r="X47" s="10">
        <f>+'A) Base RI'!R47</f>
        <v>0</v>
      </c>
      <c r="Y47" s="2">
        <f t="shared" si="5"/>
        <v>-332.19999999999982</v>
      </c>
      <c r="Z47" s="10">
        <f>+'A) Base RI'!N47</f>
        <v>0</v>
      </c>
      <c r="AA47" s="10">
        <f>+'A) Base RI'!S47+'A) Base RI'!T47</f>
        <v>0</v>
      </c>
      <c r="AB47" s="10">
        <f>+'A) Base RI'!U47</f>
        <v>2800</v>
      </c>
      <c r="AC47" s="10">
        <f>+'A) Base RI'!V47</f>
        <v>0</v>
      </c>
      <c r="AD47" s="10">
        <f>+'A) Base RI'!W47</f>
        <v>0</v>
      </c>
      <c r="AE47" s="10">
        <f>+'A) Base RI'!Y47</f>
        <v>8345.5499999999993</v>
      </c>
      <c r="AF47" s="10">
        <f>+'A) Base RI'!Z47</f>
        <v>0</v>
      </c>
      <c r="AG47" s="10">
        <f>+'A) Base RI'!AA47</f>
        <v>15792.5</v>
      </c>
      <c r="AH47" s="10">
        <f>+'A) Base RI'!AB47</f>
        <v>0</v>
      </c>
      <c r="AI47" s="10">
        <f>+'A) Base RI'!AC47</f>
        <v>16124.9</v>
      </c>
      <c r="AJ47" s="10">
        <f>+'A) Base RI'!AD47</f>
        <v>13909.3</v>
      </c>
      <c r="AK47" s="10">
        <f>+'A) Base RI'!AE47</f>
        <v>0</v>
      </c>
      <c r="AL47" s="10">
        <f>+'A) Base RI'!AF47</f>
        <v>0</v>
      </c>
      <c r="AM47" s="10">
        <f>+'A) Base RI'!AG47</f>
        <v>0</v>
      </c>
      <c r="AN47" s="10">
        <f>+'A) Base RI'!AH47</f>
        <v>0</v>
      </c>
      <c r="AO47" s="10">
        <f>+'A) Base RI'!AI47</f>
        <v>0</v>
      </c>
      <c r="AP47" s="10">
        <f>+'A) Base RI'!AJ47</f>
        <v>0</v>
      </c>
      <c r="AQ47" s="10">
        <f>+'A) Base RI'!AK47</f>
        <v>0</v>
      </c>
      <c r="AR47" s="10">
        <f>'A) Base RI'!AN47</f>
        <v>314</v>
      </c>
    </row>
    <row r="48" spans="1:44" x14ac:dyDescent="0.25">
      <c r="A48" s="8">
        <f>'A) Base RI'!A48</f>
        <v>5477</v>
      </c>
      <c r="B48" s="33" t="str">
        <f>'A) Base RI'!B48</f>
        <v>Cossonay</v>
      </c>
      <c r="C48" s="10">
        <f>'A) Base RI'!C48+'A) Base RI'!D48</f>
        <v>7990731.46</v>
      </c>
      <c r="D48" s="10">
        <f>'A) Base RI'!AO48</f>
        <v>-66864.08</v>
      </c>
      <c r="E48" s="32">
        <f>'A) Base RI'!AP48</f>
        <v>0</v>
      </c>
      <c r="F48" s="32">
        <f>'A) Base RI'!AQ48</f>
        <v>-666.97</v>
      </c>
      <c r="G48" s="2">
        <f t="shared" si="0"/>
        <v>7923200.4100000001</v>
      </c>
      <c r="H48" s="10">
        <f>+'A) Base RI'!E48</f>
        <v>0</v>
      </c>
      <c r="I48" s="10">
        <f>+'A) Base RI'!F48</f>
        <v>0</v>
      </c>
      <c r="J48" s="10">
        <f>+'A) Base RI'!G48+'A) Base RI'!H48</f>
        <v>706253.7</v>
      </c>
      <c r="K48" s="10">
        <f>+'A) Base RI'!I48</f>
        <v>0</v>
      </c>
      <c r="L48" s="10">
        <f>+'A) Base RI'!J48</f>
        <v>198477.57</v>
      </c>
      <c r="M48" s="10">
        <f>+'A) Base RI'!K48</f>
        <v>13406.45</v>
      </c>
      <c r="N48" s="10">
        <f>+'A) Base RI'!Q48</f>
        <v>10978.08</v>
      </c>
      <c r="O48" s="10">
        <f t="shared" si="1"/>
        <v>624557.55000000005</v>
      </c>
      <c r="P48" s="10">
        <f>+'A) Base RI'!L48</f>
        <v>624557.55000000005</v>
      </c>
      <c r="Q48" s="35">
        <f>'A) Base RI'!AR48</f>
        <v>1</v>
      </c>
      <c r="R48" s="2">
        <f t="shared" si="2"/>
        <v>9476873.7599999998</v>
      </c>
      <c r="S48" s="34">
        <f>+'A) Base RI'!AM48</f>
        <v>71</v>
      </c>
      <c r="T48" s="2">
        <f t="shared" si="3"/>
        <v>8838909.7599999998</v>
      </c>
      <c r="U48" s="2">
        <f t="shared" si="4"/>
        <v>133477.09521126762</v>
      </c>
      <c r="V48" s="10">
        <f>+'A) Base RI'!O48</f>
        <v>70488.800000000003</v>
      </c>
      <c r="W48" s="10">
        <f>+'A) Base RI'!P48</f>
        <v>354112.25</v>
      </c>
      <c r="X48" s="10">
        <f>+'A) Base RI'!R48</f>
        <v>355594.6</v>
      </c>
      <c r="Y48" s="2">
        <f t="shared" si="5"/>
        <v>780195.64999999991</v>
      </c>
      <c r="Z48" s="10">
        <f>+'A) Base RI'!N48</f>
        <v>65546.75</v>
      </c>
      <c r="AA48" s="10">
        <f>+'A) Base RI'!S48+'A) Base RI'!T48</f>
        <v>0</v>
      </c>
      <c r="AB48" s="10">
        <f>+'A) Base RI'!U48</f>
        <v>18750</v>
      </c>
      <c r="AC48" s="10">
        <f>+'A) Base RI'!V48</f>
        <v>0</v>
      </c>
      <c r="AD48" s="10">
        <f>+'A) Base RI'!W48</f>
        <v>0</v>
      </c>
      <c r="AE48" s="10">
        <f>+'A) Base RI'!Y48</f>
        <v>565567.5</v>
      </c>
      <c r="AF48" s="10">
        <f>+'A) Base RI'!Z48</f>
        <v>483543</v>
      </c>
      <c r="AG48" s="10">
        <f>+'A) Base RI'!AA48</f>
        <v>369017.05</v>
      </c>
      <c r="AH48" s="10">
        <f>+'A) Base RI'!AB48</f>
        <v>523494.9</v>
      </c>
      <c r="AI48" s="10">
        <f>+'A) Base RI'!AC48</f>
        <v>365483.8</v>
      </c>
      <c r="AJ48" s="10">
        <f>+'A) Base RI'!AD48</f>
        <v>395043</v>
      </c>
      <c r="AK48" s="10">
        <f>+'A) Base RI'!AE48</f>
        <v>-130903.4</v>
      </c>
      <c r="AL48" s="10">
        <f>+'A) Base RI'!AF48</f>
        <v>0</v>
      </c>
      <c r="AM48" s="10">
        <f>+'A) Base RI'!AG48</f>
        <v>1139.2</v>
      </c>
      <c r="AN48" s="10">
        <f>+'A) Base RI'!AH48</f>
        <v>85854.05</v>
      </c>
      <c r="AO48" s="10">
        <f>+'A) Base RI'!AI48</f>
        <v>0</v>
      </c>
      <c r="AP48" s="10">
        <f>+'A) Base RI'!AJ48</f>
        <v>0</v>
      </c>
      <c r="AQ48" s="10">
        <f>+'A) Base RI'!AK48</f>
        <v>18383</v>
      </c>
      <c r="AR48" s="10">
        <f>'A) Base RI'!AN48</f>
        <v>3871</v>
      </c>
    </row>
    <row r="49" spans="1:44" x14ac:dyDescent="0.25">
      <c r="A49" s="8">
        <f>'A) Base RI'!A49</f>
        <v>5478</v>
      </c>
      <c r="B49" s="33" t="str">
        <f>'A) Base RI'!B49</f>
        <v>Cottens</v>
      </c>
      <c r="C49" s="10">
        <f>'A) Base RI'!C49+'A) Base RI'!D49</f>
        <v>996037.94000000006</v>
      </c>
      <c r="D49" s="10">
        <f>'A) Base RI'!AO49</f>
        <v>-49575.49</v>
      </c>
      <c r="E49" s="32">
        <f>'A) Base RI'!AP49</f>
        <v>0</v>
      </c>
      <c r="F49" s="32">
        <f>'A) Base RI'!AQ49</f>
        <v>0</v>
      </c>
      <c r="G49" s="2">
        <f t="shared" si="0"/>
        <v>946462.45000000007</v>
      </c>
      <c r="H49" s="10">
        <f>+'A) Base RI'!E49</f>
        <v>0</v>
      </c>
      <c r="I49" s="10">
        <f>+'A) Base RI'!F49</f>
        <v>0</v>
      </c>
      <c r="J49" s="10">
        <f>+'A) Base RI'!G49+'A) Base RI'!H49</f>
        <v>27102.799999999999</v>
      </c>
      <c r="K49" s="10">
        <f>+'A) Base RI'!I49</f>
        <v>0</v>
      </c>
      <c r="L49" s="10">
        <f>+'A) Base RI'!J49</f>
        <v>10959.46</v>
      </c>
      <c r="M49" s="10">
        <f>+'A) Base RI'!K49</f>
        <v>250</v>
      </c>
      <c r="N49" s="10">
        <f>+'A) Base RI'!Q49</f>
        <v>0</v>
      </c>
      <c r="O49" s="10">
        <f t="shared" si="1"/>
        <v>79154.25</v>
      </c>
      <c r="P49" s="10">
        <f>+'A) Base RI'!L49</f>
        <v>79154.25</v>
      </c>
      <c r="Q49" s="35">
        <f>'A) Base RI'!AR49</f>
        <v>1</v>
      </c>
      <c r="R49" s="2">
        <f t="shared" si="2"/>
        <v>1063928.96</v>
      </c>
      <c r="S49" s="34">
        <f>+'A) Base RI'!AM49</f>
        <v>74</v>
      </c>
      <c r="T49" s="2">
        <f t="shared" si="3"/>
        <v>984524.71000000008</v>
      </c>
      <c r="U49" s="2">
        <f t="shared" si="4"/>
        <v>14377.418378378377</v>
      </c>
      <c r="V49" s="10">
        <f>+'A) Base RI'!O49</f>
        <v>0</v>
      </c>
      <c r="W49" s="10">
        <f>+'A) Base RI'!P49</f>
        <v>27335</v>
      </c>
      <c r="X49" s="10">
        <f>+'A) Base RI'!R49</f>
        <v>19134.400000000001</v>
      </c>
      <c r="Y49" s="2">
        <f t="shared" si="5"/>
        <v>46469.4</v>
      </c>
      <c r="Z49" s="10">
        <f>+'A) Base RI'!N49</f>
        <v>0</v>
      </c>
      <c r="AA49" s="10">
        <f>+'A) Base RI'!S49+'A) Base RI'!T49</f>
        <v>0</v>
      </c>
      <c r="AB49" s="10">
        <f>+'A) Base RI'!U49</f>
        <v>1900</v>
      </c>
      <c r="AC49" s="10">
        <f>+'A) Base RI'!V49</f>
        <v>0</v>
      </c>
      <c r="AD49" s="10">
        <f>+'A) Base RI'!W49</f>
        <v>0</v>
      </c>
      <c r="AE49" s="10">
        <f>+'A) Base RI'!Y49</f>
        <v>2781.6</v>
      </c>
      <c r="AF49" s="10">
        <f>+'A) Base RI'!Z49</f>
        <v>0</v>
      </c>
      <c r="AG49" s="10">
        <f>+'A) Base RI'!AA49</f>
        <v>32224.5</v>
      </c>
      <c r="AH49" s="10">
        <f>+'A) Base RI'!AB49</f>
        <v>0</v>
      </c>
      <c r="AI49" s="10">
        <f>+'A) Base RI'!AC49</f>
        <v>28389.05</v>
      </c>
      <c r="AJ49" s="10">
        <f>+'A) Base RI'!AD49</f>
        <v>10821.6</v>
      </c>
      <c r="AK49" s="10">
        <f>+'A) Base RI'!AE49</f>
        <v>0</v>
      </c>
      <c r="AL49" s="10">
        <f>+'A) Base RI'!AF49</f>
        <v>0</v>
      </c>
      <c r="AM49" s="10">
        <f>+'A) Base RI'!AG49</f>
        <v>0</v>
      </c>
      <c r="AN49" s="10">
        <f>+'A) Base RI'!AH49</f>
        <v>0</v>
      </c>
      <c r="AO49" s="10">
        <f>+'A) Base RI'!AI49</f>
        <v>0</v>
      </c>
      <c r="AP49" s="10">
        <f>+'A) Base RI'!AJ49</f>
        <v>0</v>
      </c>
      <c r="AQ49" s="10">
        <f>+'A) Base RI'!AK49</f>
        <v>0</v>
      </c>
      <c r="AR49" s="10">
        <f>'A) Base RI'!AN49</f>
        <v>486</v>
      </c>
    </row>
    <row r="50" spans="1:44" x14ac:dyDescent="0.25">
      <c r="A50" s="8">
        <f>'A) Base RI'!A50</f>
        <v>5479</v>
      </c>
      <c r="B50" s="33" t="str">
        <f>'A) Base RI'!B50</f>
        <v>Cuarnens</v>
      </c>
      <c r="C50" s="10">
        <f>'A) Base RI'!C50+'A) Base RI'!D50</f>
        <v>910515.9</v>
      </c>
      <c r="D50" s="10">
        <f>'A) Base RI'!AO50</f>
        <v>-14806.32</v>
      </c>
      <c r="E50" s="32">
        <f>'A) Base RI'!AP50</f>
        <v>0</v>
      </c>
      <c r="F50" s="32">
        <f>'A) Base RI'!AQ50</f>
        <v>-0.06</v>
      </c>
      <c r="G50" s="2">
        <f t="shared" si="0"/>
        <v>895709.52</v>
      </c>
      <c r="H50" s="10">
        <f>+'A) Base RI'!E50</f>
        <v>0</v>
      </c>
      <c r="I50" s="10">
        <f>+'A) Base RI'!F50</f>
        <v>0</v>
      </c>
      <c r="J50" s="10">
        <f>+'A) Base RI'!G50+'A) Base RI'!H50</f>
        <v>7787.55</v>
      </c>
      <c r="K50" s="10">
        <f>+'A) Base RI'!I50</f>
        <v>283065</v>
      </c>
      <c r="L50" s="10">
        <f>+'A) Base RI'!J50</f>
        <v>1102.83</v>
      </c>
      <c r="M50" s="10">
        <f>+'A) Base RI'!K50</f>
        <v>-2375.5</v>
      </c>
      <c r="N50" s="10">
        <f>+'A) Base RI'!Q50</f>
        <v>0</v>
      </c>
      <c r="O50" s="10">
        <f t="shared" si="1"/>
        <v>81774.25</v>
      </c>
      <c r="P50" s="10">
        <f>+'A) Base RI'!L50</f>
        <v>81774.25</v>
      </c>
      <c r="Q50" s="35">
        <f>'A) Base RI'!AR50</f>
        <v>1</v>
      </c>
      <c r="R50" s="2">
        <f t="shared" si="2"/>
        <v>1267063.6500000001</v>
      </c>
      <c r="S50" s="34">
        <f>+'A) Base RI'!AM50</f>
        <v>77</v>
      </c>
      <c r="T50" s="2">
        <f t="shared" si="3"/>
        <v>1187664.9000000001</v>
      </c>
      <c r="U50" s="2">
        <f t="shared" si="4"/>
        <v>16455.372077922078</v>
      </c>
      <c r="V50" s="10">
        <f>+'A) Base RI'!O50</f>
        <v>7729.5</v>
      </c>
      <c r="W50" s="10">
        <f>+'A) Base RI'!P50</f>
        <v>46533.599999999999</v>
      </c>
      <c r="X50" s="10">
        <f>+'A) Base RI'!R50</f>
        <v>28585.5</v>
      </c>
      <c r="Y50" s="2">
        <f t="shared" si="5"/>
        <v>82848.600000000006</v>
      </c>
      <c r="Z50" s="10">
        <f>+'A) Base RI'!N50</f>
        <v>5626.3</v>
      </c>
      <c r="AA50" s="10">
        <f>+'A) Base RI'!S50+'A) Base RI'!T50</f>
        <v>972.05</v>
      </c>
      <c r="AB50" s="10">
        <f>+'A) Base RI'!U50</f>
        <v>1598</v>
      </c>
      <c r="AC50" s="10">
        <f>+'A) Base RI'!V50</f>
        <v>0</v>
      </c>
      <c r="AD50" s="10">
        <f>+'A) Base RI'!W50</f>
        <v>0</v>
      </c>
      <c r="AE50" s="10">
        <f>+'A) Base RI'!Y50</f>
        <v>9388.75</v>
      </c>
      <c r="AF50" s="10">
        <f>+'A) Base RI'!Z50</f>
        <v>0</v>
      </c>
      <c r="AG50" s="10">
        <f>+'A) Base RI'!AA50</f>
        <v>53132</v>
      </c>
      <c r="AH50" s="10">
        <f>+'A) Base RI'!AB50</f>
        <v>0</v>
      </c>
      <c r="AI50" s="10">
        <f>+'A) Base RI'!AC50</f>
        <v>68427.199999999997</v>
      </c>
      <c r="AJ50" s="10">
        <f>+'A) Base RI'!AD50</f>
        <v>0</v>
      </c>
      <c r="AK50" s="10">
        <f>+'A) Base RI'!AE50</f>
        <v>11650</v>
      </c>
      <c r="AL50" s="10">
        <f>+'A) Base RI'!AF50</f>
        <v>0</v>
      </c>
      <c r="AM50" s="10">
        <f>+'A) Base RI'!AG50</f>
        <v>0</v>
      </c>
      <c r="AN50" s="10">
        <f>+'A) Base RI'!AH50</f>
        <v>13198.7</v>
      </c>
      <c r="AO50" s="10">
        <f>+'A) Base RI'!AI50</f>
        <v>0</v>
      </c>
      <c r="AP50" s="10">
        <f>+'A) Base RI'!AJ50</f>
        <v>0</v>
      </c>
      <c r="AQ50" s="10">
        <f>+'A) Base RI'!AK50</f>
        <v>0</v>
      </c>
      <c r="AR50" s="10">
        <f>'A) Base RI'!AN50</f>
        <v>479</v>
      </c>
    </row>
    <row r="51" spans="1:44" x14ac:dyDescent="0.25">
      <c r="A51" s="8">
        <f>'A) Base RI'!A51</f>
        <v>5480</v>
      </c>
      <c r="B51" s="33" t="str">
        <f>'A) Base RI'!B51</f>
        <v>Daillens</v>
      </c>
      <c r="C51" s="10">
        <f>'A) Base RI'!C51+'A) Base RI'!D51</f>
        <v>2570022.7799999998</v>
      </c>
      <c r="D51" s="10">
        <f>'A) Base RI'!AO51</f>
        <v>-30702.32</v>
      </c>
      <c r="E51" s="32">
        <f>'A) Base RI'!AP51</f>
        <v>0</v>
      </c>
      <c r="F51" s="32">
        <f>'A) Base RI'!AQ51</f>
        <v>-181.59</v>
      </c>
      <c r="G51" s="2">
        <f t="shared" si="0"/>
        <v>2539138.87</v>
      </c>
      <c r="H51" s="10">
        <f>+'A) Base RI'!E51</f>
        <v>0</v>
      </c>
      <c r="I51" s="10">
        <f>+'A) Base RI'!F51</f>
        <v>0</v>
      </c>
      <c r="J51" s="10">
        <f>+'A) Base RI'!G51+'A) Base RI'!H51</f>
        <v>65275.350000000006</v>
      </c>
      <c r="K51" s="10">
        <f>+'A) Base RI'!I51</f>
        <v>0</v>
      </c>
      <c r="L51" s="10">
        <f>+'A) Base RI'!J51</f>
        <v>29320.560000000001</v>
      </c>
      <c r="M51" s="10">
        <f>+'A) Base RI'!K51</f>
        <v>13797.65</v>
      </c>
      <c r="N51" s="10">
        <f>+'A) Base RI'!Q51</f>
        <v>-1265.32</v>
      </c>
      <c r="O51" s="10">
        <f t="shared" si="1"/>
        <v>298301.3</v>
      </c>
      <c r="P51" s="10">
        <f>+'A) Base RI'!L51</f>
        <v>298301.3</v>
      </c>
      <c r="Q51" s="35">
        <f>'A) Base RI'!AR51</f>
        <v>1</v>
      </c>
      <c r="R51" s="2">
        <f t="shared" si="2"/>
        <v>2944568.41</v>
      </c>
      <c r="S51" s="34">
        <f>+'A) Base RI'!AM51</f>
        <v>71</v>
      </c>
      <c r="T51" s="2">
        <f t="shared" si="3"/>
        <v>2632469.4600000004</v>
      </c>
      <c r="U51" s="2">
        <f t="shared" si="4"/>
        <v>41472.794507042257</v>
      </c>
      <c r="V51" s="10">
        <f>+'A) Base RI'!O51</f>
        <v>0</v>
      </c>
      <c r="W51" s="10">
        <f>+'A) Base RI'!P51</f>
        <v>220790.5</v>
      </c>
      <c r="X51" s="10">
        <f>+'A) Base RI'!R51</f>
        <v>52275.25</v>
      </c>
      <c r="Y51" s="2">
        <f t="shared" si="5"/>
        <v>273065.75</v>
      </c>
      <c r="Z51" s="10">
        <f>+'A) Base RI'!N51</f>
        <v>135149.35</v>
      </c>
      <c r="AA51" s="10">
        <f>+'A) Base RI'!S51+'A) Base RI'!T51</f>
        <v>0</v>
      </c>
      <c r="AB51" s="10">
        <f>+'A) Base RI'!U51</f>
        <v>9800</v>
      </c>
      <c r="AC51" s="10">
        <f>+'A) Base RI'!V51</f>
        <v>412.5</v>
      </c>
      <c r="AD51" s="10">
        <f>+'A) Base RI'!W51</f>
        <v>1801.25</v>
      </c>
      <c r="AE51" s="10">
        <f>+'A) Base RI'!Y51</f>
        <v>16526.55</v>
      </c>
      <c r="AF51" s="10">
        <f>+'A) Base RI'!Z51</f>
        <v>0</v>
      </c>
      <c r="AG51" s="10">
        <f>+'A) Base RI'!AA51</f>
        <v>102452</v>
      </c>
      <c r="AH51" s="10">
        <f>+'A) Base RI'!AB51</f>
        <v>140958.15</v>
      </c>
      <c r="AI51" s="10">
        <f>+'A) Base RI'!AC51</f>
        <v>81270.649999999994</v>
      </c>
      <c r="AJ51" s="10">
        <f>+'A) Base RI'!AD51</f>
        <v>6115.65</v>
      </c>
      <c r="AK51" s="10">
        <f>+'A) Base RI'!AE51</f>
        <v>0</v>
      </c>
      <c r="AL51" s="10">
        <f>+'A) Base RI'!AF51</f>
        <v>0</v>
      </c>
      <c r="AM51" s="10">
        <f>+'A) Base RI'!AG51</f>
        <v>4407.2</v>
      </c>
      <c r="AN51" s="10">
        <f>+'A) Base RI'!AH51</f>
        <v>69611.7</v>
      </c>
      <c r="AO51" s="10">
        <f>+'A) Base RI'!AI51</f>
        <v>0</v>
      </c>
      <c r="AP51" s="10">
        <f>+'A) Base RI'!AJ51</f>
        <v>0</v>
      </c>
      <c r="AQ51" s="10">
        <f>+'A) Base RI'!AK51</f>
        <v>0</v>
      </c>
      <c r="AR51" s="10">
        <f>'A) Base RI'!AN51</f>
        <v>1027</v>
      </c>
    </row>
    <row r="52" spans="1:44" x14ac:dyDescent="0.25">
      <c r="A52" s="8">
        <f>'A) Base RI'!A52</f>
        <v>5481</v>
      </c>
      <c r="B52" s="33" t="str">
        <f>'A) Base RI'!B52</f>
        <v>Dizy</v>
      </c>
      <c r="C52" s="10">
        <f>'A) Base RI'!C52+'A) Base RI'!D52</f>
        <v>806211.25</v>
      </c>
      <c r="D52" s="10">
        <f>'A) Base RI'!AO52</f>
        <v>-5632.54</v>
      </c>
      <c r="E52" s="32">
        <f>'A) Base RI'!AP52</f>
        <v>0</v>
      </c>
      <c r="F52" s="32">
        <f>'A) Base RI'!AQ52</f>
        <v>-17.829999999999998</v>
      </c>
      <c r="G52" s="2">
        <f t="shared" si="0"/>
        <v>800560.88</v>
      </c>
      <c r="H52" s="10">
        <f>+'A) Base RI'!E52</f>
        <v>0</v>
      </c>
      <c r="I52" s="10">
        <f>+'A) Base RI'!F52</f>
        <v>0</v>
      </c>
      <c r="J52" s="10">
        <f>+'A) Base RI'!G52+'A) Base RI'!H52</f>
        <v>33116.1</v>
      </c>
      <c r="K52" s="10">
        <f>+'A) Base RI'!I52</f>
        <v>0</v>
      </c>
      <c r="L52" s="10">
        <f>+'A) Base RI'!J52</f>
        <v>4626.97</v>
      </c>
      <c r="M52" s="10">
        <f>+'A) Base RI'!K52</f>
        <v>0</v>
      </c>
      <c r="N52" s="10">
        <f>+'A) Base RI'!Q52</f>
        <v>0</v>
      </c>
      <c r="O52" s="10">
        <f t="shared" si="1"/>
        <v>37590.6</v>
      </c>
      <c r="P52" s="10">
        <f>+'A) Base RI'!L52</f>
        <v>37590.6</v>
      </c>
      <c r="Q52" s="35">
        <f>'A) Base RI'!AR52</f>
        <v>1</v>
      </c>
      <c r="R52" s="2">
        <f t="shared" si="2"/>
        <v>875894.54999999993</v>
      </c>
      <c r="S52" s="34">
        <f>+'A) Base RI'!AM52</f>
        <v>79</v>
      </c>
      <c r="T52" s="2">
        <f t="shared" si="3"/>
        <v>838303.95</v>
      </c>
      <c r="U52" s="2">
        <f t="shared" si="4"/>
        <v>11087.272784810126</v>
      </c>
      <c r="V52" s="10">
        <f>+'A) Base RI'!O52</f>
        <v>0</v>
      </c>
      <c r="W52" s="10">
        <f>+'A) Base RI'!P52</f>
        <v>16212.2</v>
      </c>
      <c r="X52" s="10">
        <f>+'A) Base RI'!R52</f>
        <v>17433.5</v>
      </c>
      <c r="Y52" s="2">
        <f t="shared" si="5"/>
        <v>33645.699999999997</v>
      </c>
      <c r="Z52" s="10">
        <f>+'A) Base RI'!N52</f>
        <v>0</v>
      </c>
      <c r="AA52" s="10">
        <f>+'A) Base RI'!S52+'A) Base RI'!T52</f>
        <v>0</v>
      </c>
      <c r="AB52" s="10">
        <f>+'A) Base RI'!U52</f>
        <v>850</v>
      </c>
      <c r="AC52" s="10">
        <f>+'A) Base RI'!V52</f>
        <v>0</v>
      </c>
      <c r="AD52" s="10">
        <f>+'A) Base RI'!W52</f>
        <v>0</v>
      </c>
      <c r="AE52" s="10">
        <f>+'A) Base RI'!Y52</f>
        <v>24300</v>
      </c>
      <c r="AF52" s="10">
        <f>+'A) Base RI'!Z52</f>
        <v>0</v>
      </c>
      <c r="AG52" s="10">
        <f>+'A) Base RI'!AA52</f>
        <v>59768.5</v>
      </c>
      <c r="AH52" s="10">
        <f>+'A) Base RI'!AB52</f>
        <v>0</v>
      </c>
      <c r="AI52" s="10">
        <f>+'A) Base RI'!AC52</f>
        <v>15928</v>
      </c>
      <c r="AJ52" s="10">
        <f>+'A) Base RI'!AD52</f>
        <v>16200</v>
      </c>
      <c r="AK52" s="10">
        <f>+'A) Base RI'!AE52</f>
        <v>0</v>
      </c>
      <c r="AL52" s="10">
        <f>+'A) Base RI'!AF52</f>
        <v>0</v>
      </c>
      <c r="AM52" s="10">
        <f>+'A) Base RI'!AG52</f>
        <v>0</v>
      </c>
      <c r="AN52" s="10">
        <f>+'A) Base RI'!AH52</f>
        <v>0</v>
      </c>
      <c r="AO52" s="10">
        <f>+'A) Base RI'!AI52</f>
        <v>0</v>
      </c>
      <c r="AP52" s="10">
        <f>+'A) Base RI'!AJ52</f>
        <v>0</v>
      </c>
      <c r="AQ52" s="10">
        <f>+'A) Base RI'!AK52</f>
        <v>0</v>
      </c>
      <c r="AR52" s="10">
        <f>'A) Base RI'!AN52</f>
        <v>223</v>
      </c>
    </row>
    <row r="53" spans="1:44" x14ac:dyDescent="0.25">
      <c r="A53" s="8">
        <f>'A) Base RI'!A53</f>
        <v>5482</v>
      </c>
      <c r="B53" s="33" t="str">
        <f>'A) Base RI'!B53</f>
        <v>Eclépens</v>
      </c>
      <c r="C53" s="10">
        <f>'A) Base RI'!C53+'A) Base RI'!D53</f>
        <v>1534622.31</v>
      </c>
      <c r="D53" s="10">
        <f>'A) Base RI'!AO53</f>
        <v>-25897.72</v>
      </c>
      <c r="E53" s="32">
        <f>'A) Base RI'!AP53</f>
        <v>0</v>
      </c>
      <c r="F53" s="32">
        <f>'A) Base RI'!AQ53</f>
        <v>-110.81</v>
      </c>
      <c r="G53" s="2">
        <f t="shared" si="0"/>
        <v>1508613.78</v>
      </c>
      <c r="H53" s="10">
        <f>+'A) Base RI'!E53</f>
        <v>0</v>
      </c>
      <c r="I53" s="10">
        <f>+'A) Base RI'!F53</f>
        <v>0</v>
      </c>
      <c r="J53" s="10">
        <f>+'A) Base RI'!G53+'A) Base RI'!H53</f>
        <v>246382.85</v>
      </c>
      <c r="K53" s="10">
        <f>+'A) Base RI'!I53</f>
        <v>0</v>
      </c>
      <c r="L53" s="10">
        <f>+'A) Base RI'!J53</f>
        <v>68551.86</v>
      </c>
      <c r="M53" s="10">
        <f>+'A) Base RI'!K53</f>
        <v>39174.5</v>
      </c>
      <c r="N53" s="10">
        <f>+'A) Base RI'!Q53</f>
        <v>95.01</v>
      </c>
      <c r="O53" s="10">
        <f t="shared" si="1"/>
        <v>391720.3</v>
      </c>
      <c r="P53" s="10">
        <f>+'A) Base RI'!L53</f>
        <v>391720.3</v>
      </c>
      <c r="Q53" s="35">
        <f>'A) Base RI'!AR53</f>
        <v>1</v>
      </c>
      <c r="R53" s="2">
        <f t="shared" si="2"/>
        <v>2254538.3000000003</v>
      </c>
      <c r="S53" s="34">
        <f>+'A) Base RI'!AM53</f>
        <v>46</v>
      </c>
      <c r="T53" s="2">
        <f t="shared" si="3"/>
        <v>1823643.5000000002</v>
      </c>
      <c r="U53" s="2">
        <f t="shared" si="4"/>
        <v>49011.702173913051</v>
      </c>
      <c r="V53" s="10">
        <f>+'A) Base RI'!O53</f>
        <v>50743.9</v>
      </c>
      <c r="W53" s="10">
        <f>+'A) Base RI'!P53</f>
        <v>30799.05</v>
      </c>
      <c r="X53" s="10">
        <f>+'A) Base RI'!R53</f>
        <v>3500</v>
      </c>
      <c r="Y53" s="2">
        <f t="shared" si="5"/>
        <v>85042.95</v>
      </c>
      <c r="Z53" s="10">
        <f>+'A) Base RI'!N53</f>
        <v>301337.95</v>
      </c>
      <c r="AA53" s="10">
        <f>+'A) Base RI'!S53+'A) Base RI'!T53</f>
        <v>0</v>
      </c>
      <c r="AB53" s="10">
        <f>+'A) Base RI'!U53</f>
        <v>10425</v>
      </c>
      <c r="AC53" s="10">
        <f>+'A) Base RI'!V53</f>
        <v>0</v>
      </c>
      <c r="AD53" s="10">
        <f>+'A) Base RI'!W53</f>
        <v>0</v>
      </c>
      <c r="AE53" s="10">
        <f>+'A) Base RI'!Y53</f>
        <v>74289.850000000006</v>
      </c>
      <c r="AF53" s="10">
        <f>+'A) Base RI'!Z53</f>
        <v>0</v>
      </c>
      <c r="AG53" s="10">
        <f>+'A) Base RI'!AA53</f>
        <v>273512.75</v>
      </c>
      <c r="AH53" s="10">
        <f>+'A) Base RI'!AB53</f>
        <v>0</v>
      </c>
      <c r="AI53" s="10">
        <f>+'A) Base RI'!AC53</f>
        <v>115089</v>
      </c>
      <c r="AJ53" s="10">
        <f>+'A) Base RI'!AD53</f>
        <v>0</v>
      </c>
      <c r="AK53" s="10">
        <f>+'A) Base RI'!AE53</f>
        <v>0</v>
      </c>
      <c r="AL53" s="10">
        <f>+'A) Base RI'!AF53</f>
        <v>0</v>
      </c>
      <c r="AM53" s="10">
        <f>+'A) Base RI'!AG53</f>
        <v>0</v>
      </c>
      <c r="AN53" s="10">
        <f>+'A) Base RI'!AH53</f>
        <v>0</v>
      </c>
      <c r="AO53" s="10">
        <f>+'A) Base RI'!AI53</f>
        <v>0</v>
      </c>
      <c r="AP53" s="10">
        <f>+'A) Base RI'!AJ53</f>
        <v>0</v>
      </c>
      <c r="AQ53" s="10">
        <f>+'A) Base RI'!AK53</f>
        <v>0</v>
      </c>
      <c r="AR53" s="10">
        <f>'A) Base RI'!AN53</f>
        <v>1211</v>
      </c>
    </row>
    <row r="54" spans="1:44" x14ac:dyDescent="0.25">
      <c r="A54" s="8">
        <f>'A) Base RI'!A54</f>
        <v>5483</v>
      </c>
      <c r="B54" s="33" t="str">
        <f>'A) Base RI'!B54</f>
        <v>Ferreyres</v>
      </c>
      <c r="C54" s="10">
        <f>'A) Base RI'!C54+'A) Base RI'!D54</f>
        <v>618257.68000000005</v>
      </c>
      <c r="D54" s="10">
        <f>'A) Base RI'!AO54</f>
        <v>-3208.2</v>
      </c>
      <c r="E54" s="32">
        <f>'A) Base RI'!AP54</f>
        <v>0</v>
      </c>
      <c r="F54" s="32">
        <f>'A) Base RI'!AQ54</f>
        <v>-214.65</v>
      </c>
      <c r="G54" s="2">
        <f t="shared" si="0"/>
        <v>614834.83000000007</v>
      </c>
      <c r="H54" s="10">
        <f>+'A) Base RI'!E54</f>
        <v>0</v>
      </c>
      <c r="I54" s="10">
        <f>+'A) Base RI'!F54</f>
        <v>0</v>
      </c>
      <c r="J54" s="10">
        <f>+'A) Base RI'!G54+'A) Base RI'!H54</f>
        <v>-2712</v>
      </c>
      <c r="K54" s="10">
        <f>+'A) Base RI'!I54</f>
        <v>0</v>
      </c>
      <c r="L54" s="10">
        <f>+'A) Base RI'!J54</f>
        <v>9050.8700000000008</v>
      </c>
      <c r="M54" s="10">
        <f>+'A) Base RI'!K54</f>
        <v>0</v>
      </c>
      <c r="N54" s="10">
        <f>+'A) Base RI'!Q54</f>
        <v>0</v>
      </c>
      <c r="O54" s="10">
        <f t="shared" si="1"/>
        <v>52049.65</v>
      </c>
      <c r="P54" s="10">
        <f>+'A) Base RI'!L54</f>
        <v>52049.65</v>
      </c>
      <c r="Q54" s="35">
        <f>'A) Base RI'!AR54</f>
        <v>1</v>
      </c>
      <c r="R54" s="2">
        <f t="shared" si="2"/>
        <v>673223.35000000009</v>
      </c>
      <c r="S54" s="34">
        <f>+'A) Base RI'!AM54</f>
        <v>76</v>
      </c>
      <c r="T54" s="2">
        <f t="shared" si="3"/>
        <v>621173.70000000007</v>
      </c>
      <c r="U54" s="2">
        <f t="shared" si="4"/>
        <v>8858.2019736842121</v>
      </c>
      <c r="V54" s="10">
        <f>+'A) Base RI'!O54</f>
        <v>0</v>
      </c>
      <c r="W54" s="10">
        <f>+'A) Base RI'!P54</f>
        <v>39116</v>
      </c>
      <c r="X54" s="10">
        <f>+'A) Base RI'!R54</f>
        <v>6115.25</v>
      </c>
      <c r="Y54" s="2">
        <f t="shared" si="5"/>
        <v>45231.25</v>
      </c>
      <c r="Z54" s="10">
        <f>+'A) Base RI'!N54</f>
        <v>0</v>
      </c>
      <c r="AA54" s="10">
        <f>+'A) Base RI'!S54+'A) Base RI'!T54</f>
        <v>0</v>
      </c>
      <c r="AB54" s="10">
        <f>+'A) Base RI'!U54</f>
        <v>1560</v>
      </c>
      <c r="AC54" s="10">
        <f>+'A) Base RI'!V54</f>
        <v>0</v>
      </c>
      <c r="AD54" s="10">
        <f>+'A) Base RI'!W54</f>
        <v>0</v>
      </c>
      <c r="AE54" s="10">
        <f>+'A) Base RI'!Y54</f>
        <v>9100</v>
      </c>
      <c r="AF54" s="10">
        <f>+'A) Base RI'!Z54</f>
        <v>0</v>
      </c>
      <c r="AG54" s="10">
        <f>+'A) Base RI'!AA54</f>
        <v>52547.7</v>
      </c>
      <c r="AH54" s="10">
        <f>+'A) Base RI'!AB54</f>
        <v>0</v>
      </c>
      <c r="AI54" s="10">
        <f>+'A) Base RI'!AC54</f>
        <v>28137</v>
      </c>
      <c r="AJ54" s="10">
        <f>+'A) Base RI'!AD54</f>
        <v>0</v>
      </c>
      <c r="AK54" s="10">
        <f>+'A) Base RI'!AE54</f>
        <v>0</v>
      </c>
      <c r="AL54" s="10">
        <f>+'A) Base RI'!AF54</f>
        <v>0</v>
      </c>
      <c r="AM54" s="10">
        <f>+'A) Base RI'!AG54</f>
        <v>0</v>
      </c>
      <c r="AN54" s="10">
        <f>+'A) Base RI'!AH54</f>
        <v>0</v>
      </c>
      <c r="AO54" s="10">
        <f>+'A) Base RI'!AI54</f>
        <v>0</v>
      </c>
      <c r="AP54" s="10">
        <f>+'A) Base RI'!AJ54</f>
        <v>0</v>
      </c>
      <c r="AQ54" s="10">
        <f>+'A) Base RI'!AK54</f>
        <v>0</v>
      </c>
      <c r="AR54" s="10">
        <f>'A) Base RI'!AN54</f>
        <v>310</v>
      </c>
    </row>
    <row r="55" spans="1:44" x14ac:dyDescent="0.25">
      <c r="A55" s="8">
        <f>'A) Base RI'!A55</f>
        <v>5484</v>
      </c>
      <c r="B55" s="33" t="str">
        <f>'A) Base RI'!B55</f>
        <v>Gollion</v>
      </c>
      <c r="C55" s="10">
        <f>'A) Base RI'!C55+'A) Base RI'!D55</f>
        <v>2200685.35</v>
      </c>
      <c r="D55" s="10">
        <f>'A) Base RI'!AO55</f>
        <v>-70320.44</v>
      </c>
      <c r="E55" s="32">
        <f>'A) Base RI'!AP55</f>
        <v>0</v>
      </c>
      <c r="F55" s="32">
        <f>'A) Base RI'!AQ55</f>
        <v>-0.2</v>
      </c>
      <c r="G55" s="2">
        <f t="shared" si="0"/>
        <v>2130364.71</v>
      </c>
      <c r="H55" s="10">
        <f>+'A) Base RI'!E55</f>
        <v>0</v>
      </c>
      <c r="I55" s="10">
        <f>+'A) Base RI'!F55</f>
        <v>0</v>
      </c>
      <c r="J55" s="10">
        <f>+'A) Base RI'!G55+'A) Base RI'!H55</f>
        <v>67072.5</v>
      </c>
      <c r="K55" s="10">
        <f>+'A) Base RI'!I55</f>
        <v>0</v>
      </c>
      <c r="L55" s="10">
        <f>+'A) Base RI'!J55</f>
        <v>6633.45</v>
      </c>
      <c r="M55" s="10">
        <f>+'A) Base RI'!K55</f>
        <v>6925.65</v>
      </c>
      <c r="N55" s="10">
        <f>+'A) Base RI'!Q55</f>
        <v>1776.89</v>
      </c>
      <c r="O55" s="10">
        <f t="shared" si="1"/>
        <v>169611</v>
      </c>
      <c r="P55" s="10">
        <f>+'A) Base RI'!L55</f>
        <v>169611</v>
      </c>
      <c r="Q55" s="35">
        <f>'A) Base RI'!AR55</f>
        <v>1</v>
      </c>
      <c r="R55" s="2">
        <f t="shared" si="2"/>
        <v>2382384.2000000002</v>
      </c>
      <c r="S55" s="34">
        <f>+'A) Base RI'!AM55</f>
        <v>74</v>
      </c>
      <c r="T55" s="2">
        <f t="shared" si="3"/>
        <v>2205847.5500000003</v>
      </c>
      <c r="U55" s="2">
        <f t="shared" si="4"/>
        <v>32194.381081081083</v>
      </c>
      <c r="V55" s="10">
        <f>+'A) Base RI'!O55</f>
        <v>11025.8</v>
      </c>
      <c r="W55" s="10">
        <f>+'A) Base RI'!P55</f>
        <v>200538.45</v>
      </c>
      <c r="X55" s="10">
        <f>+'A) Base RI'!R55</f>
        <v>61962.7</v>
      </c>
      <c r="Y55" s="2">
        <f t="shared" si="5"/>
        <v>273526.95</v>
      </c>
      <c r="Z55" s="10">
        <f>+'A) Base RI'!N55</f>
        <v>24458.2</v>
      </c>
      <c r="AA55" s="10">
        <f>+'A) Base RI'!S55+'A) Base RI'!T55</f>
        <v>0</v>
      </c>
      <c r="AB55" s="10">
        <f>+'A) Base RI'!U55</f>
        <v>7750</v>
      </c>
      <c r="AC55" s="10">
        <f>+'A) Base RI'!V55</f>
        <v>0</v>
      </c>
      <c r="AD55" s="10">
        <f>+'A) Base RI'!W55</f>
        <v>0</v>
      </c>
      <c r="AE55" s="10">
        <f>+'A) Base RI'!Y55</f>
        <v>15342.6</v>
      </c>
      <c r="AF55" s="10" t="str">
        <f>+'A) Base RI'!Z55</f>
        <v/>
      </c>
      <c r="AG55" s="10">
        <f>+'A) Base RI'!AA55</f>
        <v>126934.65</v>
      </c>
      <c r="AH55" s="10" t="str">
        <f>+'A) Base RI'!AB55</f>
        <v/>
      </c>
      <c r="AI55" s="10">
        <f>+'A) Base RI'!AC55</f>
        <v>69481.25</v>
      </c>
      <c r="AJ55" s="10">
        <f>+'A) Base RI'!AD55</f>
        <v>10710</v>
      </c>
      <c r="AK55" s="10">
        <f>+'A) Base RI'!AE55</f>
        <v>0</v>
      </c>
      <c r="AL55" s="10" t="str">
        <f>+'A) Base RI'!AF55</f>
        <v/>
      </c>
      <c r="AM55" s="10" t="str">
        <f>+'A) Base RI'!AG55</f>
        <v/>
      </c>
      <c r="AN55" s="10">
        <f>+'A) Base RI'!AH55</f>
        <v>0</v>
      </c>
      <c r="AO55" s="10">
        <f>+'A) Base RI'!AI55</f>
        <v>0</v>
      </c>
      <c r="AP55" s="10">
        <f>+'A) Base RI'!AJ55</f>
        <v>0</v>
      </c>
      <c r="AQ55" s="10">
        <f>+'A) Base RI'!AK55</f>
        <v>0</v>
      </c>
      <c r="AR55" s="10">
        <f>'A) Base RI'!AN55</f>
        <v>939</v>
      </c>
    </row>
    <row r="56" spans="1:44" x14ac:dyDescent="0.25">
      <c r="A56" s="8">
        <f>'A) Base RI'!A56</f>
        <v>5485</v>
      </c>
      <c r="B56" s="33" t="str">
        <f>'A) Base RI'!B56</f>
        <v>Grancy</v>
      </c>
      <c r="C56" s="10">
        <f>'A) Base RI'!C56+'A) Base RI'!D56</f>
        <v>1202931.0599999998</v>
      </c>
      <c r="D56" s="10">
        <f>'A) Base RI'!AO56</f>
        <v>-9380.48</v>
      </c>
      <c r="E56" s="32">
        <f>'A) Base RI'!AP56</f>
        <v>0</v>
      </c>
      <c r="F56" s="32">
        <f>'A) Base RI'!AQ56</f>
        <v>-35.04</v>
      </c>
      <c r="G56" s="2">
        <f t="shared" si="0"/>
        <v>1193515.5399999998</v>
      </c>
      <c r="H56" s="10">
        <f>+'A) Base RI'!E56</f>
        <v>0</v>
      </c>
      <c r="I56" s="10">
        <f>+'A) Base RI'!F56</f>
        <v>0</v>
      </c>
      <c r="J56" s="10">
        <f>+'A) Base RI'!G56+'A) Base RI'!H56</f>
        <v>21859.8</v>
      </c>
      <c r="K56" s="10">
        <f>+'A) Base RI'!I56</f>
        <v>0</v>
      </c>
      <c r="L56" s="10">
        <f>+'A) Base RI'!J56</f>
        <v>19619.8</v>
      </c>
      <c r="M56" s="10">
        <f>+'A) Base RI'!K56</f>
        <v>0</v>
      </c>
      <c r="N56" s="10">
        <f>+'A) Base RI'!Q56</f>
        <v>0</v>
      </c>
      <c r="O56" s="10">
        <f t="shared" si="1"/>
        <v>73812.55</v>
      </c>
      <c r="P56" s="10">
        <f>+'A) Base RI'!L56</f>
        <v>73812.55</v>
      </c>
      <c r="Q56" s="35">
        <f>'A) Base RI'!AR56</f>
        <v>1</v>
      </c>
      <c r="R56" s="2">
        <f t="shared" si="2"/>
        <v>1308807.69</v>
      </c>
      <c r="S56" s="34">
        <f>+'A) Base RI'!AM56</f>
        <v>70</v>
      </c>
      <c r="T56" s="2">
        <f t="shared" si="3"/>
        <v>1234995.1399999999</v>
      </c>
      <c r="U56" s="2">
        <f t="shared" si="4"/>
        <v>18697.252714285714</v>
      </c>
      <c r="V56" s="10">
        <f>+'A) Base RI'!O56</f>
        <v>0</v>
      </c>
      <c r="W56" s="10">
        <f>+'A) Base RI'!P56</f>
        <v>19250</v>
      </c>
      <c r="X56" s="10">
        <f>+'A) Base RI'!R56</f>
        <v>6984.2</v>
      </c>
      <c r="Y56" s="2">
        <f t="shared" si="5"/>
        <v>26234.2</v>
      </c>
      <c r="Z56" s="10">
        <f>+'A) Base RI'!N56</f>
        <v>10325.549999999999</v>
      </c>
      <c r="AA56" s="10">
        <f>+'A) Base RI'!S56+'A) Base RI'!T56</f>
        <v>0</v>
      </c>
      <c r="AB56" s="10">
        <f>+'A) Base RI'!U56</f>
        <v>1320</v>
      </c>
      <c r="AC56" s="10">
        <f>+'A) Base RI'!V56</f>
        <v>0</v>
      </c>
      <c r="AD56" s="10">
        <f>+'A) Base RI'!W56</f>
        <v>0</v>
      </c>
      <c r="AE56" s="10">
        <f>+'A) Base RI'!Y56</f>
        <v>3350</v>
      </c>
      <c r="AF56" s="10" t="str">
        <f>+'A) Base RI'!Z56</f>
        <v/>
      </c>
      <c r="AG56" s="10">
        <f>+'A) Base RI'!AA56</f>
        <v>78970.7</v>
      </c>
      <c r="AH56" s="10" t="str">
        <f>+'A) Base RI'!AB56</f>
        <v/>
      </c>
      <c r="AI56" s="10">
        <f>+'A) Base RI'!AC56</f>
        <v>27755.9</v>
      </c>
      <c r="AJ56" s="10">
        <f>+'A) Base RI'!AD56</f>
        <v>2010</v>
      </c>
      <c r="AK56" s="10">
        <f>+'A) Base RI'!AE56</f>
        <v>0</v>
      </c>
      <c r="AL56" s="10" t="str">
        <f>+'A) Base RI'!AF56</f>
        <v/>
      </c>
      <c r="AM56" s="10" t="str">
        <f>+'A) Base RI'!AG56</f>
        <v/>
      </c>
      <c r="AN56" s="10">
        <f>+'A) Base RI'!AH56</f>
        <v>0</v>
      </c>
      <c r="AO56" s="10">
        <f>+'A) Base RI'!AI56</f>
        <v>0</v>
      </c>
      <c r="AP56" s="10">
        <f>+'A) Base RI'!AJ56</f>
        <v>0</v>
      </c>
      <c r="AQ56" s="10">
        <f>+'A) Base RI'!AK56</f>
        <v>0</v>
      </c>
      <c r="AR56" s="10">
        <f>'A) Base RI'!AN56</f>
        <v>398</v>
      </c>
    </row>
    <row r="57" spans="1:44" x14ac:dyDescent="0.25">
      <c r="A57" s="8">
        <f>'A) Base RI'!A57</f>
        <v>5486</v>
      </c>
      <c r="B57" s="33" t="str">
        <f>'A) Base RI'!B57</f>
        <v>L'Isle</v>
      </c>
      <c r="C57" s="10">
        <f>'A) Base RI'!C57+'A) Base RI'!D57</f>
        <v>2024125.9500000002</v>
      </c>
      <c r="D57" s="10">
        <f>'A) Base RI'!AO57</f>
        <v>-13954.85</v>
      </c>
      <c r="E57" s="32">
        <f>'A) Base RI'!AP57</f>
        <v>0</v>
      </c>
      <c r="F57" s="32">
        <f>'A) Base RI'!AQ57</f>
        <v>0</v>
      </c>
      <c r="G57" s="2">
        <f t="shared" si="0"/>
        <v>2010171.1</v>
      </c>
      <c r="H57" s="10">
        <f>+'A) Base RI'!E57</f>
        <v>0</v>
      </c>
      <c r="I57" s="10">
        <f>+'A) Base RI'!F57</f>
        <v>0</v>
      </c>
      <c r="J57" s="10">
        <f>+'A) Base RI'!G57+'A) Base RI'!H57</f>
        <v>119245.15</v>
      </c>
      <c r="K57" s="10">
        <f>+'A) Base RI'!I57</f>
        <v>34494.85</v>
      </c>
      <c r="L57" s="10">
        <f>+'A) Base RI'!J57</f>
        <v>19875</v>
      </c>
      <c r="M57" s="10">
        <f>+'A) Base RI'!K57</f>
        <v>7200.3</v>
      </c>
      <c r="N57" s="10">
        <f>+'A) Base RI'!Q57</f>
        <v>392.51</v>
      </c>
      <c r="O57" s="10">
        <f t="shared" si="1"/>
        <v>183957.05</v>
      </c>
      <c r="P57" s="10">
        <f>+'A) Base RI'!L57</f>
        <v>183957.05</v>
      </c>
      <c r="Q57" s="35">
        <f>'A) Base RI'!AR57</f>
        <v>1</v>
      </c>
      <c r="R57" s="2">
        <f t="shared" si="2"/>
        <v>2375335.9599999995</v>
      </c>
      <c r="S57" s="34">
        <f>+'A) Base RI'!AM57</f>
        <v>76</v>
      </c>
      <c r="T57" s="2">
        <f t="shared" si="3"/>
        <v>2184178.61</v>
      </c>
      <c r="U57" s="2">
        <f t="shared" si="4"/>
        <v>31254.420526315782</v>
      </c>
      <c r="V57" s="10">
        <f>+'A) Base RI'!O57</f>
        <v>9054.4</v>
      </c>
      <c r="W57" s="10">
        <f>+'A) Base RI'!P57</f>
        <v>83916.5</v>
      </c>
      <c r="X57" s="10">
        <f>+'A) Base RI'!R57</f>
        <v>41166.800000000003</v>
      </c>
      <c r="Y57" s="2">
        <f t="shared" si="5"/>
        <v>134137.70000000001</v>
      </c>
      <c r="Z57" s="10">
        <f>+'A) Base RI'!N57</f>
        <v>81096.3</v>
      </c>
      <c r="AA57" s="10">
        <f>+'A) Base RI'!S57+'A) Base RI'!T57</f>
        <v>0</v>
      </c>
      <c r="AB57" s="10">
        <f>+'A) Base RI'!U57</f>
        <v>10200</v>
      </c>
      <c r="AC57" s="10">
        <f>+'A) Base RI'!V57</f>
        <v>0</v>
      </c>
      <c r="AD57" s="10">
        <f>+'A) Base RI'!W57</f>
        <v>0</v>
      </c>
      <c r="AE57" s="10">
        <f>+'A) Base RI'!Y57</f>
        <v>60251.4</v>
      </c>
      <c r="AF57" s="10" t="str">
        <f>+'A) Base RI'!Z57</f>
        <v/>
      </c>
      <c r="AG57" s="10">
        <f>+'A) Base RI'!AA57</f>
        <v>242647</v>
      </c>
      <c r="AH57" s="10" t="str">
        <f>+'A) Base RI'!AB57</f>
        <v/>
      </c>
      <c r="AI57" s="10">
        <f>+'A) Base RI'!AC57</f>
        <v>89004.25</v>
      </c>
      <c r="AJ57" s="10">
        <f>+'A) Base RI'!AD57</f>
        <v>55661.4</v>
      </c>
      <c r="AK57" s="10" t="str">
        <f>+'A) Base RI'!AE57</f>
        <v/>
      </c>
      <c r="AL57" s="10" t="str">
        <f>+'A) Base RI'!AF57</f>
        <v/>
      </c>
      <c r="AM57" s="10" t="str">
        <f>+'A) Base RI'!AG57</f>
        <v/>
      </c>
      <c r="AN57" s="10">
        <f>+'A) Base RI'!AH57</f>
        <v>37236.199999999997</v>
      </c>
      <c r="AO57" s="10">
        <f>+'A) Base RI'!AI57</f>
        <v>0</v>
      </c>
      <c r="AP57" s="10">
        <f>+'A) Base RI'!AJ57</f>
        <v>0</v>
      </c>
      <c r="AQ57" s="10">
        <f>+'A) Base RI'!AK57</f>
        <v>0</v>
      </c>
      <c r="AR57" s="10">
        <f>'A) Base RI'!AN57</f>
        <v>1005</v>
      </c>
    </row>
    <row r="58" spans="1:44" x14ac:dyDescent="0.25">
      <c r="A58" s="8">
        <f>'A) Base RI'!A58</f>
        <v>5487</v>
      </c>
      <c r="B58" s="33" t="str">
        <f>'A) Base RI'!B58</f>
        <v>Lussery-Villars</v>
      </c>
      <c r="C58" s="10">
        <f>'A) Base RI'!C58+'A) Base RI'!D58</f>
        <v>1046159.28</v>
      </c>
      <c r="D58" s="10">
        <f>'A) Base RI'!AO58</f>
        <v>-34918.93</v>
      </c>
      <c r="E58" s="32">
        <f>'A) Base RI'!AP58</f>
        <v>0</v>
      </c>
      <c r="F58" s="32">
        <f>'A) Base RI'!AQ58</f>
        <v>-8.48</v>
      </c>
      <c r="G58" s="2">
        <f t="shared" si="0"/>
        <v>1011231.87</v>
      </c>
      <c r="H58" s="10">
        <f>+'A) Base RI'!E58</f>
        <v>0</v>
      </c>
      <c r="I58" s="10">
        <f>+'A) Base RI'!F58</f>
        <v>0</v>
      </c>
      <c r="J58" s="10">
        <f>+'A) Base RI'!G58+'A) Base RI'!H58</f>
        <v>28411.65</v>
      </c>
      <c r="K58" s="10">
        <f>+'A) Base RI'!I58</f>
        <v>0</v>
      </c>
      <c r="L58" s="10">
        <f>+'A) Base RI'!J58</f>
        <v>-2561.21</v>
      </c>
      <c r="M58" s="10">
        <f>+'A) Base RI'!K58</f>
        <v>-677.75</v>
      </c>
      <c r="N58" s="10">
        <f>+'A) Base RI'!Q58</f>
        <v>0</v>
      </c>
      <c r="O58" s="10">
        <f t="shared" si="1"/>
        <v>72940.3</v>
      </c>
      <c r="P58" s="10">
        <f>+'A) Base RI'!L58</f>
        <v>72940.3</v>
      </c>
      <c r="Q58" s="35">
        <f>'A) Base RI'!AR58</f>
        <v>1</v>
      </c>
      <c r="R58" s="2">
        <f t="shared" si="2"/>
        <v>1109344.8600000001</v>
      </c>
      <c r="S58" s="34">
        <f>+'A) Base RI'!AM58</f>
        <v>75</v>
      </c>
      <c r="T58" s="2">
        <f t="shared" si="3"/>
        <v>1037082.31</v>
      </c>
      <c r="U58" s="2">
        <f t="shared" si="4"/>
        <v>14791.264800000001</v>
      </c>
      <c r="V58" s="10">
        <f>+'A) Base RI'!O58</f>
        <v>0</v>
      </c>
      <c r="W58" s="10">
        <f>+'A) Base RI'!P58</f>
        <v>19862.400000000001</v>
      </c>
      <c r="X58" s="10">
        <f>+'A) Base RI'!R58</f>
        <v>0</v>
      </c>
      <c r="Y58" s="2">
        <f t="shared" si="5"/>
        <v>19862.400000000001</v>
      </c>
      <c r="Z58" s="10">
        <f>+'A) Base RI'!N58</f>
        <v>0</v>
      </c>
      <c r="AA58" s="10">
        <f>+'A) Base RI'!S58+'A) Base RI'!T58</f>
        <v>0</v>
      </c>
      <c r="AB58" s="10">
        <f>+'A) Base RI'!U58</f>
        <v>3180</v>
      </c>
      <c r="AC58" s="10">
        <f>+'A) Base RI'!V58</f>
        <v>0</v>
      </c>
      <c r="AD58" s="10">
        <f>+'A) Base RI'!W58</f>
        <v>0</v>
      </c>
      <c r="AE58" s="10">
        <f>+'A) Base RI'!Y58</f>
        <v>9000</v>
      </c>
      <c r="AF58" s="10" t="str">
        <f>+'A) Base RI'!Z58</f>
        <v/>
      </c>
      <c r="AG58" s="10">
        <f>+'A) Base RI'!AA58</f>
        <v>40751.550000000003</v>
      </c>
      <c r="AH58" s="10" t="str">
        <f>+'A) Base RI'!AB58</f>
        <v/>
      </c>
      <c r="AI58" s="10">
        <f>+'A) Base RI'!AC58</f>
        <v>39614.6</v>
      </c>
      <c r="AJ58" s="10">
        <f>+'A) Base RI'!AD58</f>
        <v>12618</v>
      </c>
      <c r="AK58" s="10" t="str">
        <f>+'A) Base RI'!AE58</f>
        <v/>
      </c>
      <c r="AL58" s="10" t="str">
        <f>+'A) Base RI'!AF58</f>
        <v/>
      </c>
      <c r="AM58" s="10">
        <f>+'A) Base RI'!AG58</f>
        <v>511</v>
      </c>
      <c r="AN58" s="10">
        <f>+'A) Base RI'!AH58</f>
        <v>8331.9</v>
      </c>
      <c r="AO58" s="10">
        <f>+'A) Base RI'!AI58</f>
        <v>0</v>
      </c>
      <c r="AP58" s="10">
        <f>+'A) Base RI'!AJ58</f>
        <v>0</v>
      </c>
      <c r="AQ58" s="10">
        <f>+'A) Base RI'!AK58</f>
        <v>0</v>
      </c>
      <c r="AR58" s="10">
        <f>'A) Base RI'!AN58</f>
        <v>462</v>
      </c>
    </row>
    <row r="59" spans="1:44" x14ac:dyDescent="0.25">
      <c r="A59" s="8">
        <f>'A) Base RI'!A59</f>
        <v>5488</v>
      </c>
      <c r="B59" s="33" t="str">
        <f>'A) Base RI'!B59</f>
        <v>Mauraz</v>
      </c>
      <c r="C59" s="10">
        <f>'A) Base RI'!C59+'A) Base RI'!D59</f>
        <v>143639.81999999998</v>
      </c>
      <c r="D59" s="10">
        <f>'A) Base RI'!AO59</f>
        <v>-3887.44</v>
      </c>
      <c r="E59" s="32">
        <f>'A) Base RI'!AP59</f>
        <v>0</v>
      </c>
      <c r="F59" s="32">
        <f>'A) Base RI'!AQ59</f>
        <v>0</v>
      </c>
      <c r="G59" s="2">
        <f t="shared" si="0"/>
        <v>139752.37999999998</v>
      </c>
      <c r="H59" s="10">
        <f>+'A) Base RI'!E59</f>
        <v>0</v>
      </c>
      <c r="I59" s="10">
        <f>+'A) Base RI'!F59</f>
        <v>0</v>
      </c>
      <c r="J59" s="10">
        <f>+'A) Base RI'!G59+'A) Base RI'!H59</f>
        <v>670.55000000000007</v>
      </c>
      <c r="K59" s="10">
        <f>+'A) Base RI'!I59</f>
        <v>0</v>
      </c>
      <c r="L59" s="10">
        <f>+'A) Base RI'!J59</f>
        <v>0</v>
      </c>
      <c r="M59" s="10">
        <f>+'A) Base RI'!K59</f>
        <v>0</v>
      </c>
      <c r="N59" s="10">
        <f>+'A) Base RI'!Q59</f>
        <v>0</v>
      </c>
      <c r="O59" s="10">
        <f t="shared" si="1"/>
        <v>8474</v>
      </c>
      <c r="P59" s="10">
        <f>+'A) Base RI'!L59</f>
        <v>8474</v>
      </c>
      <c r="Q59" s="35">
        <f>'A) Base RI'!AR59</f>
        <v>1</v>
      </c>
      <c r="R59" s="2">
        <f t="shared" si="2"/>
        <v>148896.92999999996</v>
      </c>
      <c r="S59" s="34">
        <f>+'A) Base RI'!AM59</f>
        <v>78</v>
      </c>
      <c r="T59" s="2">
        <f t="shared" si="3"/>
        <v>140422.92999999996</v>
      </c>
      <c r="U59" s="2">
        <f t="shared" si="4"/>
        <v>1908.9349999999995</v>
      </c>
      <c r="V59" s="10">
        <f>+'A) Base RI'!O59</f>
        <v>12610.7</v>
      </c>
      <c r="W59" s="10">
        <f>+'A) Base RI'!P59</f>
        <v>0</v>
      </c>
      <c r="X59" s="10">
        <f>+'A) Base RI'!R59</f>
        <v>0</v>
      </c>
      <c r="Y59" s="2">
        <f t="shared" si="5"/>
        <v>12610.7</v>
      </c>
      <c r="Z59" s="10">
        <f>+'A) Base RI'!N59</f>
        <v>0</v>
      </c>
      <c r="AA59" s="10">
        <f>+'A) Base RI'!S59+'A) Base RI'!T59</f>
        <v>0</v>
      </c>
      <c r="AB59" s="10">
        <f>+'A) Base RI'!U59</f>
        <v>130</v>
      </c>
      <c r="AC59" s="10">
        <f>+'A) Base RI'!V59</f>
        <v>0</v>
      </c>
      <c r="AD59" s="10">
        <f>+'A) Base RI'!W59</f>
        <v>0</v>
      </c>
      <c r="AE59" s="10">
        <f>+'A) Base RI'!Y59</f>
        <v>0</v>
      </c>
      <c r="AF59" s="10">
        <f>+'A) Base RI'!Z59</f>
        <v>0</v>
      </c>
      <c r="AG59" s="10">
        <f>+'A) Base RI'!AA59</f>
        <v>6591.65</v>
      </c>
      <c r="AH59" s="10">
        <f>+'A) Base RI'!AB59</f>
        <v>0</v>
      </c>
      <c r="AI59" s="10">
        <f>+'A) Base RI'!AC59</f>
        <v>5641.65</v>
      </c>
      <c r="AJ59" s="10">
        <f>+'A) Base RI'!AD59</f>
        <v>0</v>
      </c>
      <c r="AK59" s="10">
        <f>+'A) Base RI'!AE59</f>
        <v>0</v>
      </c>
      <c r="AL59" s="10">
        <f>+'A) Base RI'!AF59</f>
        <v>0</v>
      </c>
      <c r="AM59" s="10">
        <f>+'A) Base RI'!AG59</f>
        <v>0</v>
      </c>
      <c r="AN59" s="10">
        <f>+'A) Base RI'!AH59</f>
        <v>1134.8</v>
      </c>
      <c r="AO59" s="10">
        <f>+'A) Base RI'!AI59</f>
        <v>0</v>
      </c>
      <c r="AP59" s="10">
        <f>+'A) Base RI'!AJ59</f>
        <v>0</v>
      </c>
      <c r="AQ59" s="10">
        <f>+'A) Base RI'!AK59</f>
        <v>0</v>
      </c>
      <c r="AR59" s="10">
        <f>'A) Base RI'!AN59</f>
        <v>59</v>
      </c>
    </row>
    <row r="60" spans="1:44" x14ac:dyDescent="0.25">
      <c r="A60" s="8">
        <f>'A) Base RI'!A60</f>
        <v>5489</v>
      </c>
      <c r="B60" s="33" t="str">
        <f>'A) Base RI'!B60</f>
        <v>Mex</v>
      </c>
      <c r="C60" s="10">
        <f>'A) Base RI'!C60+'A) Base RI'!D60</f>
        <v>2629378.13</v>
      </c>
      <c r="D60" s="10">
        <f>'A) Base RI'!AO60</f>
        <v>-13355.03</v>
      </c>
      <c r="E60" s="32">
        <f>'A) Base RI'!AP60</f>
        <v>0</v>
      </c>
      <c r="F60" s="32">
        <f>'A) Base RI'!AQ60</f>
        <v>-51898.65</v>
      </c>
      <c r="G60" s="2">
        <f t="shared" si="0"/>
        <v>2564124.4500000002</v>
      </c>
      <c r="H60" s="10">
        <f>+'A) Base RI'!E60</f>
        <v>0</v>
      </c>
      <c r="I60" s="10">
        <f>+'A) Base RI'!F60</f>
        <v>0</v>
      </c>
      <c r="J60" s="10">
        <f>+'A) Base RI'!G60+'A) Base RI'!H60</f>
        <v>1432297.11</v>
      </c>
      <c r="K60" s="10">
        <f>+'A) Base RI'!I60</f>
        <v>0</v>
      </c>
      <c r="L60" s="10">
        <f>+'A) Base RI'!J60</f>
        <v>11636.77</v>
      </c>
      <c r="M60" s="10">
        <f>+'A) Base RI'!K60</f>
        <v>7126.5</v>
      </c>
      <c r="N60" s="10">
        <f>+'A) Base RI'!Q60</f>
        <v>0</v>
      </c>
      <c r="O60" s="10">
        <f t="shared" si="1"/>
        <v>289877.84999999998</v>
      </c>
      <c r="P60" s="10">
        <f>+'A) Base RI'!L60</f>
        <v>289877.84999999998</v>
      </c>
      <c r="Q60" s="35">
        <f>'A) Base RI'!AR60</f>
        <v>1</v>
      </c>
      <c r="R60" s="2">
        <f t="shared" si="2"/>
        <v>4305062.6800000006</v>
      </c>
      <c r="S60" s="34">
        <f>+'A) Base RI'!AM60</f>
        <v>61</v>
      </c>
      <c r="T60" s="2">
        <f t="shared" si="3"/>
        <v>4008058.3300000005</v>
      </c>
      <c r="U60" s="2">
        <f t="shared" si="4"/>
        <v>70574.798032786901</v>
      </c>
      <c r="V60" s="10">
        <f>+'A) Base RI'!O60</f>
        <v>0</v>
      </c>
      <c r="W60" s="10">
        <f>+'A) Base RI'!P60</f>
        <v>54458.15</v>
      </c>
      <c r="X60" s="10">
        <f>+'A) Base RI'!R60</f>
        <v>30454.1</v>
      </c>
      <c r="Y60" s="2">
        <f t="shared" si="5"/>
        <v>84912.25</v>
      </c>
      <c r="Z60" s="10">
        <f>+'A) Base RI'!N60</f>
        <v>156536.9</v>
      </c>
      <c r="AA60" s="10">
        <f>+'A) Base RI'!S60+'A) Base RI'!T60</f>
        <v>0</v>
      </c>
      <c r="AB60" s="10">
        <f>+'A) Base RI'!U60</f>
        <v>3540</v>
      </c>
      <c r="AC60" s="10">
        <f>+'A) Base RI'!V60</f>
        <v>0</v>
      </c>
      <c r="AD60" s="10">
        <f>+'A) Base RI'!W60</f>
        <v>0</v>
      </c>
      <c r="AE60" s="10">
        <f>+'A) Base RI'!Y60</f>
        <v>68154.75</v>
      </c>
      <c r="AF60" s="10">
        <f>+'A) Base RI'!Z60</f>
        <v>0</v>
      </c>
      <c r="AG60" s="10">
        <f>+'A) Base RI'!AA60</f>
        <v>113932.4</v>
      </c>
      <c r="AH60" s="10">
        <f>+'A) Base RI'!AB60</f>
        <v>0</v>
      </c>
      <c r="AI60" s="10">
        <f>+'A) Base RI'!AC60</f>
        <v>43819.05</v>
      </c>
      <c r="AJ60" s="10">
        <f>+'A) Base RI'!AD60</f>
        <v>40728</v>
      </c>
      <c r="AK60" s="10">
        <f>+'A) Base RI'!AE60</f>
        <v>129122.8</v>
      </c>
      <c r="AL60" s="10">
        <f>+'A) Base RI'!AF60</f>
        <v>0</v>
      </c>
      <c r="AM60" s="10">
        <f>+'A) Base RI'!AG60</f>
        <v>0</v>
      </c>
      <c r="AN60" s="10">
        <f>+'A) Base RI'!AH60</f>
        <v>0</v>
      </c>
      <c r="AO60" s="10">
        <f>+'A) Base RI'!AI60</f>
        <v>0</v>
      </c>
      <c r="AP60" s="10">
        <f>+'A) Base RI'!AJ60</f>
        <v>0</v>
      </c>
      <c r="AQ60" s="10">
        <f>+'A) Base RI'!AK60</f>
        <v>0</v>
      </c>
      <c r="AR60" s="10">
        <f>'A) Base RI'!AN60</f>
        <v>725</v>
      </c>
    </row>
    <row r="61" spans="1:44" x14ac:dyDescent="0.25">
      <c r="A61" s="8">
        <f>'A) Base RI'!A61</f>
        <v>5490</v>
      </c>
      <c r="B61" s="33" t="str">
        <f>'A) Base RI'!B61</f>
        <v>Moiry</v>
      </c>
      <c r="C61" s="10">
        <f>'A) Base RI'!C61+'A) Base RI'!D61</f>
        <v>704038.95</v>
      </c>
      <c r="D61" s="10">
        <f>'A) Base RI'!AO61</f>
        <v>-8039.76</v>
      </c>
      <c r="E61" s="32">
        <f>'A) Base RI'!AP61</f>
        <v>0</v>
      </c>
      <c r="F61" s="32">
        <f>'A) Base RI'!AQ61</f>
        <v>-19.43</v>
      </c>
      <c r="G61" s="2">
        <f t="shared" si="0"/>
        <v>695979.75999999989</v>
      </c>
      <c r="H61" s="10">
        <f>+'A) Base RI'!E61</f>
        <v>0</v>
      </c>
      <c r="I61" s="10">
        <f>+'A) Base RI'!F61</f>
        <v>0</v>
      </c>
      <c r="J61" s="10">
        <f>+'A) Base RI'!G61+'A) Base RI'!H61</f>
        <v>-5519.35</v>
      </c>
      <c r="K61" s="10">
        <f>+'A) Base RI'!I61</f>
        <v>0</v>
      </c>
      <c r="L61" s="10">
        <f>+'A) Base RI'!J61</f>
        <v>4328.7299999999996</v>
      </c>
      <c r="M61" s="10">
        <f>+'A) Base RI'!K61</f>
        <v>0</v>
      </c>
      <c r="N61" s="10">
        <f>+'A) Base RI'!Q61</f>
        <v>4055.75</v>
      </c>
      <c r="O61" s="10">
        <f t="shared" si="1"/>
        <v>44867.75</v>
      </c>
      <c r="P61" s="10">
        <f>+'A) Base RI'!L61</f>
        <v>44867.75</v>
      </c>
      <c r="Q61" s="35">
        <f>'A) Base RI'!AR61</f>
        <v>1</v>
      </c>
      <c r="R61" s="2">
        <f t="shared" si="2"/>
        <v>743712.6399999999</v>
      </c>
      <c r="S61" s="34">
        <f>+'A) Base RI'!AM61</f>
        <v>80</v>
      </c>
      <c r="T61" s="2">
        <f t="shared" si="3"/>
        <v>698844.8899999999</v>
      </c>
      <c r="U61" s="2">
        <f t="shared" si="4"/>
        <v>9296.4079999999994</v>
      </c>
      <c r="V61" s="10">
        <f>+'A) Base RI'!O61</f>
        <v>17805.5</v>
      </c>
      <c r="W61" s="10">
        <f>+'A) Base RI'!P61</f>
        <v>4202</v>
      </c>
      <c r="X61" s="10">
        <f>+'A) Base RI'!R61</f>
        <v>10133</v>
      </c>
      <c r="Y61" s="2">
        <f t="shared" si="5"/>
        <v>32140.5</v>
      </c>
      <c r="Z61" s="10">
        <f>+'A) Base RI'!N61</f>
        <v>0</v>
      </c>
      <c r="AA61" s="10">
        <f>+'A) Base RI'!S61+'A) Base RI'!T61</f>
        <v>0</v>
      </c>
      <c r="AB61" s="10">
        <f>+'A) Base RI'!U61</f>
        <v>1280</v>
      </c>
      <c r="AC61" s="10">
        <f>+'A) Base RI'!V61</f>
        <v>0</v>
      </c>
      <c r="AD61" s="10">
        <f>+'A) Base RI'!W61</f>
        <v>0</v>
      </c>
      <c r="AE61" s="10">
        <f>+'A) Base RI'!Y61</f>
        <v>0</v>
      </c>
      <c r="AF61" s="10">
        <f>+'A) Base RI'!Z61</f>
        <v>0</v>
      </c>
      <c r="AG61" s="10">
        <f>+'A) Base RI'!AA61</f>
        <v>11080</v>
      </c>
      <c r="AH61" s="10">
        <f>+'A) Base RI'!AB61</f>
        <v>0</v>
      </c>
      <c r="AI61" s="10">
        <f>+'A) Base RI'!AC61</f>
        <v>29351.7</v>
      </c>
      <c r="AJ61" s="10">
        <f>+'A) Base RI'!AD61</f>
        <v>0</v>
      </c>
      <c r="AK61" s="10">
        <f>+'A) Base RI'!AE61</f>
        <v>0</v>
      </c>
      <c r="AL61" s="10">
        <f>+'A) Base RI'!AF61</f>
        <v>0</v>
      </c>
      <c r="AM61" s="10">
        <f>+'A) Base RI'!AG61</f>
        <v>0</v>
      </c>
      <c r="AN61" s="10">
        <f>+'A) Base RI'!AH61</f>
        <v>6968.35</v>
      </c>
      <c r="AO61" s="10">
        <f>+'A) Base RI'!AI61</f>
        <v>0</v>
      </c>
      <c r="AP61" s="10">
        <f>+'A) Base RI'!AJ61</f>
        <v>0</v>
      </c>
      <c r="AQ61" s="10">
        <f>+'A) Base RI'!AK61</f>
        <v>0</v>
      </c>
      <c r="AR61" s="10">
        <f>'A) Base RI'!AN61</f>
        <v>310</v>
      </c>
    </row>
    <row r="62" spans="1:44" x14ac:dyDescent="0.25">
      <c r="A62" s="8">
        <f>'A) Base RI'!A62</f>
        <v>5491</v>
      </c>
      <c r="B62" s="33" t="str">
        <f>'A) Base RI'!B62</f>
        <v>Mont-la-Ville</v>
      </c>
      <c r="C62" s="10">
        <f>'A) Base RI'!C62+'A) Base RI'!D62</f>
        <v>840439.99</v>
      </c>
      <c r="D62" s="10">
        <f>'A) Base RI'!AO62</f>
        <v>-663.64</v>
      </c>
      <c r="E62" s="32">
        <f>'A) Base RI'!AP62</f>
        <v>0</v>
      </c>
      <c r="F62" s="32">
        <f>'A) Base RI'!AQ62</f>
        <v>0</v>
      </c>
      <c r="G62" s="2">
        <f t="shared" si="0"/>
        <v>839776.35</v>
      </c>
      <c r="H62" s="10">
        <f>+'A) Base RI'!E62</f>
        <v>0</v>
      </c>
      <c r="I62" s="10">
        <f>+'A) Base RI'!F62</f>
        <v>0</v>
      </c>
      <c r="J62" s="10">
        <f>+'A) Base RI'!G62+'A) Base RI'!H62</f>
        <v>1931.5500000000002</v>
      </c>
      <c r="K62" s="10">
        <f>+'A) Base RI'!I62</f>
        <v>0</v>
      </c>
      <c r="L62" s="10">
        <f>+'A) Base RI'!J62</f>
        <v>14190.31</v>
      </c>
      <c r="M62" s="10">
        <f>+'A) Base RI'!K62</f>
        <v>477.75</v>
      </c>
      <c r="N62" s="10">
        <f>+'A) Base RI'!Q62</f>
        <v>5071.63</v>
      </c>
      <c r="O62" s="10">
        <f t="shared" si="1"/>
        <v>75218.100000000006</v>
      </c>
      <c r="P62" s="10">
        <f>+'A) Base RI'!L62</f>
        <v>75218.100000000006</v>
      </c>
      <c r="Q62" s="35">
        <f>'A) Base RI'!AR62</f>
        <v>1</v>
      </c>
      <c r="R62" s="2">
        <f t="shared" si="2"/>
        <v>936665.69000000006</v>
      </c>
      <c r="S62" s="34">
        <f>+'A) Base RI'!AM62</f>
        <v>76</v>
      </c>
      <c r="T62" s="2">
        <f t="shared" si="3"/>
        <v>860969.84000000008</v>
      </c>
      <c r="U62" s="2">
        <f t="shared" si="4"/>
        <v>12324.548552631581</v>
      </c>
      <c r="V62" s="10">
        <f>+'A) Base RI'!O62</f>
        <v>0</v>
      </c>
      <c r="W62" s="10">
        <f>+'A) Base RI'!P62</f>
        <v>70049.5</v>
      </c>
      <c r="X62" s="10">
        <f>+'A) Base RI'!R62</f>
        <v>20485.25</v>
      </c>
      <c r="Y62" s="2">
        <f t="shared" si="5"/>
        <v>90534.75</v>
      </c>
      <c r="Z62" s="10">
        <f>+'A) Base RI'!N62</f>
        <v>2093</v>
      </c>
      <c r="AA62" s="10">
        <f>+'A) Base RI'!S62+'A) Base RI'!T62</f>
        <v>0</v>
      </c>
      <c r="AB62" s="10">
        <f>+'A) Base RI'!U62</f>
        <v>3550</v>
      </c>
      <c r="AC62" s="10">
        <f>+'A) Base RI'!V62</f>
        <v>0</v>
      </c>
      <c r="AD62" s="10">
        <f>+'A) Base RI'!W62</f>
        <v>0</v>
      </c>
      <c r="AE62" s="10">
        <f>+'A) Base RI'!Y62</f>
        <v>0</v>
      </c>
      <c r="AF62" s="10">
        <f>+'A) Base RI'!Z62</f>
        <v>0</v>
      </c>
      <c r="AG62" s="10">
        <f>+'A) Base RI'!AA62</f>
        <v>72996</v>
      </c>
      <c r="AH62" s="10">
        <f>+'A) Base RI'!AB62</f>
        <v>0</v>
      </c>
      <c r="AI62" s="10">
        <f>+'A) Base RI'!AC62</f>
        <v>36506</v>
      </c>
      <c r="AJ62" s="10">
        <f>+'A) Base RI'!AD62</f>
        <v>71635</v>
      </c>
      <c r="AK62" s="10">
        <f>+'A) Base RI'!AE62</f>
        <v>0</v>
      </c>
      <c r="AL62" s="10">
        <f>+'A) Base RI'!AF62</f>
        <v>0</v>
      </c>
      <c r="AM62" s="10">
        <f>+'A) Base RI'!AG62</f>
        <v>0</v>
      </c>
      <c r="AN62" s="10">
        <f>+'A) Base RI'!AH62</f>
        <v>11913.15</v>
      </c>
      <c r="AO62" s="10">
        <f>+'A) Base RI'!AI62</f>
        <v>0</v>
      </c>
      <c r="AP62" s="10">
        <f>+'A) Base RI'!AJ62</f>
        <v>0</v>
      </c>
      <c r="AQ62" s="10">
        <f>+'A) Base RI'!AK62</f>
        <v>0</v>
      </c>
      <c r="AR62" s="10">
        <f>'A) Base RI'!AN62</f>
        <v>466</v>
      </c>
    </row>
    <row r="63" spans="1:44" x14ac:dyDescent="0.25">
      <c r="A63" s="8">
        <f>'A) Base RI'!A63</f>
        <v>5492</v>
      </c>
      <c r="B63" s="33" t="str">
        <f>'A) Base RI'!B63</f>
        <v>Montricher</v>
      </c>
      <c r="C63" s="10">
        <f>'A) Base RI'!C63+'A) Base RI'!D63</f>
        <v>14725784.77</v>
      </c>
      <c r="D63" s="10">
        <f>'A) Base RI'!AO63</f>
        <v>-24714.86</v>
      </c>
      <c r="E63" s="32">
        <f>'A) Base RI'!AP63</f>
        <v>0</v>
      </c>
      <c r="F63" s="32">
        <f>'A) Base RI'!AQ63</f>
        <v>-4065.12</v>
      </c>
      <c r="G63" s="2">
        <f t="shared" si="0"/>
        <v>14697004.790000001</v>
      </c>
      <c r="H63" s="10">
        <f>+'A) Base RI'!E63</f>
        <v>0</v>
      </c>
      <c r="I63" s="10">
        <f>+'A) Base RI'!F63</f>
        <v>0</v>
      </c>
      <c r="J63" s="10">
        <f>+'A) Base RI'!G63+'A) Base RI'!H63</f>
        <v>148311.95000000001</v>
      </c>
      <c r="K63" s="10">
        <f>+'A) Base RI'!I63</f>
        <v>0</v>
      </c>
      <c r="L63" s="10">
        <f>+'A) Base RI'!J63</f>
        <v>41983.06</v>
      </c>
      <c r="M63" s="10">
        <f>+'A) Base RI'!K63</f>
        <v>3058.95</v>
      </c>
      <c r="N63" s="10">
        <f>+'A) Base RI'!Q63</f>
        <v>2484.86</v>
      </c>
      <c r="O63" s="10">
        <f t="shared" si="1"/>
        <v>237373</v>
      </c>
      <c r="P63" s="10">
        <f>+'A) Base RI'!L63</f>
        <v>71211.899999999994</v>
      </c>
      <c r="Q63" s="35">
        <f>'A) Base RI'!AR63</f>
        <v>0.3</v>
      </c>
      <c r="R63" s="2">
        <f t="shared" si="2"/>
        <v>15130216.609999999</v>
      </c>
      <c r="S63" s="34">
        <f>+'A) Base RI'!AM63</f>
        <v>64</v>
      </c>
      <c r="T63" s="2">
        <f t="shared" si="3"/>
        <v>14889784.66</v>
      </c>
      <c r="U63" s="2">
        <f t="shared" si="4"/>
        <v>236409.63453124999</v>
      </c>
      <c r="V63" s="10">
        <f>+'A) Base RI'!O63</f>
        <v>542124.1</v>
      </c>
      <c r="W63" s="10">
        <f>+'A) Base RI'!P63</f>
        <v>82548.5</v>
      </c>
      <c r="X63" s="10">
        <f>+'A) Base RI'!R63</f>
        <v>6164.65</v>
      </c>
      <c r="Y63" s="2">
        <f t="shared" si="5"/>
        <v>630837.25</v>
      </c>
      <c r="Z63" s="10">
        <f>+'A) Base RI'!N63</f>
        <v>3572.45</v>
      </c>
      <c r="AA63" s="10">
        <f>+'A) Base RI'!S63+'A) Base RI'!T63</f>
        <v>0</v>
      </c>
      <c r="AB63" s="10">
        <f>+'A) Base RI'!U63</f>
        <v>7050</v>
      </c>
      <c r="AC63" s="10">
        <f>+'A) Base RI'!V63</f>
        <v>0</v>
      </c>
      <c r="AD63" s="10">
        <f>+'A) Base RI'!W63</f>
        <v>0</v>
      </c>
      <c r="AE63" s="10">
        <f>+'A) Base RI'!Y63</f>
        <v>4252</v>
      </c>
      <c r="AF63" s="10">
        <f>+'A) Base RI'!Z63</f>
        <v>0</v>
      </c>
      <c r="AG63" s="10">
        <f>+'A) Base RI'!AA63</f>
        <v>18390</v>
      </c>
      <c r="AH63" s="10">
        <f>+'A) Base RI'!AB63</f>
        <v>0</v>
      </c>
      <c r="AI63" s="10">
        <f>+'A) Base RI'!AC63</f>
        <v>32444</v>
      </c>
      <c r="AJ63" s="10">
        <f>+'A) Base RI'!AD63</f>
        <v>3372</v>
      </c>
      <c r="AK63" s="10">
        <f>+'A) Base RI'!AE63</f>
        <v>0</v>
      </c>
      <c r="AL63" s="10">
        <f>+'A) Base RI'!AF63</f>
        <v>0</v>
      </c>
      <c r="AM63" s="10">
        <f>+'A) Base RI'!AG63</f>
        <v>0</v>
      </c>
      <c r="AN63" s="10">
        <f>+'A) Base RI'!AH63</f>
        <v>29951</v>
      </c>
      <c r="AO63" s="10">
        <f>+'A) Base RI'!AI63</f>
        <v>0</v>
      </c>
      <c r="AP63" s="10">
        <f>+'A) Base RI'!AJ63</f>
        <v>0</v>
      </c>
      <c r="AQ63" s="10">
        <f>+'A) Base RI'!AK63</f>
        <v>0</v>
      </c>
      <c r="AR63" s="10">
        <f>'A) Base RI'!AN63</f>
        <v>940</v>
      </c>
    </row>
    <row r="64" spans="1:44" x14ac:dyDescent="0.25">
      <c r="A64" s="8">
        <f>'A) Base RI'!A64</f>
        <v>5493</v>
      </c>
      <c r="B64" s="33" t="str">
        <f>'A) Base RI'!B64</f>
        <v>Orny</v>
      </c>
      <c r="C64" s="10">
        <f>'A) Base RI'!C64+'A) Base RI'!D64</f>
        <v>710444.48</v>
      </c>
      <c r="D64" s="10">
        <f>'A) Base RI'!AO64</f>
        <v>-16612.169999999998</v>
      </c>
      <c r="E64" s="32">
        <f>'A) Base RI'!AP64</f>
        <v>0</v>
      </c>
      <c r="F64" s="32">
        <f>'A) Base RI'!AQ64</f>
        <v>0</v>
      </c>
      <c r="G64" s="2">
        <f t="shared" si="0"/>
        <v>693832.30999999994</v>
      </c>
      <c r="H64" s="10">
        <f>+'A) Base RI'!E64</f>
        <v>0</v>
      </c>
      <c r="I64" s="10">
        <f>+'A) Base RI'!F64</f>
        <v>0</v>
      </c>
      <c r="J64" s="10">
        <f>+'A) Base RI'!G64+'A) Base RI'!H64</f>
        <v>-1367.55</v>
      </c>
      <c r="K64" s="10">
        <f>+'A) Base RI'!I64</f>
        <v>0</v>
      </c>
      <c r="L64" s="10">
        <f>+'A) Base RI'!J64</f>
        <v>34295.050000000003</v>
      </c>
      <c r="M64" s="10">
        <f>+'A) Base RI'!K64</f>
        <v>696.75</v>
      </c>
      <c r="N64" s="10">
        <f>+'A) Base RI'!Q64</f>
        <v>1214.99</v>
      </c>
      <c r="O64" s="10">
        <f t="shared" si="1"/>
        <v>53724.076923076922</v>
      </c>
      <c r="P64" s="10">
        <f>+'A) Base RI'!L64</f>
        <v>34920.65</v>
      </c>
      <c r="Q64" s="35">
        <f>'A) Base RI'!AR64</f>
        <v>0.65</v>
      </c>
      <c r="R64" s="2">
        <f t="shared" si="2"/>
        <v>782395.62692307681</v>
      </c>
      <c r="S64" s="34">
        <f>+'A) Base RI'!AM64</f>
        <v>73</v>
      </c>
      <c r="T64" s="2">
        <f t="shared" si="3"/>
        <v>727974.79999999993</v>
      </c>
      <c r="U64" s="2">
        <f t="shared" si="4"/>
        <v>10717.748314014751</v>
      </c>
      <c r="V64" s="10">
        <f>+'A) Base RI'!O64</f>
        <v>0</v>
      </c>
      <c r="W64" s="10">
        <f>+'A) Base RI'!P64</f>
        <v>68406.899999999994</v>
      </c>
      <c r="X64" s="10">
        <f>+'A) Base RI'!R64</f>
        <v>2076.65</v>
      </c>
      <c r="Y64" s="2">
        <f t="shared" si="5"/>
        <v>70483.549999999988</v>
      </c>
      <c r="Z64" s="10">
        <f>+'A) Base RI'!N64</f>
        <v>62873.3</v>
      </c>
      <c r="AA64" s="10">
        <f>+'A) Base RI'!S64+'A) Base RI'!T64</f>
        <v>0</v>
      </c>
      <c r="AB64" s="10">
        <f>+'A) Base RI'!U64</f>
        <v>1625</v>
      </c>
      <c r="AC64" s="10">
        <f>+'A) Base RI'!V64</f>
        <v>0</v>
      </c>
      <c r="AD64" s="10">
        <f>+'A) Base RI'!W64</f>
        <v>0</v>
      </c>
      <c r="AE64" s="10">
        <f>+'A) Base RI'!Y64</f>
        <v>0</v>
      </c>
      <c r="AF64" s="10">
        <f>+'A) Base RI'!Z64</f>
        <v>0</v>
      </c>
      <c r="AG64" s="10">
        <f>+'A) Base RI'!AA64</f>
        <v>50866.400000000001</v>
      </c>
      <c r="AH64" s="10">
        <f>+'A) Base RI'!AB64</f>
        <v>0</v>
      </c>
      <c r="AI64" s="10">
        <f>+'A) Base RI'!AC64</f>
        <v>20840.75</v>
      </c>
      <c r="AJ64" s="10">
        <f>+'A) Base RI'!AD64</f>
        <v>0</v>
      </c>
      <c r="AK64" s="10">
        <f>+'A) Base RI'!AE64</f>
        <v>0</v>
      </c>
      <c r="AL64" s="10">
        <f>+'A) Base RI'!AF64</f>
        <v>0</v>
      </c>
      <c r="AM64" s="10">
        <f>+'A) Base RI'!AG64</f>
        <v>0</v>
      </c>
      <c r="AN64" s="10">
        <f>+'A) Base RI'!AH64</f>
        <v>0</v>
      </c>
      <c r="AO64" s="10">
        <f>+'A) Base RI'!AI64</f>
        <v>0</v>
      </c>
      <c r="AP64" s="10">
        <f>+'A) Base RI'!AJ64</f>
        <v>0</v>
      </c>
      <c r="AQ64" s="10">
        <f>+'A) Base RI'!AK64</f>
        <v>0</v>
      </c>
      <c r="AR64" s="10">
        <f>'A) Base RI'!AN64</f>
        <v>368</v>
      </c>
    </row>
    <row r="65" spans="1:44" x14ac:dyDescent="0.25">
      <c r="A65" s="8">
        <f>'A) Base RI'!A65</f>
        <v>5494</v>
      </c>
      <c r="B65" s="33" t="str">
        <f>'A) Base RI'!B65</f>
        <v>Pampigny</v>
      </c>
      <c r="C65" s="10">
        <f>'A) Base RI'!C65+'A) Base RI'!D65</f>
        <v>2615672.2199999997</v>
      </c>
      <c r="D65" s="10">
        <f>'A) Base RI'!AO65</f>
        <v>-141295.32999999999</v>
      </c>
      <c r="E65" s="32">
        <f>'A) Base RI'!AP65</f>
        <v>0</v>
      </c>
      <c r="F65" s="32">
        <f>'A) Base RI'!AQ65</f>
        <v>-241.55</v>
      </c>
      <c r="G65" s="2">
        <f t="shared" si="0"/>
        <v>2474135.34</v>
      </c>
      <c r="H65" s="10">
        <f>+'A) Base RI'!E65</f>
        <v>0</v>
      </c>
      <c r="I65" s="10">
        <f>+'A) Base RI'!F65</f>
        <v>0</v>
      </c>
      <c r="J65" s="10">
        <f>+'A) Base RI'!G65+'A) Base RI'!H65</f>
        <v>61971</v>
      </c>
      <c r="K65" s="10">
        <f>+'A) Base RI'!I65</f>
        <v>0</v>
      </c>
      <c r="L65" s="10">
        <f>+'A) Base RI'!J65</f>
        <v>75730.929999999993</v>
      </c>
      <c r="M65" s="10">
        <f>+'A) Base RI'!K65</f>
        <v>3677.6</v>
      </c>
      <c r="N65" s="10">
        <f>+'A) Base RI'!Q65</f>
        <v>8819.15</v>
      </c>
      <c r="O65" s="10">
        <f t="shared" si="1"/>
        <v>211665.09523809524</v>
      </c>
      <c r="P65" s="10">
        <f>+'A) Base RI'!L65</f>
        <v>222248.35</v>
      </c>
      <c r="Q65" s="35">
        <f>'A) Base RI'!AR65</f>
        <v>1.05</v>
      </c>
      <c r="R65" s="2">
        <f t="shared" si="2"/>
        <v>2835999.1152380952</v>
      </c>
      <c r="S65" s="34">
        <f>+'A) Base RI'!AM65</f>
        <v>75</v>
      </c>
      <c r="T65" s="2">
        <f t="shared" si="3"/>
        <v>2620656.42</v>
      </c>
      <c r="U65" s="2">
        <f t="shared" si="4"/>
        <v>37813.321536507938</v>
      </c>
      <c r="V65" s="10">
        <f>+'A) Base RI'!O65</f>
        <v>5.2</v>
      </c>
      <c r="W65" s="10">
        <f>+'A) Base RI'!P65</f>
        <v>134559.15</v>
      </c>
      <c r="X65" s="10">
        <f>+'A) Base RI'!R65</f>
        <v>143427.4</v>
      </c>
      <c r="Y65" s="2">
        <f t="shared" si="5"/>
        <v>277991.75</v>
      </c>
      <c r="Z65" s="10">
        <f>+'A) Base RI'!N65</f>
        <v>46174.9</v>
      </c>
      <c r="AA65" s="10">
        <f>+'A) Base RI'!S65+'A) Base RI'!T65</f>
        <v>4200.1000000000004</v>
      </c>
      <c r="AB65" s="10">
        <f>+'A) Base RI'!U65</f>
        <v>6880</v>
      </c>
      <c r="AC65" s="10">
        <f>+'A) Base RI'!V65</f>
        <v>0</v>
      </c>
      <c r="AD65" s="10">
        <f>+'A) Base RI'!W65</f>
        <v>0</v>
      </c>
      <c r="AE65" s="10">
        <f>+'A) Base RI'!Y65</f>
        <v>4024.51</v>
      </c>
      <c r="AF65" s="10">
        <f>+'A) Base RI'!Z65</f>
        <v>8346.98</v>
      </c>
      <c r="AG65" s="10">
        <f>+'A) Base RI'!AA65</f>
        <v>154175.99</v>
      </c>
      <c r="AH65" s="10" t="str">
        <f>+'A) Base RI'!AB65</f>
        <v/>
      </c>
      <c r="AI65" s="10">
        <f>+'A) Base RI'!AC65</f>
        <v>119192.58</v>
      </c>
      <c r="AJ65" s="10">
        <f>+'A) Base RI'!AD65</f>
        <v>3219.61</v>
      </c>
      <c r="AK65" s="10">
        <f>+'A) Base RI'!AE65</f>
        <v>8346.98</v>
      </c>
      <c r="AL65" s="10" t="str">
        <f>+'A) Base RI'!AF65</f>
        <v/>
      </c>
      <c r="AM65" s="10" t="str">
        <f>+'A) Base RI'!AG65</f>
        <v/>
      </c>
      <c r="AN65" s="10">
        <f>+'A) Base RI'!AH65</f>
        <v>0</v>
      </c>
      <c r="AO65" s="10">
        <f>+'A) Base RI'!AI65</f>
        <v>0</v>
      </c>
      <c r="AP65" s="10">
        <f>+'A) Base RI'!AJ65</f>
        <v>0</v>
      </c>
      <c r="AQ65" s="10">
        <f>+'A) Base RI'!AK65</f>
        <v>0</v>
      </c>
      <c r="AR65" s="10">
        <f>'A) Base RI'!AN65</f>
        <v>1113</v>
      </c>
    </row>
    <row r="66" spans="1:44" x14ac:dyDescent="0.25">
      <c r="A66" s="8">
        <f>'A) Base RI'!A66</f>
        <v>5495</v>
      </c>
      <c r="B66" s="33" t="str">
        <f>'A) Base RI'!B66</f>
        <v>Penthalaz</v>
      </c>
      <c r="C66" s="10">
        <f>'A) Base RI'!C66+'A) Base RI'!D66</f>
        <v>5963166.1499999994</v>
      </c>
      <c r="D66" s="10">
        <f>'A) Base RI'!AO66</f>
        <v>-166296</v>
      </c>
      <c r="E66" s="32">
        <f>'A) Base RI'!AP66</f>
        <v>0</v>
      </c>
      <c r="F66" s="32">
        <f>'A) Base RI'!AQ66</f>
        <v>-355.36</v>
      </c>
      <c r="G66" s="2">
        <f t="shared" si="0"/>
        <v>5796514.7899999991</v>
      </c>
      <c r="H66" s="10">
        <f>+'A) Base RI'!E66</f>
        <v>0</v>
      </c>
      <c r="I66" s="10">
        <f>+'A) Base RI'!F66</f>
        <v>0</v>
      </c>
      <c r="J66" s="10">
        <f>+'A) Base RI'!G66+'A) Base RI'!H66</f>
        <v>227947.85</v>
      </c>
      <c r="K66" s="10">
        <f>+'A) Base RI'!I66</f>
        <v>76611.75</v>
      </c>
      <c r="L66" s="10">
        <f>+'A) Base RI'!J66</f>
        <v>187073.09</v>
      </c>
      <c r="M66" s="10">
        <f>+'A) Base RI'!K66</f>
        <v>62860.45</v>
      </c>
      <c r="N66" s="10">
        <f>+'A) Base RI'!Q66</f>
        <v>51967.79</v>
      </c>
      <c r="O66" s="10">
        <f t="shared" si="1"/>
        <v>472932.2</v>
      </c>
      <c r="P66" s="10">
        <f>+'A) Base RI'!L66</f>
        <v>472932.2</v>
      </c>
      <c r="Q66" s="35">
        <f>'A) Base RI'!AR66</f>
        <v>1</v>
      </c>
      <c r="R66" s="2">
        <f t="shared" si="2"/>
        <v>6875907.919999999</v>
      </c>
      <c r="S66" s="34">
        <f>+'A) Base RI'!AM66</f>
        <v>74</v>
      </c>
      <c r="T66" s="2">
        <f t="shared" si="3"/>
        <v>6340115.2699999986</v>
      </c>
      <c r="U66" s="2">
        <f t="shared" si="4"/>
        <v>92917.674594594588</v>
      </c>
      <c r="V66" s="10">
        <f>+'A) Base RI'!O66</f>
        <v>44765.4</v>
      </c>
      <c r="W66" s="10">
        <f>+'A) Base RI'!P66</f>
        <v>108744.3</v>
      </c>
      <c r="X66" s="10">
        <f>+'A) Base RI'!R66</f>
        <v>213370.9</v>
      </c>
      <c r="Y66" s="2">
        <f t="shared" si="5"/>
        <v>366880.6</v>
      </c>
      <c r="Z66" s="10">
        <f>+'A) Base RI'!N66</f>
        <v>216511.1</v>
      </c>
      <c r="AA66" s="10">
        <f>+'A) Base RI'!S66+'A) Base RI'!T66</f>
        <v>0</v>
      </c>
      <c r="AB66" s="10">
        <f>+'A) Base RI'!U66</f>
        <v>11280</v>
      </c>
      <c r="AC66" s="10">
        <f>+'A) Base RI'!V66</f>
        <v>0</v>
      </c>
      <c r="AD66" s="10">
        <f>+'A) Base RI'!W66</f>
        <v>0</v>
      </c>
      <c r="AE66" s="10">
        <f>+'A) Base RI'!Y66</f>
        <v>-35809.300000000003</v>
      </c>
      <c r="AF66" s="10" t="str">
        <f>+'A) Base RI'!Z66</f>
        <v/>
      </c>
      <c r="AG66" s="10">
        <f>+'A) Base RI'!AA66</f>
        <v>77266.350000000006</v>
      </c>
      <c r="AH66" s="10">
        <f>+'A) Base RI'!AB66</f>
        <v>464982</v>
      </c>
      <c r="AI66" s="10">
        <f>+'A) Base RI'!AC66</f>
        <v>258466.25</v>
      </c>
      <c r="AJ66" s="10">
        <f>+'A) Base RI'!AD66</f>
        <v>-71770.05</v>
      </c>
      <c r="AK66" s="10" t="str">
        <f>+'A) Base RI'!AE66</f>
        <v/>
      </c>
      <c r="AL66" s="10" t="str">
        <f>+'A) Base RI'!AF66</f>
        <v/>
      </c>
      <c r="AM66" s="10">
        <f>+'A) Base RI'!AG66</f>
        <v>8470</v>
      </c>
      <c r="AN66" s="10">
        <f>+'A) Base RI'!AH66</f>
        <v>80500</v>
      </c>
      <c r="AO66" s="10">
        <f>+'A) Base RI'!AI66</f>
        <v>0</v>
      </c>
      <c r="AP66" s="10">
        <f>+'A) Base RI'!AJ66</f>
        <v>0</v>
      </c>
      <c r="AQ66" s="10">
        <f>+'A) Base RI'!AK66</f>
        <v>23000</v>
      </c>
      <c r="AR66" s="10">
        <f>'A) Base RI'!AN66</f>
        <v>3283</v>
      </c>
    </row>
    <row r="67" spans="1:44" x14ac:dyDescent="0.25">
      <c r="A67" s="8">
        <f>'A) Base RI'!A67</f>
        <v>5496</v>
      </c>
      <c r="B67" s="33" t="str">
        <f>'A) Base RI'!B67</f>
        <v>Penthaz</v>
      </c>
      <c r="C67" s="10">
        <f>'A) Base RI'!C67+'A) Base RI'!D67</f>
        <v>3593144.52</v>
      </c>
      <c r="D67" s="10">
        <f>'A) Base RI'!AO67</f>
        <v>-53644.959999999999</v>
      </c>
      <c r="E67" s="32">
        <f>'A) Base RI'!AP67</f>
        <v>0</v>
      </c>
      <c r="F67" s="32">
        <f>'A) Base RI'!AQ67</f>
        <v>-60.89</v>
      </c>
      <c r="G67" s="2">
        <f t="shared" si="0"/>
        <v>3539438.67</v>
      </c>
      <c r="H67" s="10">
        <f>+'A) Base RI'!E67</f>
        <v>0</v>
      </c>
      <c r="I67" s="10">
        <f>+'A) Base RI'!F67</f>
        <v>0</v>
      </c>
      <c r="J67" s="10">
        <f>+'A) Base RI'!G67+'A) Base RI'!H67</f>
        <v>136434.04999999999</v>
      </c>
      <c r="K67" s="10">
        <f>+'A) Base RI'!I67</f>
        <v>0</v>
      </c>
      <c r="L67" s="10">
        <f>+'A) Base RI'!J67</f>
        <v>77055.75</v>
      </c>
      <c r="M67" s="10">
        <f>+'A) Base RI'!K67</f>
        <v>20261.25</v>
      </c>
      <c r="N67" s="10">
        <f>+'A) Base RI'!Q67</f>
        <v>1411.91</v>
      </c>
      <c r="O67" s="10">
        <f t="shared" si="1"/>
        <v>303790</v>
      </c>
      <c r="P67" s="10">
        <f>+'A) Base RI'!L67</f>
        <v>303790</v>
      </c>
      <c r="Q67" s="35">
        <f>'A) Base RI'!AR67</f>
        <v>1</v>
      </c>
      <c r="R67" s="2">
        <f t="shared" si="2"/>
        <v>4078391.63</v>
      </c>
      <c r="S67" s="34">
        <f>+'A) Base RI'!AM67</f>
        <v>71</v>
      </c>
      <c r="T67" s="2">
        <f t="shared" si="3"/>
        <v>3754340.38</v>
      </c>
      <c r="U67" s="2">
        <f t="shared" si="4"/>
        <v>57442.135633802813</v>
      </c>
      <c r="V67" s="10">
        <f>+'A) Base RI'!O67</f>
        <v>119411.7</v>
      </c>
      <c r="W67" s="10">
        <f>+'A) Base RI'!P67</f>
        <v>206536.25</v>
      </c>
      <c r="X67" s="10">
        <f>+'A) Base RI'!R67</f>
        <v>124274.85</v>
      </c>
      <c r="Y67" s="2">
        <f t="shared" si="5"/>
        <v>450222.80000000005</v>
      </c>
      <c r="Z67" s="10">
        <f>+'A) Base RI'!N67</f>
        <v>94624.3</v>
      </c>
      <c r="AA67" s="10">
        <f>+'A) Base RI'!S67+'A) Base RI'!T67</f>
        <v>0</v>
      </c>
      <c r="AB67" s="10">
        <f>+'A) Base RI'!U67</f>
        <v>12950</v>
      </c>
      <c r="AC67" s="10">
        <f>+'A) Base RI'!V67</f>
        <v>0</v>
      </c>
      <c r="AD67" s="10">
        <f>+'A) Base RI'!W67</f>
        <v>0</v>
      </c>
      <c r="AE67" s="10">
        <f>+'A) Base RI'!Y67</f>
        <v>112472.9</v>
      </c>
      <c r="AF67" s="10">
        <f>+'A) Base RI'!Z67</f>
        <v>0</v>
      </c>
      <c r="AG67" s="10">
        <f>+'A) Base RI'!AA67</f>
        <v>0</v>
      </c>
      <c r="AH67" s="10">
        <f>+'A) Base RI'!AB67</f>
        <v>260960.4</v>
      </c>
      <c r="AI67" s="10">
        <f>+'A) Base RI'!AC67</f>
        <v>130380</v>
      </c>
      <c r="AJ67" s="10">
        <f>+'A) Base RI'!AD67</f>
        <v>103777.4</v>
      </c>
      <c r="AK67" s="10">
        <f>+'A) Base RI'!AE67</f>
        <v>0</v>
      </c>
      <c r="AL67" s="10">
        <f>+'A) Base RI'!AF67</f>
        <v>0</v>
      </c>
      <c r="AM67" s="10">
        <f>+'A) Base RI'!AG67</f>
        <v>3060.55</v>
      </c>
      <c r="AN67" s="10">
        <f>+'A) Base RI'!AH67</f>
        <v>53988.15</v>
      </c>
      <c r="AO67" s="10">
        <f>+'A) Base RI'!AI67</f>
        <v>0</v>
      </c>
      <c r="AP67" s="10">
        <f>+'A) Base RI'!AJ67</f>
        <v>0</v>
      </c>
      <c r="AQ67" s="10">
        <f>+'A) Base RI'!AK67</f>
        <v>0</v>
      </c>
      <c r="AR67" s="10">
        <f>'A) Base RI'!AN67</f>
        <v>1747</v>
      </c>
    </row>
    <row r="68" spans="1:44" x14ac:dyDescent="0.25">
      <c r="A68" s="8">
        <f>'A) Base RI'!A68</f>
        <v>5497</v>
      </c>
      <c r="B68" s="33" t="str">
        <f>'A) Base RI'!B68</f>
        <v>Pompaples</v>
      </c>
      <c r="C68" s="10">
        <f>'A) Base RI'!C68+'A) Base RI'!D68</f>
        <v>1261209.23</v>
      </c>
      <c r="D68" s="10">
        <f>'A) Base RI'!AO68</f>
        <v>-9114.9500000000007</v>
      </c>
      <c r="E68" s="32">
        <f>'A) Base RI'!AP68</f>
        <v>0</v>
      </c>
      <c r="F68" s="32">
        <f>'A) Base RI'!AQ68</f>
        <v>0</v>
      </c>
      <c r="G68" s="2">
        <f t="shared" si="0"/>
        <v>1252094.28</v>
      </c>
      <c r="H68" s="10">
        <f>+'A) Base RI'!E68</f>
        <v>0</v>
      </c>
      <c r="I68" s="10">
        <f>+'A) Base RI'!F68</f>
        <v>0</v>
      </c>
      <c r="J68" s="10">
        <f>+'A) Base RI'!G68+'A) Base RI'!H68</f>
        <v>49183.05</v>
      </c>
      <c r="K68" s="10">
        <f>+'A) Base RI'!I68</f>
        <v>0</v>
      </c>
      <c r="L68" s="10">
        <f>+'A) Base RI'!J68</f>
        <v>47235.39</v>
      </c>
      <c r="M68" s="10">
        <f>+'A) Base RI'!K68</f>
        <v>6244.75</v>
      </c>
      <c r="N68" s="10">
        <f>+'A) Base RI'!Q68</f>
        <v>6481.45</v>
      </c>
      <c r="O68" s="10">
        <f t="shared" si="1"/>
        <v>124855.5</v>
      </c>
      <c r="P68" s="10">
        <f>+'A) Base RI'!L68</f>
        <v>124855.5</v>
      </c>
      <c r="Q68" s="35">
        <f>'A) Base RI'!AR68</f>
        <v>1</v>
      </c>
      <c r="R68" s="2">
        <f t="shared" si="2"/>
        <v>1486094.42</v>
      </c>
      <c r="S68" s="34">
        <f>+'A) Base RI'!AM68</f>
        <v>66</v>
      </c>
      <c r="T68" s="2">
        <f t="shared" si="3"/>
        <v>1354994.17</v>
      </c>
      <c r="U68" s="2">
        <f t="shared" si="4"/>
        <v>22516.582121212119</v>
      </c>
      <c r="V68" s="10">
        <f>+'A) Base RI'!O68</f>
        <v>19077.2</v>
      </c>
      <c r="W68" s="10">
        <f>+'A) Base RI'!P68</f>
        <v>71866.7</v>
      </c>
      <c r="X68" s="10">
        <f>+'A) Base RI'!R68</f>
        <v>36937.35</v>
      </c>
      <c r="Y68" s="2">
        <f t="shared" si="5"/>
        <v>127881.25</v>
      </c>
      <c r="Z68" s="10">
        <f>+'A) Base RI'!N68</f>
        <v>240433.1</v>
      </c>
      <c r="AA68" s="10">
        <f>+'A) Base RI'!S68+'A) Base RI'!T68</f>
        <v>0</v>
      </c>
      <c r="AB68" s="10">
        <f>+'A) Base RI'!U68</f>
        <v>2725</v>
      </c>
      <c r="AC68" s="10">
        <f>+'A) Base RI'!V68</f>
        <v>0</v>
      </c>
      <c r="AD68" s="10">
        <f>+'A) Base RI'!W68</f>
        <v>0</v>
      </c>
      <c r="AE68" s="10">
        <f>+'A) Base RI'!Y68</f>
        <v>29919.9</v>
      </c>
      <c r="AF68" s="10">
        <f>+'A) Base RI'!Z68</f>
        <v>0</v>
      </c>
      <c r="AG68" s="10">
        <f>+'A) Base RI'!AA68</f>
        <v>96779.8</v>
      </c>
      <c r="AH68" s="10">
        <f>+'A) Base RI'!AB68</f>
        <v>0</v>
      </c>
      <c r="AI68" s="10">
        <f>+'A) Base RI'!AC68</f>
        <v>92141.3</v>
      </c>
      <c r="AJ68" s="10">
        <f>+'A) Base RI'!AD68</f>
        <v>0</v>
      </c>
      <c r="AK68" s="10">
        <f>+'A) Base RI'!AE68</f>
        <v>0</v>
      </c>
      <c r="AL68" s="10">
        <f>+'A) Base RI'!AF68</f>
        <v>0</v>
      </c>
      <c r="AM68" s="10">
        <f>+'A) Base RI'!AG68</f>
        <v>0</v>
      </c>
      <c r="AN68" s="10">
        <f>+'A) Base RI'!AH68</f>
        <v>34000.949999999997</v>
      </c>
      <c r="AO68" s="10">
        <f>+'A) Base RI'!AI68</f>
        <v>0</v>
      </c>
      <c r="AP68" s="10">
        <f>+'A) Base RI'!AJ68</f>
        <v>0</v>
      </c>
      <c r="AQ68" s="10">
        <f>+'A) Base RI'!AK68</f>
        <v>0</v>
      </c>
      <c r="AR68" s="10">
        <f>'A) Base RI'!AN68</f>
        <v>847</v>
      </c>
    </row>
    <row r="69" spans="1:44" x14ac:dyDescent="0.25">
      <c r="A69" s="8">
        <f>'A) Base RI'!A69</f>
        <v>5498</v>
      </c>
      <c r="B69" s="33" t="str">
        <f>'A) Base RI'!B69</f>
        <v>La Sarraz</v>
      </c>
      <c r="C69" s="10">
        <f>'A) Base RI'!C69+'A) Base RI'!D69</f>
        <v>4645828.3099999996</v>
      </c>
      <c r="D69" s="10">
        <f>'A) Base RI'!AO69</f>
        <v>-116051.35</v>
      </c>
      <c r="E69" s="32">
        <f>'A) Base RI'!AP69</f>
        <v>0</v>
      </c>
      <c r="F69" s="32">
        <f>'A) Base RI'!AQ69</f>
        <v>-31.47</v>
      </c>
      <c r="G69" s="2">
        <f t="shared" si="0"/>
        <v>4529745.49</v>
      </c>
      <c r="H69" s="10">
        <f>+'A) Base RI'!E69</f>
        <v>0</v>
      </c>
      <c r="I69" s="10">
        <f>+'A) Base RI'!F69</f>
        <v>0</v>
      </c>
      <c r="J69" s="10">
        <f>+'A) Base RI'!G69+'A) Base RI'!H69</f>
        <v>118716.25</v>
      </c>
      <c r="K69" s="10">
        <f>+'A) Base RI'!I69</f>
        <v>0</v>
      </c>
      <c r="L69" s="10">
        <f>+'A) Base RI'!J69</f>
        <v>108706.32</v>
      </c>
      <c r="M69" s="10">
        <f>+'A) Base RI'!K69</f>
        <v>9328.65</v>
      </c>
      <c r="N69" s="10">
        <f>+'A) Base RI'!Q69</f>
        <v>5800.36</v>
      </c>
      <c r="O69" s="10">
        <f t="shared" si="1"/>
        <v>389029.45</v>
      </c>
      <c r="P69" s="10">
        <f>+'A) Base RI'!L69</f>
        <v>389029.45</v>
      </c>
      <c r="Q69" s="35">
        <f>'A) Base RI'!AR69</f>
        <v>1</v>
      </c>
      <c r="R69" s="2">
        <f t="shared" si="2"/>
        <v>5161326.5200000014</v>
      </c>
      <c r="S69" s="34">
        <f>+'A) Base RI'!AM69</f>
        <v>66</v>
      </c>
      <c r="T69" s="2">
        <f t="shared" si="3"/>
        <v>4762968.4200000009</v>
      </c>
      <c r="U69" s="2">
        <f t="shared" si="4"/>
        <v>78201.916969696991</v>
      </c>
      <c r="V69" s="10">
        <f>+'A) Base RI'!O69</f>
        <v>109211.2</v>
      </c>
      <c r="W69" s="10">
        <f>+'A) Base RI'!P69</f>
        <v>137932.85</v>
      </c>
      <c r="X69" s="10">
        <f>+'A) Base RI'!R69</f>
        <v>92568.35</v>
      </c>
      <c r="Y69" s="2">
        <f t="shared" si="5"/>
        <v>339712.4</v>
      </c>
      <c r="Z69" s="10">
        <f>+'A) Base RI'!N69</f>
        <v>83661.399999999994</v>
      </c>
      <c r="AA69" s="10">
        <f>+'A) Base RI'!S69+'A) Base RI'!T69</f>
        <v>11196.4</v>
      </c>
      <c r="AB69" s="10">
        <f>+'A) Base RI'!U69</f>
        <v>17600</v>
      </c>
      <c r="AC69" s="10">
        <f>+'A) Base RI'!V69</f>
        <v>0</v>
      </c>
      <c r="AD69" s="10">
        <f>+'A) Base RI'!W69</f>
        <v>0</v>
      </c>
      <c r="AE69" s="10">
        <f>+'A) Base RI'!Y69</f>
        <v>74199.75</v>
      </c>
      <c r="AF69" s="10">
        <f>+'A) Base RI'!Z69</f>
        <v>0</v>
      </c>
      <c r="AG69" s="10">
        <f>+'A) Base RI'!AA69</f>
        <v>259344.05</v>
      </c>
      <c r="AH69" s="10">
        <f>+'A) Base RI'!AB69</f>
        <v>0</v>
      </c>
      <c r="AI69" s="10">
        <f>+'A) Base RI'!AC69</f>
        <v>276126.05</v>
      </c>
      <c r="AJ69" s="10">
        <f>+'A) Base RI'!AD69</f>
        <v>0</v>
      </c>
      <c r="AK69" s="10">
        <f>+'A) Base RI'!AE69</f>
        <v>0</v>
      </c>
      <c r="AL69" s="10">
        <f>+'A) Base RI'!AF69</f>
        <v>0</v>
      </c>
      <c r="AM69" s="10">
        <f>+'A) Base RI'!AG69</f>
        <v>0</v>
      </c>
      <c r="AN69" s="10">
        <f>+'A) Base RI'!AH69</f>
        <v>0</v>
      </c>
      <c r="AO69" s="10">
        <f>+'A) Base RI'!AI69</f>
        <v>0</v>
      </c>
      <c r="AP69" s="10">
        <f>+'A) Base RI'!AJ69</f>
        <v>0</v>
      </c>
      <c r="AQ69" s="10">
        <f>+'A) Base RI'!AK69</f>
        <v>0</v>
      </c>
      <c r="AR69" s="10">
        <f>'A) Base RI'!AN69</f>
        <v>2596</v>
      </c>
    </row>
    <row r="70" spans="1:44" x14ac:dyDescent="0.25">
      <c r="A70" s="8">
        <f>'A) Base RI'!A70</f>
        <v>5499</v>
      </c>
      <c r="B70" s="33" t="str">
        <f>'A) Base RI'!B70</f>
        <v>Senarclens</v>
      </c>
      <c r="C70" s="10">
        <f>'A) Base RI'!C70+'A) Base RI'!D70</f>
        <v>1499282.11</v>
      </c>
      <c r="D70" s="10">
        <f>'A) Base RI'!AO70</f>
        <v>-345.58</v>
      </c>
      <c r="E70" s="32">
        <f>'A) Base RI'!AP70</f>
        <v>0</v>
      </c>
      <c r="F70" s="32">
        <f>'A) Base RI'!AQ70</f>
        <v>-125.97</v>
      </c>
      <c r="G70" s="2">
        <f t="shared" si="0"/>
        <v>1498810.56</v>
      </c>
      <c r="H70" s="10">
        <f>+'A) Base RI'!E70</f>
        <v>0</v>
      </c>
      <c r="I70" s="10">
        <f>+'A) Base RI'!F70</f>
        <v>0</v>
      </c>
      <c r="J70" s="10">
        <f>+'A) Base RI'!G70+'A) Base RI'!H70</f>
        <v>37766.199999999997</v>
      </c>
      <c r="K70" s="10">
        <f>+'A) Base RI'!I70</f>
        <v>0</v>
      </c>
      <c r="L70" s="10">
        <f>+'A) Base RI'!J70</f>
        <v>6464.4</v>
      </c>
      <c r="M70" s="10">
        <f>+'A) Base RI'!K70</f>
        <v>0</v>
      </c>
      <c r="N70" s="10">
        <f>+'A) Base RI'!Q70</f>
        <v>0</v>
      </c>
      <c r="O70" s="10">
        <f t="shared" si="1"/>
        <v>93195.3</v>
      </c>
      <c r="P70" s="10">
        <f>+'A) Base RI'!L70</f>
        <v>93195.3</v>
      </c>
      <c r="Q70" s="35">
        <f>'A) Base RI'!AR70</f>
        <v>1</v>
      </c>
      <c r="R70" s="2">
        <f t="shared" si="2"/>
        <v>1636236.46</v>
      </c>
      <c r="S70" s="34">
        <f>+'A) Base RI'!AM70</f>
        <v>68.5</v>
      </c>
      <c r="T70" s="2">
        <f t="shared" si="3"/>
        <v>1543041.16</v>
      </c>
      <c r="U70" s="2">
        <f t="shared" si="4"/>
        <v>23886.663649635037</v>
      </c>
      <c r="V70" s="10">
        <f>+'A) Base RI'!O70</f>
        <v>14250.8</v>
      </c>
      <c r="W70" s="10">
        <f>+'A) Base RI'!P70</f>
        <v>37180</v>
      </c>
      <c r="X70" s="10">
        <f>+'A) Base RI'!R70</f>
        <v>33174.5</v>
      </c>
      <c r="Y70" s="2">
        <f t="shared" si="5"/>
        <v>84605.3</v>
      </c>
      <c r="Z70" s="10">
        <f>+'A) Base RI'!N70</f>
        <v>13140.25</v>
      </c>
      <c r="AA70" s="10">
        <f>+'A) Base RI'!S70+'A) Base RI'!T70</f>
        <v>100</v>
      </c>
      <c r="AB70" s="10">
        <f>+'A) Base RI'!U70</f>
        <v>1600</v>
      </c>
      <c r="AC70" s="10">
        <f>+'A) Base RI'!V70</f>
        <v>0</v>
      </c>
      <c r="AD70" s="10">
        <f>+'A) Base RI'!W70</f>
        <v>0</v>
      </c>
      <c r="AE70" s="10">
        <f>+'A) Base RI'!Y70</f>
        <v>-1103.8499999999999</v>
      </c>
      <c r="AF70" s="10" t="str">
        <f>+'A) Base RI'!Z70</f>
        <v/>
      </c>
      <c r="AG70" s="10">
        <f>+'A) Base RI'!AA70</f>
        <v>33900</v>
      </c>
      <c r="AH70" s="10" t="str">
        <f>+'A) Base RI'!AB70</f>
        <v/>
      </c>
      <c r="AI70" s="10">
        <f>+'A) Base RI'!AC70</f>
        <v>43542.75</v>
      </c>
      <c r="AJ70" s="10">
        <f>+'A) Base RI'!AD70</f>
        <v>-1103.8499999999999</v>
      </c>
      <c r="AK70" s="10" t="str">
        <f>+'A) Base RI'!AE70</f>
        <v/>
      </c>
      <c r="AL70" s="10" t="str">
        <f>+'A) Base RI'!AF70</f>
        <v/>
      </c>
      <c r="AM70" s="10" t="str">
        <f>+'A) Base RI'!AG70</f>
        <v/>
      </c>
      <c r="AN70" s="10">
        <f>+'A) Base RI'!AH70</f>
        <v>0</v>
      </c>
      <c r="AO70" s="10">
        <f>+'A) Base RI'!AI70</f>
        <v>0</v>
      </c>
      <c r="AP70" s="10">
        <f>+'A) Base RI'!AJ70</f>
        <v>0</v>
      </c>
      <c r="AQ70" s="10">
        <f>+'A) Base RI'!AK70</f>
        <v>0</v>
      </c>
      <c r="AR70" s="10">
        <f>'A) Base RI'!AN70</f>
        <v>488</v>
      </c>
    </row>
    <row r="71" spans="1:44" x14ac:dyDescent="0.25">
      <c r="A71" s="8">
        <f>'A) Base RI'!A71</f>
        <v>5500</v>
      </c>
      <c r="B71" s="33" t="str">
        <f>'A) Base RI'!B71</f>
        <v>Sévery</v>
      </c>
      <c r="C71" s="10">
        <f>'A) Base RI'!C71+'A) Base RI'!D71</f>
        <v>436083.14</v>
      </c>
      <c r="D71" s="10">
        <f>'A) Base RI'!AO71</f>
        <v>-4200.3900000000003</v>
      </c>
      <c r="E71" s="32">
        <f>'A) Base RI'!AP71</f>
        <v>0</v>
      </c>
      <c r="F71" s="32">
        <f>'A) Base RI'!AQ71</f>
        <v>-603.44000000000005</v>
      </c>
      <c r="G71" s="2">
        <f t="shared" si="0"/>
        <v>431279.31</v>
      </c>
      <c r="H71" s="10">
        <f>+'A) Base RI'!E71</f>
        <v>0</v>
      </c>
      <c r="I71" s="10">
        <f>+'A) Base RI'!F71</f>
        <v>0</v>
      </c>
      <c r="J71" s="10">
        <f>+'A) Base RI'!G71+'A) Base RI'!H71</f>
        <v>5874.4500000000007</v>
      </c>
      <c r="K71" s="10">
        <f>+'A) Base RI'!I71</f>
        <v>0</v>
      </c>
      <c r="L71" s="10">
        <f>+'A) Base RI'!J71</f>
        <v>-2334.81</v>
      </c>
      <c r="M71" s="10">
        <f>+'A) Base RI'!K71</f>
        <v>153.94999999999999</v>
      </c>
      <c r="N71" s="10">
        <f>+'A) Base RI'!Q71</f>
        <v>-2089.33</v>
      </c>
      <c r="O71" s="10">
        <f t="shared" si="1"/>
        <v>41981.416666666664</v>
      </c>
      <c r="P71" s="10">
        <f>+'A) Base RI'!L71</f>
        <v>50377.7</v>
      </c>
      <c r="Q71" s="35">
        <f>'A) Base RI'!AR71</f>
        <v>1.2</v>
      </c>
      <c r="R71" s="2">
        <f t="shared" si="2"/>
        <v>474864.98666666669</v>
      </c>
      <c r="S71" s="34">
        <f>+'A) Base RI'!AM71</f>
        <v>75</v>
      </c>
      <c r="T71" s="2">
        <f t="shared" si="3"/>
        <v>432729.62</v>
      </c>
      <c r="U71" s="2">
        <f t="shared" si="4"/>
        <v>6331.5331555555558</v>
      </c>
      <c r="V71" s="10">
        <f>+'A) Base RI'!O71</f>
        <v>47500</v>
      </c>
      <c r="W71" s="10">
        <f>+'A) Base RI'!P71</f>
        <v>15655.8</v>
      </c>
      <c r="X71" s="10">
        <f>+'A) Base RI'!R71</f>
        <v>0</v>
      </c>
      <c r="Y71" s="2">
        <f t="shared" si="5"/>
        <v>63155.8</v>
      </c>
      <c r="Z71" s="10">
        <f>+'A) Base RI'!N71</f>
        <v>1747.6</v>
      </c>
      <c r="AA71" s="10">
        <f>+'A) Base RI'!S71+'A) Base RI'!T71</f>
        <v>0</v>
      </c>
      <c r="AB71" s="10">
        <f>+'A) Base RI'!U71</f>
        <v>1450</v>
      </c>
      <c r="AC71" s="10">
        <f>+'A) Base RI'!V71</f>
        <v>0</v>
      </c>
      <c r="AD71" s="10">
        <f>+'A) Base RI'!W71</f>
        <v>0</v>
      </c>
      <c r="AE71" s="10">
        <f>+'A) Base RI'!Y71</f>
        <v>5797</v>
      </c>
      <c r="AF71" s="10">
        <f>+'A) Base RI'!Z71</f>
        <v>0</v>
      </c>
      <c r="AG71" s="10">
        <f>+'A) Base RI'!AA71</f>
        <v>28912.3</v>
      </c>
      <c r="AH71" s="10">
        <f>+'A) Base RI'!AB71</f>
        <v>0</v>
      </c>
      <c r="AI71" s="10">
        <f>+'A) Base RI'!AC71</f>
        <v>21378.7</v>
      </c>
      <c r="AJ71" s="10">
        <f>+'A) Base RI'!AD71</f>
        <v>0</v>
      </c>
      <c r="AK71" s="10">
        <f>+'A) Base RI'!AE71</f>
        <v>0</v>
      </c>
      <c r="AL71" s="10">
        <f>+'A) Base RI'!AF71</f>
        <v>0</v>
      </c>
      <c r="AM71" s="10">
        <f>+'A) Base RI'!AG71</f>
        <v>0</v>
      </c>
      <c r="AN71" s="10">
        <f>+'A) Base RI'!AH71</f>
        <v>0</v>
      </c>
      <c r="AO71" s="10">
        <f>+'A) Base RI'!AI71</f>
        <v>0</v>
      </c>
      <c r="AP71" s="10">
        <f>+'A) Base RI'!AJ71</f>
        <v>0</v>
      </c>
      <c r="AQ71" s="10">
        <f>+'A) Base RI'!AK71</f>
        <v>0</v>
      </c>
      <c r="AR71" s="10">
        <f>'A) Base RI'!AN71</f>
        <v>225</v>
      </c>
    </row>
    <row r="72" spans="1:44" x14ac:dyDescent="0.25">
      <c r="A72" s="8">
        <f>'A) Base RI'!A72</f>
        <v>5501</v>
      </c>
      <c r="B72" s="33" t="str">
        <f>'A) Base RI'!B72</f>
        <v>Sullens</v>
      </c>
      <c r="C72" s="10">
        <f>'A) Base RI'!C72+'A) Base RI'!D72</f>
        <v>2284905.67</v>
      </c>
      <c r="D72" s="10">
        <f>'A) Base RI'!AO72</f>
        <v>-13779.9</v>
      </c>
      <c r="E72" s="32">
        <f>'A) Base RI'!AP72</f>
        <v>0</v>
      </c>
      <c r="F72" s="32">
        <f>'A) Base RI'!AQ72</f>
        <v>-69.930000000000007</v>
      </c>
      <c r="G72" s="2">
        <f t="shared" ref="G72:G135" si="6">SUM(C72:F72)</f>
        <v>2271055.84</v>
      </c>
      <c r="H72" s="10">
        <f>+'A) Base RI'!E72</f>
        <v>0</v>
      </c>
      <c r="I72" s="10">
        <f>+'A) Base RI'!F72</f>
        <v>0</v>
      </c>
      <c r="J72" s="10">
        <f>+'A) Base RI'!G72+'A) Base RI'!H72</f>
        <v>48435.95</v>
      </c>
      <c r="K72" s="10">
        <f>+'A) Base RI'!I72</f>
        <v>38474.65</v>
      </c>
      <c r="L72" s="10">
        <f>+'A) Base RI'!J72</f>
        <v>73651.55</v>
      </c>
      <c r="M72" s="10">
        <f>+'A) Base RI'!K72</f>
        <v>0</v>
      </c>
      <c r="N72" s="10">
        <f>+'A) Base RI'!Q72</f>
        <v>0</v>
      </c>
      <c r="O72" s="10">
        <f t="shared" ref="O72:O135" si="7">(P72/Q72)*1</f>
        <v>215245.75</v>
      </c>
      <c r="P72" s="10">
        <f>+'A) Base RI'!L72</f>
        <v>215245.75</v>
      </c>
      <c r="Q72" s="35">
        <f>'A) Base RI'!AR72</f>
        <v>1</v>
      </c>
      <c r="R72" s="2">
        <f t="shared" ref="R72:R135" si="8">SUM(G72:O72)</f>
        <v>2646863.7399999998</v>
      </c>
      <c r="S72" s="34">
        <f>+'A) Base RI'!AM72</f>
        <v>70</v>
      </c>
      <c r="T72" s="2">
        <f t="shared" ref="T72:T135" si="9">(G72+H72+J72+K72+L72+N72)</f>
        <v>2431617.9899999998</v>
      </c>
      <c r="U72" s="2">
        <f t="shared" ref="U72:U135" si="10">R72/S72</f>
        <v>37812.339142857141</v>
      </c>
      <c r="V72" s="10">
        <f>+'A) Base RI'!O72</f>
        <v>13667.9</v>
      </c>
      <c r="W72" s="10">
        <f>+'A) Base RI'!P72</f>
        <v>122065.15</v>
      </c>
      <c r="X72" s="10">
        <f>+'A) Base RI'!R72</f>
        <v>43428.65</v>
      </c>
      <c r="Y72" s="2">
        <f t="shared" ref="Y72:Y135" si="11">SUM(V72:X72)</f>
        <v>179161.69999999998</v>
      </c>
      <c r="Z72" s="10">
        <f>+'A) Base RI'!N72</f>
        <v>356.45</v>
      </c>
      <c r="AA72" s="10">
        <f>+'A) Base RI'!S72+'A) Base RI'!T72</f>
        <v>0</v>
      </c>
      <c r="AB72" s="10">
        <f>+'A) Base RI'!U72</f>
        <v>3575</v>
      </c>
      <c r="AC72" s="10">
        <f>+'A) Base RI'!V72</f>
        <v>0</v>
      </c>
      <c r="AD72" s="10">
        <f>+'A) Base RI'!W72</f>
        <v>0</v>
      </c>
      <c r="AE72" s="10">
        <f>+'A) Base RI'!Y72</f>
        <v>38077.199999999997</v>
      </c>
      <c r="AF72" s="10">
        <f>+'A) Base RI'!Z72</f>
        <v>0</v>
      </c>
      <c r="AG72" s="10">
        <f>+'A) Base RI'!AA72</f>
        <v>111929.4</v>
      </c>
      <c r="AH72" s="10">
        <f>+'A) Base RI'!AB72</f>
        <v>0</v>
      </c>
      <c r="AI72" s="10">
        <f>+'A) Base RI'!AC72</f>
        <v>111420.1</v>
      </c>
      <c r="AJ72" s="10">
        <f>+'A) Base RI'!AD72</f>
        <v>41700</v>
      </c>
      <c r="AK72" s="10">
        <f>+'A) Base RI'!AE72</f>
        <v>0</v>
      </c>
      <c r="AL72" s="10">
        <f>+'A) Base RI'!AF72</f>
        <v>0</v>
      </c>
      <c r="AM72" s="10">
        <f>+'A) Base RI'!AG72</f>
        <v>0</v>
      </c>
      <c r="AN72" s="10">
        <f>+'A) Base RI'!AH72</f>
        <v>0</v>
      </c>
      <c r="AO72" s="10">
        <f>+'A) Base RI'!AI72</f>
        <v>0</v>
      </c>
      <c r="AP72" s="10">
        <f>+'A) Base RI'!AJ72</f>
        <v>0</v>
      </c>
      <c r="AQ72" s="10">
        <f>+'A) Base RI'!AK72</f>
        <v>0</v>
      </c>
      <c r="AR72" s="10">
        <f>'A) Base RI'!AN72</f>
        <v>1036</v>
      </c>
    </row>
    <row r="73" spans="1:44" x14ac:dyDescent="0.25">
      <c r="A73" s="8">
        <f>'A) Base RI'!A73</f>
        <v>5503</v>
      </c>
      <c r="B73" s="33" t="str">
        <f>'A) Base RI'!B73</f>
        <v>Vufflens-la-Ville</v>
      </c>
      <c r="C73" s="10">
        <f>'A) Base RI'!C73+'A) Base RI'!D73</f>
        <v>3890596.42</v>
      </c>
      <c r="D73" s="10">
        <f>'A) Base RI'!AO73</f>
        <v>-42647.08</v>
      </c>
      <c r="E73" s="32">
        <f>'A) Base RI'!AP73</f>
        <v>0</v>
      </c>
      <c r="F73" s="32">
        <f>'A) Base RI'!AQ73</f>
        <v>-25920.93</v>
      </c>
      <c r="G73" s="2">
        <f t="shared" si="6"/>
        <v>3822028.4099999997</v>
      </c>
      <c r="H73" s="10">
        <f>+'A) Base RI'!E73</f>
        <v>0</v>
      </c>
      <c r="I73" s="10">
        <f>+'A) Base RI'!F73</f>
        <v>0</v>
      </c>
      <c r="J73" s="10">
        <f>+'A) Base RI'!G73+'A) Base RI'!H73</f>
        <v>985954.9</v>
      </c>
      <c r="K73" s="10">
        <f>+'A) Base RI'!I73</f>
        <v>0</v>
      </c>
      <c r="L73" s="10">
        <f>+'A) Base RI'!J73</f>
        <v>31290.84</v>
      </c>
      <c r="M73" s="10">
        <f>+'A) Base RI'!K73</f>
        <v>28596</v>
      </c>
      <c r="N73" s="10">
        <f>+'A) Base RI'!Q73</f>
        <v>6027.65</v>
      </c>
      <c r="O73" s="10">
        <f t="shared" si="7"/>
        <v>344935.58333333337</v>
      </c>
      <c r="P73" s="10">
        <f>+'A) Base RI'!L73</f>
        <v>413922.7</v>
      </c>
      <c r="Q73" s="35">
        <f>'A) Base RI'!AR73</f>
        <v>1.2</v>
      </c>
      <c r="R73" s="2">
        <f t="shared" si="8"/>
        <v>5218833.3833333328</v>
      </c>
      <c r="S73" s="34">
        <f>+'A) Base RI'!AM73</f>
        <v>67</v>
      </c>
      <c r="T73" s="2">
        <f t="shared" si="9"/>
        <v>4845301.8</v>
      </c>
      <c r="U73" s="2">
        <f t="shared" si="10"/>
        <v>77893.035572139299</v>
      </c>
      <c r="V73" s="10">
        <f>+'A) Base RI'!O73</f>
        <v>169027.3</v>
      </c>
      <c r="W73" s="10">
        <f>+'A) Base RI'!P73</f>
        <v>398557</v>
      </c>
      <c r="X73" s="10">
        <f>+'A) Base RI'!R73</f>
        <v>184137.35</v>
      </c>
      <c r="Y73" s="2">
        <f t="shared" si="11"/>
        <v>751721.65</v>
      </c>
      <c r="Z73" s="10">
        <f>+'A) Base RI'!N73</f>
        <v>83801.5</v>
      </c>
      <c r="AA73" s="10">
        <f>+'A) Base RI'!S73+'A) Base RI'!T73</f>
        <v>0</v>
      </c>
      <c r="AB73" s="10">
        <f>+'A) Base RI'!U73</f>
        <v>6120</v>
      </c>
      <c r="AC73" s="10">
        <f>+'A) Base RI'!V73</f>
        <v>0</v>
      </c>
      <c r="AD73" s="10">
        <f>+'A) Base RI'!W73</f>
        <v>0</v>
      </c>
      <c r="AE73" s="10">
        <f>+'A) Base RI'!Y73</f>
        <v>634641.15</v>
      </c>
      <c r="AF73" s="10">
        <f>+'A) Base RI'!Z73</f>
        <v>0</v>
      </c>
      <c r="AG73" s="10">
        <f>+'A) Base RI'!AA73</f>
        <v>196602.85</v>
      </c>
      <c r="AH73" s="10">
        <f>+'A) Base RI'!AB73</f>
        <v>0</v>
      </c>
      <c r="AI73" s="10">
        <f>+'A) Base RI'!AC73</f>
        <v>140910.35</v>
      </c>
      <c r="AJ73" s="10">
        <f>+'A) Base RI'!AD73</f>
        <v>357433.9</v>
      </c>
      <c r="AK73" s="10">
        <f>+'A) Base RI'!AE73</f>
        <v>0</v>
      </c>
      <c r="AL73" s="10">
        <f>+'A) Base RI'!AF73</f>
        <v>0</v>
      </c>
      <c r="AM73" s="10">
        <f>+'A) Base RI'!AG73</f>
        <v>0</v>
      </c>
      <c r="AN73" s="10">
        <f>+'A) Base RI'!AH73</f>
        <v>0</v>
      </c>
      <c r="AO73" s="10">
        <f>+'A) Base RI'!AI73</f>
        <v>0</v>
      </c>
      <c r="AP73" s="10">
        <f>+'A) Base RI'!AJ73</f>
        <v>0</v>
      </c>
      <c r="AQ73" s="10">
        <f>+'A) Base RI'!AK73</f>
        <v>0</v>
      </c>
      <c r="AR73" s="10">
        <f>'A) Base RI'!AN73</f>
        <v>1298</v>
      </c>
    </row>
    <row r="74" spans="1:44" x14ac:dyDescent="0.25">
      <c r="A74" s="8">
        <f>'A) Base RI'!A74</f>
        <v>5511</v>
      </c>
      <c r="B74" s="33" t="str">
        <f>'A) Base RI'!B74</f>
        <v>Assens</v>
      </c>
      <c r="C74" s="10">
        <f>'A) Base RI'!C74+'A) Base RI'!D74</f>
        <v>2539475.83</v>
      </c>
      <c r="D74" s="10">
        <f>'A) Base RI'!AO74</f>
        <v>-30651.52</v>
      </c>
      <c r="E74" s="32">
        <f>'A) Base RI'!AP74</f>
        <v>0</v>
      </c>
      <c r="F74" s="32">
        <f>'A) Base RI'!AQ74</f>
        <v>976.85</v>
      </c>
      <c r="G74" s="2">
        <f t="shared" si="6"/>
        <v>2509801.16</v>
      </c>
      <c r="H74" s="10">
        <f>+'A) Base RI'!E74</f>
        <v>0</v>
      </c>
      <c r="I74" s="10">
        <f>+'A) Base RI'!F74</f>
        <v>0</v>
      </c>
      <c r="J74" s="10">
        <f>+'A) Base RI'!G74+'A) Base RI'!H74</f>
        <v>412489.64999999997</v>
      </c>
      <c r="K74" s="10">
        <f>+'A) Base RI'!I74</f>
        <v>0</v>
      </c>
      <c r="L74" s="10">
        <f>+'A) Base RI'!J74</f>
        <v>44041.599999999999</v>
      </c>
      <c r="M74" s="10">
        <f>+'A) Base RI'!K74</f>
        <v>914.5</v>
      </c>
      <c r="N74" s="10">
        <f>+'A) Base RI'!Q74</f>
        <v>0</v>
      </c>
      <c r="O74" s="10">
        <f t="shared" si="7"/>
        <v>227656.05</v>
      </c>
      <c r="P74" s="10">
        <f>+'A) Base RI'!L74</f>
        <v>227656.05</v>
      </c>
      <c r="Q74" s="35">
        <f>'A) Base RI'!AR74</f>
        <v>1</v>
      </c>
      <c r="R74" s="2">
        <f t="shared" si="8"/>
        <v>3194902.96</v>
      </c>
      <c r="S74" s="34">
        <f>+'A) Base RI'!AM74</f>
        <v>70</v>
      </c>
      <c r="T74" s="2">
        <f t="shared" si="9"/>
        <v>2966332.41</v>
      </c>
      <c r="U74" s="2">
        <f t="shared" si="10"/>
        <v>45641.470857142856</v>
      </c>
      <c r="V74" s="10">
        <f>+'A) Base RI'!O74</f>
        <v>0</v>
      </c>
      <c r="W74" s="10">
        <f>+'A) Base RI'!P74</f>
        <v>65936.05</v>
      </c>
      <c r="X74" s="10">
        <f>+'A) Base RI'!R74</f>
        <v>58549.65</v>
      </c>
      <c r="Y74" s="2">
        <f t="shared" si="11"/>
        <v>124485.70000000001</v>
      </c>
      <c r="Z74" s="10">
        <f>+'A) Base RI'!N74</f>
        <v>11690.75</v>
      </c>
      <c r="AA74" s="10">
        <f>+'A) Base RI'!S74+'A) Base RI'!T74</f>
        <v>9016.5499999999993</v>
      </c>
      <c r="AB74" s="10">
        <f>+'A) Base RI'!U74</f>
        <v>11325</v>
      </c>
      <c r="AC74" s="10">
        <f>+'A) Base RI'!V74</f>
        <v>0</v>
      </c>
      <c r="AD74" s="10">
        <f>+'A) Base RI'!W74</f>
        <v>0</v>
      </c>
      <c r="AE74" s="10">
        <f>+'A) Base RI'!Y74</f>
        <v>1809.35</v>
      </c>
      <c r="AF74" s="10" t="str">
        <f>+'A) Base RI'!Z74</f>
        <v/>
      </c>
      <c r="AG74" s="10">
        <f>+'A) Base RI'!AA74</f>
        <v>264778.05</v>
      </c>
      <c r="AH74" s="10" t="str">
        <f>+'A) Base RI'!AB74</f>
        <v/>
      </c>
      <c r="AI74" s="10">
        <f>+'A) Base RI'!AC74</f>
        <v>125246.95</v>
      </c>
      <c r="AJ74" s="10">
        <f>+'A) Base RI'!AD74</f>
        <v>2782.9</v>
      </c>
      <c r="AK74" s="10" t="str">
        <f>+'A) Base RI'!AE74</f>
        <v/>
      </c>
      <c r="AL74" s="10" t="str">
        <f>+'A) Base RI'!AF74</f>
        <v/>
      </c>
      <c r="AM74" s="10" t="str">
        <f>+'A) Base RI'!AG74</f>
        <v/>
      </c>
      <c r="AN74" s="10">
        <f>+'A) Base RI'!AH74</f>
        <v>29055.05</v>
      </c>
      <c r="AO74" s="10">
        <f>+'A) Base RI'!AI74</f>
        <v>0</v>
      </c>
      <c r="AP74" s="10">
        <f>+'A) Base RI'!AJ74</f>
        <v>0</v>
      </c>
      <c r="AQ74" s="10">
        <f>+'A) Base RI'!AK74</f>
        <v>0</v>
      </c>
      <c r="AR74" s="10">
        <f>'A) Base RI'!AN74</f>
        <v>1077</v>
      </c>
    </row>
    <row r="75" spans="1:44" x14ac:dyDescent="0.25">
      <c r="A75" s="8">
        <f>'A) Base RI'!A75</f>
        <v>5512</v>
      </c>
      <c r="B75" s="33" t="str">
        <f>'A) Base RI'!B75</f>
        <v>Bercher</v>
      </c>
      <c r="C75" s="10">
        <f>'A) Base RI'!C75+'A) Base RI'!D75</f>
        <v>2589854.89</v>
      </c>
      <c r="D75" s="10">
        <f>'A) Base RI'!AO75</f>
        <v>-30925.29</v>
      </c>
      <c r="E75" s="32">
        <f>'A) Base RI'!AP75</f>
        <v>0</v>
      </c>
      <c r="F75" s="32">
        <f>'A) Base RI'!AQ75</f>
        <v>11.12</v>
      </c>
      <c r="G75" s="2">
        <f t="shared" si="6"/>
        <v>2558940.7200000002</v>
      </c>
      <c r="H75" s="10">
        <f>+'A) Base RI'!E75</f>
        <v>0</v>
      </c>
      <c r="I75" s="10">
        <f>+'A) Base RI'!F75</f>
        <v>0</v>
      </c>
      <c r="J75" s="10">
        <f>+'A) Base RI'!G75+'A) Base RI'!H75</f>
        <v>128343</v>
      </c>
      <c r="K75" s="10">
        <f>+'A) Base RI'!I75</f>
        <v>0</v>
      </c>
      <c r="L75" s="10">
        <f>+'A) Base RI'!J75</f>
        <v>46382.11</v>
      </c>
      <c r="M75" s="10">
        <f>+'A) Base RI'!K75</f>
        <v>6899.7</v>
      </c>
      <c r="N75" s="10">
        <f>+'A) Base RI'!Q75</f>
        <v>12834.81</v>
      </c>
      <c r="O75" s="10">
        <f t="shared" si="7"/>
        <v>231503.7</v>
      </c>
      <c r="P75" s="10">
        <f>+'A) Base RI'!L75</f>
        <v>231503.7</v>
      </c>
      <c r="Q75" s="35">
        <f>'A) Base RI'!AR75</f>
        <v>1</v>
      </c>
      <c r="R75" s="2">
        <f t="shared" si="8"/>
        <v>2984904.0400000005</v>
      </c>
      <c r="S75" s="34">
        <f>+'A) Base RI'!AM75</f>
        <v>79</v>
      </c>
      <c r="T75" s="2">
        <f t="shared" si="9"/>
        <v>2746500.64</v>
      </c>
      <c r="U75" s="2">
        <f t="shared" si="10"/>
        <v>37783.595443037979</v>
      </c>
      <c r="V75" s="10">
        <f>+'A) Base RI'!O75</f>
        <v>5039.1000000000004</v>
      </c>
      <c r="W75" s="10">
        <f>+'A) Base RI'!P75</f>
        <v>120506.75</v>
      </c>
      <c r="X75" s="10">
        <f>+'A) Base RI'!R75</f>
        <v>83998</v>
      </c>
      <c r="Y75" s="2">
        <f t="shared" si="11"/>
        <v>209543.85</v>
      </c>
      <c r="Z75" s="10">
        <f>+'A) Base RI'!N75</f>
        <v>26032.65</v>
      </c>
      <c r="AA75" s="10">
        <f>+'A) Base RI'!S75+'A) Base RI'!T75</f>
        <v>7326.15</v>
      </c>
      <c r="AB75" s="10">
        <f>+'A) Base RI'!U75</f>
        <v>7950</v>
      </c>
      <c r="AC75" s="10">
        <f>+'A) Base RI'!V75</f>
        <v>0</v>
      </c>
      <c r="AD75" s="10">
        <f>+'A) Base RI'!W75</f>
        <v>0</v>
      </c>
      <c r="AE75" s="10">
        <f>+'A) Base RI'!Y75</f>
        <v>77762.3</v>
      </c>
      <c r="AF75" s="10">
        <f>+'A) Base RI'!Z75</f>
        <v>0</v>
      </c>
      <c r="AG75" s="10">
        <f>+'A) Base RI'!AA75</f>
        <v>411266.2</v>
      </c>
      <c r="AH75" s="10">
        <f>+'A) Base RI'!AB75</f>
        <v>0</v>
      </c>
      <c r="AI75" s="10">
        <f>+'A) Base RI'!AC75</f>
        <v>152725</v>
      </c>
      <c r="AJ75" s="10">
        <f>+'A) Base RI'!AD75</f>
        <v>40000</v>
      </c>
      <c r="AK75" s="10">
        <f>+'A) Base RI'!AE75</f>
        <v>0</v>
      </c>
      <c r="AL75" s="10">
        <f>+'A) Base RI'!AF75</f>
        <v>0</v>
      </c>
      <c r="AM75" s="10">
        <f>+'A) Base RI'!AG75</f>
        <v>0</v>
      </c>
      <c r="AN75" s="10">
        <f>+'A) Base RI'!AH75</f>
        <v>0</v>
      </c>
      <c r="AO75" s="10">
        <f>+'A) Base RI'!AI75</f>
        <v>0</v>
      </c>
      <c r="AP75" s="10">
        <f>+'A) Base RI'!AJ75</f>
        <v>0</v>
      </c>
      <c r="AQ75" s="10">
        <f>+'A) Base RI'!AK75</f>
        <v>0</v>
      </c>
      <c r="AR75" s="10">
        <f>'A) Base RI'!AN75</f>
        <v>1239</v>
      </c>
    </row>
    <row r="76" spans="1:44" x14ac:dyDescent="0.25">
      <c r="A76" s="8">
        <f>'A) Base RI'!A76</f>
        <v>5513</v>
      </c>
      <c r="B76" s="33" t="str">
        <f>'A) Base RI'!B76</f>
        <v>Bioley-Orjulaz</v>
      </c>
      <c r="C76" s="10">
        <f>'A) Base RI'!C76+'A) Base RI'!D76</f>
        <v>996941.74</v>
      </c>
      <c r="D76" s="10">
        <f>'A) Base RI'!AO76</f>
        <v>-713.56</v>
      </c>
      <c r="E76" s="32">
        <f>'A) Base RI'!AP76</f>
        <v>0</v>
      </c>
      <c r="F76" s="32">
        <f>'A) Base RI'!AQ76</f>
        <v>0</v>
      </c>
      <c r="G76" s="2">
        <f t="shared" si="6"/>
        <v>996228.17999999993</v>
      </c>
      <c r="H76" s="10">
        <f>+'A) Base RI'!E76</f>
        <v>0</v>
      </c>
      <c r="I76" s="10">
        <f>+'A) Base RI'!F76</f>
        <v>0</v>
      </c>
      <c r="J76" s="10">
        <f>+'A) Base RI'!G76+'A) Base RI'!H76</f>
        <v>389228.55</v>
      </c>
      <c r="K76" s="10">
        <f>+'A) Base RI'!I76</f>
        <v>0</v>
      </c>
      <c r="L76" s="10">
        <f>+'A) Base RI'!J76</f>
        <v>62663.54</v>
      </c>
      <c r="M76" s="10">
        <f>+'A) Base RI'!K76</f>
        <v>10562</v>
      </c>
      <c r="N76" s="10">
        <f>+'A) Base RI'!Q76</f>
        <v>0</v>
      </c>
      <c r="O76" s="10">
        <f t="shared" si="7"/>
        <v>112670.39999999999</v>
      </c>
      <c r="P76" s="10">
        <f>+'A) Base RI'!L76</f>
        <v>56335.199999999997</v>
      </c>
      <c r="Q76" s="35">
        <f>'A) Base RI'!AR76</f>
        <v>0.5</v>
      </c>
      <c r="R76" s="2">
        <f t="shared" si="8"/>
        <v>1571352.67</v>
      </c>
      <c r="S76" s="34">
        <f>+'A) Base RI'!AM76</f>
        <v>68</v>
      </c>
      <c r="T76" s="2">
        <f t="shared" si="9"/>
        <v>1448120.27</v>
      </c>
      <c r="U76" s="2">
        <f t="shared" si="10"/>
        <v>23108.127499999999</v>
      </c>
      <c r="V76" s="10">
        <f>+'A) Base RI'!O76</f>
        <v>0</v>
      </c>
      <c r="W76" s="10">
        <f>+'A) Base RI'!P76</f>
        <v>59089.3</v>
      </c>
      <c r="X76" s="10">
        <f>+'A) Base RI'!R76</f>
        <v>9593.5499999999993</v>
      </c>
      <c r="Y76" s="2">
        <f t="shared" si="11"/>
        <v>68682.850000000006</v>
      </c>
      <c r="Z76" s="10">
        <f>+'A) Base RI'!N76</f>
        <v>158106.54999999999</v>
      </c>
      <c r="AA76" s="10">
        <f>+'A) Base RI'!S76+'A) Base RI'!T76</f>
        <v>462</v>
      </c>
      <c r="AB76" s="10">
        <f>+'A) Base RI'!U76</f>
        <v>6450</v>
      </c>
      <c r="AC76" s="10">
        <f>+'A) Base RI'!V76</f>
        <v>0</v>
      </c>
      <c r="AD76" s="10">
        <f>+'A) Base RI'!W76</f>
        <v>0</v>
      </c>
      <c r="AE76" s="10">
        <f>+'A) Base RI'!Y76</f>
        <v>0</v>
      </c>
      <c r="AF76" s="10">
        <f>+'A) Base RI'!Z76</f>
        <v>0</v>
      </c>
      <c r="AG76" s="10">
        <f>+'A) Base RI'!AA76</f>
        <v>73807.45</v>
      </c>
      <c r="AH76" s="10">
        <f>+'A) Base RI'!AB76</f>
        <v>0</v>
      </c>
      <c r="AI76" s="10">
        <f>+'A) Base RI'!AC76</f>
        <v>39060.050000000003</v>
      </c>
      <c r="AJ76" s="10">
        <f>+'A) Base RI'!AD76</f>
        <v>0</v>
      </c>
      <c r="AK76" s="10">
        <f>+'A) Base RI'!AE76</f>
        <v>0</v>
      </c>
      <c r="AL76" s="10">
        <f>+'A) Base RI'!AF76</f>
        <v>0</v>
      </c>
      <c r="AM76" s="10">
        <f>+'A) Base RI'!AG76</f>
        <v>0</v>
      </c>
      <c r="AN76" s="10">
        <f>+'A) Base RI'!AH76</f>
        <v>0</v>
      </c>
      <c r="AO76" s="10">
        <f>+'A) Base RI'!AI76</f>
        <v>0</v>
      </c>
      <c r="AP76" s="10">
        <f>+'A) Base RI'!AJ76</f>
        <v>0</v>
      </c>
      <c r="AQ76" s="10">
        <f>+'A) Base RI'!AK76</f>
        <v>0</v>
      </c>
      <c r="AR76" s="10">
        <f>'A) Base RI'!AN76</f>
        <v>516</v>
      </c>
    </row>
    <row r="77" spans="1:44" x14ac:dyDescent="0.25">
      <c r="A77" s="8">
        <f>'A) Base RI'!A77</f>
        <v>5514</v>
      </c>
      <c r="B77" s="33" t="str">
        <f>'A) Base RI'!B77</f>
        <v>Bottens</v>
      </c>
      <c r="C77" s="10">
        <f>'A) Base RI'!C77+'A) Base RI'!D77</f>
        <v>2769658.7699999996</v>
      </c>
      <c r="D77" s="10">
        <f>'A) Base RI'!AO77</f>
        <v>-6816.55</v>
      </c>
      <c r="E77" s="32">
        <f>'A) Base RI'!AP77</f>
        <v>0</v>
      </c>
      <c r="F77" s="32">
        <f>'A) Base RI'!AQ77</f>
        <v>-13.81</v>
      </c>
      <c r="G77" s="2">
        <f t="shared" si="6"/>
        <v>2762828.4099999997</v>
      </c>
      <c r="H77" s="10">
        <f>+'A) Base RI'!E77</f>
        <v>0</v>
      </c>
      <c r="I77" s="10">
        <f>+'A) Base RI'!F77</f>
        <v>0</v>
      </c>
      <c r="J77" s="10">
        <f>+'A) Base RI'!G77+'A) Base RI'!H77</f>
        <v>40184.800000000003</v>
      </c>
      <c r="K77" s="10">
        <f>+'A) Base RI'!I77</f>
        <v>33969.65</v>
      </c>
      <c r="L77" s="10">
        <f>+'A) Base RI'!J77</f>
        <v>38285.629999999997</v>
      </c>
      <c r="M77" s="10">
        <f>+'A) Base RI'!K77</f>
        <v>4883</v>
      </c>
      <c r="N77" s="10">
        <f>+'A) Base RI'!Q77</f>
        <v>360.38</v>
      </c>
      <c r="O77" s="10">
        <f t="shared" si="7"/>
        <v>210677.85</v>
      </c>
      <c r="P77" s="10">
        <f>+'A) Base RI'!L77</f>
        <v>210677.85</v>
      </c>
      <c r="Q77" s="35">
        <f>'A) Base RI'!AR77</f>
        <v>1</v>
      </c>
      <c r="R77" s="2">
        <f t="shared" si="8"/>
        <v>3091189.7199999993</v>
      </c>
      <c r="S77" s="34">
        <f>+'A) Base RI'!AM77</f>
        <v>69</v>
      </c>
      <c r="T77" s="2">
        <f t="shared" si="9"/>
        <v>2875628.8699999992</v>
      </c>
      <c r="U77" s="2">
        <f t="shared" si="10"/>
        <v>44799.851014492742</v>
      </c>
      <c r="V77" s="10">
        <f>+'A) Base RI'!O77</f>
        <v>25144.2</v>
      </c>
      <c r="W77" s="10">
        <f>+'A) Base RI'!P77</f>
        <v>35961.199999999997</v>
      </c>
      <c r="X77" s="10">
        <f>+'A) Base RI'!R77</f>
        <v>44987.5</v>
      </c>
      <c r="Y77" s="2">
        <f t="shared" si="11"/>
        <v>106092.9</v>
      </c>
      <c r="Z77" s="10">
        <f>+'A) Base RI'!N77</f>
        <v>5404.9</v>
      </c>
      <c r="AA77" s="10">
        <f>+'A) Base RI'!S77+'A) Base RI'!T77</f>
        <v>1961.2</v>
      </c>
      <c r="AB77" s="10">
        <f>+'A) Base RI'!U77</f>
        <v>8880</v>
      </c>
      <c r="AC77" s="10">
        <f>+'A) Base RI'!V77</f>
        <v>0</v>
      </c>
      <c r="AD77" s="10">
        <f>+'A) Base RI'!W77</f>
        <v>0</v>
      </c>
      <c r="AE77" s="10">
        <f>+'A) Base RI'!Y77</f>
        <v>27742.2</v>
      </c>
      <c r="AF77" s="10">
        <f>+'A) Base RI'!Z77</f>
        <v>0</v>
      </c>
      <c r="AG77" s="10">
        <f>+'A) Base RI'!AA77</f>
        <v>302263.2</v>
      </c>
      <c r="AH77" s="10">
        <f>+'A) Base RI'!AB77</f>
        <v>0</v>
      </c>
      <c r="AI77" s="10">
        <f>+'A) Base RI'!AC77</f>
        <v>139382.35</v>
      </c>
      <c r="AJ77" s="10">
        <f>+'A) Base RI'!AD77</f>
        <v>19289.5</v>
      </c>
      <c r="AK77" s="10">
        <f>+'A) Base RI'!AE77</f>
        <v>0</v>
      </c>
      <c r="AL77" s="10">
        <f>+'A) Base RI'!AF77</f>
        <v>0</v>
      </c>
      <c r="AM77" s="10">
        <f>+'A) Base RI'!AG77</f>
        <v>0</v>
      </c>
      <c r="AN77" s="10">
        <f>+'A) Base RI'!AH77</f>
        <v>33638.25</v>
      </c>
      <c r="AO77" s="10">
        <f>+'A) Base RI'!AI77</f>
        <v>0</v>
      </c>
      <c r="AP77" s="10">
        <f>+'A) Base RI'!AJ77</f>
        <v>0</v>
      </c>
      <c r="AQ77" s="10">
        <f>+'A) Base RI'!AK77</f>
        <v>0</v>
      </c>
      <c r="AR77" s="10">
        <f>'A) Base RI'!AN77</f>
        <v>1298</v>
      </c>
    </row>
    <row r="78" spans="1:44" x14ac:dyDescent="0.25">
      <c r="A78" s="8">
        <f>'A) Base RI'!A78</f>
        <v>5515</v>
      </c>
      <c r="B78" s="33" t="str">
        <f>'A) Base RI'!B78</f>
        <v>Bretigny-sur-Morrens</v>
      </c>
      <c r="C78" s="10">
        <f>'A) Base RI'!C78+'A) Base RI'!D78</f>
        <v>2143162.35</v>
      </c>
      <c r="D78" s="10">
        <f>'A) Base RI'!AO78</f>
        <v>-31250.78</v>
      </c>
      <c r="E78" s="32">
        <f>'A) Base RI'!AP78</f>
        <v>-9871.0499999999993</v>
      </c>
      <c r="F78" s="32">
        <f>'A) Base RI'!AQ78</f>
        <v>-15.14</v>
      </c>
      <c r="G78" s="2">
        <f t="shared" si="6"/>
        <v>2102025.3800000004</v>
      </c>
      <c r="H78" s="10">
        <f>+'A) Base RI'!E78</f>
        <v>0</v>
      </c>
      <c r="I78" s="10">
        <f>+'A) Base RI'!F78</f>
        <v>0</v>
      </c>
      <c r="J78" s="10">
        <f>+'A) Base RI'!G78+'A) Base RI'!H78</f>
        <v>13954.75</v>
      </c>
      <c r="K78" s="10">
        <f>+'A) Base RI'!I78</f>
        <v>0</v>
      </c>
      <c r="L78" s="10">
        <f>+'A) Base RI'!J78</f>
        <v>45806.43</v>
      </c>
      <c r="M78" s="10">
        <f>+'A) Base RI'!K78</f>
        <v>4906.05</v>
      </c>
      <c r="N78" s="10">
        <f>+'A) Base RI'!Q78</f>
        <v>16241.2</v>
      </c>
      <c r="O78" s="10">
        <f t="shared" si="7"/>
        <v>158209.1</v>
      </c>
      <c r="P78" s="10">
        <f>+'A) Base RI'!L78</f>
        <v>158209.1</v>
      </c>
      <c r="Q78" s="35">
        <f>'A) Base RI'!AR78</f>
        <v>1</v>
      </c>
      <c r="R78" s="2">
        <f t="shared" si="8"/>
        <v>2341142.9100000006</v>
      </c>
      <c r="S78" s="34">
        <f>+'A) Base RI'!AM78</f>
        <v>81</v>
      </c>
      <c r="T78" s="2">
        <f t="shared" si="9"/>
        <v>2178027.7600000007</v>
      </c>
      <c r="U78" s="2">
        <f t="shared" si="10"/>
        <v>28902.998888888895</v>
      </c>
      <c r="V78" s="10">
        <f>+'A) Base RI'!O78</f>
        <v>0</v>
      </c>
      <c r="W78" s="10">
        <f>+'A) Base RI'!P78</f>
        <v>106043.3</v>
      </c>
      <c r="X78" s="10">
        <f>+'A) Base RI'!R78</f>
        <v>98244.7</v>
      </c>
      <c r="Y78" s="2">
        <f t="shared" si="11"/>
        <v>204288</v>
      </c>
      <c r="Z78" s="10">
        <f>+'A) Base RI'!N78</f>
        <v>6260.8</v>
      </c>
      <c r="AA78" s="10">
        <f>+'A) Base RI'!S78+'A) Base RI'!T78</f>
        <v>1136</v>
      </c>
      <c r="AB78" s="10">
        <f>+'A) Base RI'!U78</f>
        <v>6475</v>
      </c>
      <c r="AC78" s="10">
        <f>+'A) Base RI'!V78</f>
        <v>0</v>
      </c>
      <c r="AD78" s="10">
        <f>+'A) Base RI'!W78</f>
        <v>0</v>
      </c>
      <c r="AE78" s="10">
        <f>+'A) Base RI'!Y78</f>
        <v>351559.7</v>
      </c>
      <c r="AF78" s="10">
        <f>+'A) Base RI'!Z78</f>
        <v>0</v>
      </c>
      <c r="AG78" s="10">
        <f>+'A) Base RI'!AA78</f>
        <v>216839.65</v>
      </c>
      <c r="AH78" s="10">
        <f>+'A) Base RI'!AB78</f>
        <v>0</v>
      </c>
      <c r="AI78" s="10">
        <f>+'A) Base RI'!AC78</f>
        <v>81950</v>
      </c>
      <c r="AJ78" s="10">
        <f>+'A) Base RI'!AD78</f>
        <v>88513.85</v>
      </c>
      <c r="AK78" s="10">
        <f>+'A) Base RI'!AE78</f>
        <v>0</v>
      </c>
      <c r="AL78" s="10">
        <f>+'A) Base RI'!AF78</f>
        <v>0</v>
      </c>
      <c r="AM78" s="10">
        <f>+'A) Base RI'!AG78</f>
        <v>0</v>
      </c>
      <c r="AN78" s="10">
        <f>+'A) Base RI'!AH78</f>
        <v>0</v>
      </c>
      <c r="AO78" s="10">
        <f>+'A) Base RI'!AI78</f>
        <v>0</v>
      </c>
      <c r="AP78" s="10">
        <f>+'A) Base RI'!AJ78</f>
        <v>0</v>
      </c>
      <c r="AQ78" s="10">
        <f>+'A) Base RI'!AK78</f>
        <v>0</v>
      </c>
      <c r="AR78" s="10">
        <f>'A) Base RI'!AN78</f>
        <v>843</v>
      </c>
    </row>
    <row r="79" spans="1:44" x14ac:dyDescent="0.25">
      <c r="A79" s="8">
        <f>'A) Base RI'!A79</f>
        <v>5516</v>
      </c>
      <c r="B79" s="33" t="str">
        <f>'A) Base RI'!B79</f>
        <v>Cugy</v>
      </c>
      <c r="C79" s="10">
        <f>'A) Base RI'!C79+'A) Base RI'!D79</f>
        <v>7895267.9199999999</v>
      </c>
      <c r="D79" s="10">
        <f>'A) Base RI'!AO79</f>
        <v>-58074.95</v>
      </c>
      <c r="E79" s="32">
        <f>'A) Base RI'!AP79</f>
        <v>0</v>
      </c>
      <c r="F79" s="32">
        <f>'A) Base RI'!AQ79</f>
        <v>-801.17</v>
      </c>
      <c r="G79" s="2">
        <f t="shared" si="6"/>
        <v>7836391.7999999998</v>
      </c>
      <c r="H79" s="10">
        <f>+'A) Base RI'!E79</f>
        <v>0</v>
      </c>
      <c r="I79" s="10">
        <f>+'A) Base RI'!F79</f>
        <v>0</v>
      </c>
      <c r="J79" s="10">
        <f>+'A) Base RI'!G79+'A) Base RI'!H79</f>
        <v>129020.05</v>
      </c>
      <c r="K79" s="10">
        <f>+'A) Base RI'!I79</f>
        <v>0</v>
      </c>
      <c r="L79" s="10">
        <f>+'A) Base RI'!J79</f>
        <v>139190.34</v>
      </c>
      <c r="M79" s="10">
        <f>+'A) Base RI'!K79</f>
        <v>50364.55</v>
      </c>
      <c r="N79" s="10">
        <f>+'A) Base RI'!Q79</f>
        <v>5117</v>
      </c>
      <c r="O79" s="10">
        <f t="shared" si="7"/>
        <v>564574.00000000012</v>
      </c>
      <c r="P79" s="10">
        <f>+'A) Base RI'!L79</f>
        <v>677488.8</v>
      </c>
      <c r="Q79" s="35">
        <f>'A) Base RI'!AR79</f>
        <v>1.2</v>
      </c>
      <c r="R79" s="2">
        <f t="shared" si="8"/>
        <v>8724657.7400000002</v>
      </c>
      <c r="S79" s="34">
        <f>+'A) Base RI'!AM79</f>
        <v>78</v>
      </c>
      <c r="T79" s="2">
        <f t="shared" si="9"/>
        <v>8109719.1899999995</v>
      </c>
      <c r="U79" s="2">
        <f t="shared" si="10"/>
        <v>111854.58641025641</v>
      </c>
      <c r="V79" s="10">
        <f>+'A) Base RI'!O79</f>
        <v>730</v>
      </c>
      <c r="W79" s="10">
        <f>+'A) Base RI'!P79</f>
        <v>226670.85</v>
      </c>
      <c r="X79" s="10">
        <f>+'A) Base RI'!R79</f>
        <v>213237.7</v>
      </c>
      <c r="Y79" s="2">
        <f t="shared" si="11"/>
        <v>440638.55000000005</v>
      </c>
      <c r="Z79" s="10">
        <f>+'A) Base RI'!N79</f>
        <v>96390</v>
      </c>
      <c r="AA79" s="10">
        <f>+'A) Base RI'!S79+'A) Base RI'!T79</f>
        <v>12738.75</v>
      </c>
      <c r="AB79" s="10">
        <f>+'A) Base RI'!U79</f>
        <v>16400</v>
      </c>
      <c r="AC79" s="10">
        <f>+'A) Base RI'!V79</f>
        <v>0</v>
      </c>
      <c r="AD79" s="10">
        <f>+'A) Base RI'!W79</f>
        <v>0</v>
      </c>
      <c r="AE79" s="10">
        <f>+'A) Base RI'!Y79</f>
        <v>9800</v>
      </c>
      <c r="AF79" s="10">
        <f>+'A) Base RI'!Z79</f>
        <v>0</v>
      </c>
      <c r="AG79" s="10">
        <f>+'A) Base RI'!AA79</f>
        <v>455236.5</v>
      </c>
      <c r="AH79" s="10">
        <f>+'A) Base RI'!AB79</f>
        <v>0</v>
      </c>
      <c r="AI79" s="10">
        <f>+'A) Base RI'!AC79</f>
        <v>257155.3</v>
      </c>
      <c r="AJ79" s="10">
        <f>+'A) Base RI'!AD79</f>
        <v>8728.5</v>
      </c>
      <c r="AK79" s="10">
        <f>+'A) Base RI'!AE79</f>
        <v>0</v>
      </c>
      <c r="AL79" s="10">
        <f>+'A) Base RI'!AF79</f>
        <v>0</v>
      </c>
      <c r="AM79" s="10">
        <f>+'A) Base RI'!AG79</f>
        <v>0</v>
      </c>
      <c r="AN79" s="10">
        <f>+'A) Base RI'!AH79</f>
        <v>72938.850000000006</v>
      </c>
      <c r="AO79" s="10">
        <f>+'A) Base RI'!AI79</f>
        <v>0</v>
      </c>
      <c r="AP79" s="10">
        <f>+'A) Base RI'!AJ79</f>
        <v>0</v>
      </c>
      <c r="AQ79" s="10">
        <f>+'A) Base RI'!AK79</f>
        <v>0</v>
      </c>
      <c r="AR79" s="10">
        <f>'A) Base RI'!AN79</f>
        <v>2742</v>
      </c>
    </row>
    <row r="80" spans="1:44" x14ac:dyDescent="0.25">
      <c r="A80" s="8">
        <f>'A) Base RI'!A80</f>
        <v>5518</v>
      </c>
      <c r="B80" s="33" t="str">
        <f>'A) Base RI'!B80</f>
        <v>Echallens</v>
      </c>
      <c r="C80" s="10">
        <f>'A) Base RI'!C80+'A) Base RI'!D80</f>
        <v>11438548.419999998</v>
      </c>
      <c r="D80" s="10">
        <f>'A) Base RI'!AO80</f>
        <v>-341090.29</v>
      </c>
      <c r="E80" s="32">
        <f>'A) Base RI'!AP80</f>
        <v>0</v>
      </c>
      <c r="F80" s="32">
        <f>'A) Base RI'!AQ80</f>
        <v>-399.47</v>
      </c>
      <c r="G80" s="2">
        <f t="shared" si="6"/>
        <v>11097058.659999998</v>
      </c>
      <c r="H80" s="10">
        <f>+'A) Base RI'!E80</f>
        <v>0</v>
      </c>
      <c r="I80" s="10">
        <f>+'A) Base RI'!F80</f>
        <v>0</v>
      </c>
      <c r="J80" s="10">
        <f>+'A) Base RI'!G80+'A) Base RI'!H80</f>
        <v>1273292</v>
      </c>
      <c r="K80" s="10">
        <f>+'A) Base RI'!I80</f>
        <v>0</v>
      </c>
      <c r="L80" s="10">
        <f>+'A) Base RI'!J80</f>
        <v>236604.68</v>
      </c>
      <c r="M80" s="10">
        <f>+'A) Base RI'!K80</f>
        <v>110256.05</v>
      </c>
      <c r="N80" s="10">
        <f>+'A) Base RI'!Q80</f>
        <v>180315.06</v>
      </c>
      <c r="O80" s="10">
        <f t="shared" si="7"/>
        <v>1041274.05</v>
      </c>
      <c r="P80" s="10">
        <f>+'A) Base RI'!L80</f>
        <v>1041274.05</v>
      </c>
      <c r="Q80" s="35">
        <f>'A) Base RI'!AR80</f>
        <v>1</v>
      </c>
      <c r="R80" s="2">
        <f t="shared" si="8"/>
        <v>13938800.5</v>
      </c>
      <c r="S80" s="34">
        <f>+'A) Base RI'!AM80</f>
        <v>74</v>
      </c>
      <c r="T80" s="2">
        <f t="shared" si="9"/>
        <v>12787270.399999999</v>
      </c>
      <c r="U80" s="2">
        <f t="shared" si="10"/>
        <v>188362.16891891891</v>
      </c>
      <c r="V80" s="10">
        <f>+'A) Base RI'!O80</f>
        <v>-15166.2</v>
      </c>
      <c r="W80" s="10">
        <f>+'A) Base RI'!P80</f>
        <v>331738.55</v>
      </c>
      <c r="X80" s="10">
        <f>+'A) Base RI'!R80</f>
        <v>209401</v>
      </c>
      <c r="Y80" s="2">
        <f t="shared" si="11"/>
        <v>525973.35</v>
      </c>
      <c r="Z80" s="10">
        <f>+'A) Base RI'!N80</f>
        <v>190763.25</v>
      </c>
      <c r="AA80" s="10">
        <f>+'A) Base RI'!S80+'A) Base RI'!T80</f>
        <v>35536.050000000003</v>
      </c>
      <c r="AB80" s="10">
        <f>+'A) Base RI'!U80</f>
        <v>22925</v>
      </c>
      <c r="AC80" s="10">
        <f>+'A) Base RI'!V80</f>
        <v>0</v>
      </c>
      <c r="AD80" s="10">
        <f>+'A) Base RI'!W80</f>
        <v>594.75</v>
      </c>
      <c r="AE80" s="10">
        <f>+'A) Base RI'!Y80</f>
        <v>33132.65</v>
      </c>
      <c r="AF80" s="10" t="str">
        <f>+'A) Base RI'!Z80</f>
        <v/>
      </c>
      <c r="AG80" s="10">
        <f>+'A) Base RI'!AA80</f>
        <v>1050479.8500000001</v>
      </c>
      <c r="AH80" s="10" t="str">
        <f>+'A) Base RI'!AB80</f>
        <v/>
      </c>
      <c r="AI80" s="10">
        <f>+'A) Base RI'!AC80</f>
        <v>336662.75999999995</v>
      </c>
      <c r="AJ80" s="10">
        <f>+'A) Base RI'!AD80</f>
        <v>26876.45</v>
      </c>
      <c r="AK80" s="10" t="str">
        <f>+'A) Base RI'!AE80</f>
        <v/>
      </c>
      <c r="AL80" s="10" t="str">
        <f>+'A) Base RI'!AF80</f>
        <v/>
      </c>
      <c r="AM80" s="10" t="str">
        <f>+'A) Base RI'!AG80</f>
        <v/>
      </c>
      <c r="AN80" s="10">
        <f>+'A) Base RI'!AH80</f>
        <v>0</v>
      </c>
      <c r="AO80" s="10">
        <f>+'A) Base RI'!AI80</f>
        <v>0</v>
      </c>
      <c r="AP80" s="10">
        <f>+'A) Base RI'!AJ80</f>
        <v>0</v>
      </c>
      <c r="AQ80" s="10">
        <f>+'A) Base RI'!AK80</f>
        <v>0</v>
      </c>
      <c r="AR80" s="10">
        <f>'A) Base RI'!AN80</f>
        <v>5742</v>
      </c>
    </row>
    <row r="81" spans="1:44" x14ac:dyDescent="0.25">
      <c r="A81" s="8">
        <f>'A) Base RI'!A81</f>
        <v>5520</v>
      </c>
      <c r="B81" s="33" t="str">
        <f>'A) Base RI'!B81</f>
        <v>Essertines-sur-Yverdon</v>
      </c>
      <c r="C81" s="10">
        <f>'A) Base RI'!C81+'A) Base RI'!D81</f>
        <v>2118900.17</v>
      </c>
      <c r="D81" s="10">
        <f>'A) Base RI'!AO81</f>
        <v>-16786.490000000002</v>
      </c>
      <c r="E81" s="32">
        <f>'A) Base RI'!AP81</f>
        <v>0</v>
      </c>
      <c r="F81" s="32">
        <f>'A) Base RI'!AQ81</f>
        <v>-31.01</v>
      </c>
      <c r="G81" s="2">
        <f t="shared" si="6"/>
        <v>2102082.67</v>
      </c>
      <c r="H81" s="10">
        <f>+'A) Base RI'!E81</f>
        <v>0</v>
      </c>
      <c r="I81" s="10">
        <f>+'A) Base RI'!F81</f>
        <v>0</v>
      </c>
      <c r="J81" s="10">
        <f>+'A) Base RI'!G81+'A) Base RI'!H81</f>
        <v>17402.55</v>
      </c>
      <c r="K81" s="10">
        <f>+'A) Base RI'!I81</f>
        <v>0</v>
      </c>
      <c r="L81" s="10">
        <f>+'A) Base RI'!J81</f>
        <v>19387.86</v>
      </c>
      <c r="M81" s="10">
        <f>+'A) Base RI'!K81</f>
        <v>1895.25</v>
      </c>
      <c r="N81" s="10">
        <f>+'A) Base RI'!Q81</f>
        <v>11748.26</v>
      </c>
      <c r="O81" s="10">
        <f t="shared" si="7"/>
        <v>173750.65</v>
      </c>
      <c r="P81" s="10">
        <f>+'A) Base RI'!L81</f>
        <v>173750.65</v>
      </c>
      <c r="Q81" s="35">
        <f>'A) Base RI'!AR81</f>
        <v>1</v>
      </c>
      <c r="R81" s="2">
        <f t="shared" si="8"/>
        <v>2326267.2399999993</v>
      </c>
      <c r="S81" s="34">
        <f>+'A) Base RI'!AM81</f>
        <v>73</v>
      </c>
      <c r="T81" s="2">
        <f t="shared" si="9"/>
        <v>2150621.3399999994</v>
      </c>
      <c r="U81" s="2">
        <f t="shared" si="10"/>
        <v>31866.674520547935</v>
      </c>
      <c r="V81" s="10">
        <f>+'A) Base RI'!O81</f>
        <v>44088</v>
      </c>
      <c r="W81" s="10">
        <f>+'A) Base RI'!P81</f>
        <v>102119.4</v>
      </c>
      <c r="X81" s="10">
        <f>+'A) Base RI'!R81</f>
        <v>73413.899999999994</v>
      </c>
      <c r="Y81" s="2">
        <f t="shared" si="11"/>
        <v>219621.3</v>
      </c>
      <c r="Z81" s="10">
        <f>+'A) Base RI'!N81</f>
        <v>6976.6</v>
      </c>
      <c r="AA81" s="10">
        <f>+'A) Base RI'!S81+'A) Base RI'!T81</f>
        <v>1043</v>
      </c>
      <c r="AB81" s="10">
        <f>+'A) Base RI'!U81</f>
        <v>11300</v>
      </c>
      <c r="AC81" s="10">
        <f>+'A) Base RI'!V81</f>
        <v>0</v>
      </c>
      <c r="AD81" s="10">
        <f>+'A) Base RI'!W81</f>
        <v>0</v>
      </c>
      <c r="AE81" s="10">
        <f>+'A) Base RI'!Y81</f>
        <v>10008</v>
      </c>
      <c r="AF81" s="10">
        <f>+'A) Base RI'!Z81</f>
        <v>59466.85</v>
      </c>
      <c r="AG81" s="10">
        <f>+'A) Base RI'!AA81</f>
        <v>102967.1</v>
      </c>
      <c r="AH81" s="10">
        <f>+'A) Base RI'!AB81</f>
        <v>0</v>
      </c>
      <c r="AI81" s="10">
        <f>+'A) Base RI'!AC81</f>
        <v>66788.45</v>
      </c>
      <c r="AJ81" s="10">
        <f>+'A) Base RI'!AD81</f>
        <v>10968</v>
      </c>
      <c r="AK81" s="10">
        <f>+'A) Base RI'!AE81</f>
        <v>31040</v>
      </c>
      <c r="AL81" s="10">
        <f>+'A) Base RI'!AF81</f>
        <v>0</v>
      </c>
      <c r="AM81" s="10">
        <f>+'A) Base RI'!AG81</f>
        <v>0</v>
      </c>
      <c r="AN81" s="10">
        <f>+'A) Base RI'!AH81</f>
        <v>0</v>
      </c>
      <c r="AO81" s="10">
        <f>+'A) Base RI'!AI81</f>
        <v>0</v>
      </c>
      <c r="AP81" s="10">
        <f>+'A) Base RI'!AJ81</f>
        <v>0</v>
      </c>
      <c r="AQ81" s="10">
        <f>+'A) Base RI'!AK81</f>
        <v>0</v>
      </c>
      <c r="AR81" s="10">
        <f>'A) Base RI'!AN81</f>
        <v>1024</v>
      </c>
    </row>
    <row r="82" spans="1:44" x14ac:dyDescent="0.25">
      <c r="A82" s="8">
        <f>'A) Base RI'!A82</f>
        <v>5521</v>
      </c>
      <c r="B82" s="33" t="str">
        <f>'A) Base RI'!B82</f>
        <v>Etagnières</v>
      </c>
      <c r="C82" s="10">
        <f>'A) Base RI'!C82+'A) Base RI'!D82</f>
        <v>2680587.73</v>
      </c>
      <c r="D82" s="10">
        <f>'A) Base RI'!AO82</f>
        <v>-35773.68</v>
      </c>
      <c r="E82" s="32">
        <f>'A) Base RI'!AP82</f>
        <v>0</v>
      </c>
      <c r="F82" s="32">
        <f>'A) Base RI'!AQ82</f>
        <v>-35.909999999999997</v>
      </c>
      <c r="G82" s="2">
        <f t="shared" si="6"/>
        <v>2644778.1399999997</v>
      </c>
      <c r="H82" s="10">
        <f>+'A) Base RI'!E82</f>
        <v>0</v>
      </c>
      <c r="I82" s="10">
        <f>+'A) Base RI'!F82</f>
        <v>0</v>
      </c>
      <c r="J82" s="10">
        <f>+'A) Base RI'!G82+'A) Base RI'!H82</f>
        <v>180659.7</v>
      </c>
      <c r="K82" s="10">
        <f>+'A) Base RI'!I82</f>
        <v>0</v>
      </c>
      <c r="L82" s="10">
        <f>+'A) Base RI'!J82</f>
        <v>39857.69</v>
      </c>
      <c r="M82" s="10">
        <f>+'A) Base RI'!K82</f>
        <v>14596.25</v>
      </c>
      <c r="N82" s="10">
        <f>+'A) Base RI'!Q82</f>
        <v>13962.1</v>
      </c>
      <c r="O82" s="10">
        <f t="shared" si="7"/>
        <v>244089.7</v>
      </c>
      <c r="P82" s="10">
        <f>+'A) Base RI'!L82</f>
        <v>244089.7</v>
      </c>
      <c r="Q82" s="35">
        <f>'A) Base RI'!AR82</f>
        <v>1</v>
      </c>
      <c r="R82" s="2">
        <f t="shared" si="8"/>
        <v>3137943.58</v>
      </c>
      <c r="S82" s="34">
        <f>+'A) Base RI'!AM82</f>
        <v>73</v>
      </c>
      <c r="T82" s="2">
        <f t="shared" si="9"/>
        <v>2879257.63</v>
      </c>
      <c r="U82" s="2">
        <f t="shared" si="10"/>
        <v>42985.528493150683</v>
      </c>
      <c r="V82" s="10">
        <f>+'A) Base RI'!O82</f>
        <v>11582.8</v>
      </c>
      <c r="W82" s="10">
        <f>+'A) Base RI'!P82</f>
        <v>123693.3</v>
      </c>
      <c r="X82" s="10">
        <f>+'A) Base RI'!R82</f>
        <v>23177.200000000001</v>
      </c>
      <c r="Y82" s="2">
        <f t="shared" si="11"/>
        <v>158453.30000000002</v>
      </c>
      <c r="Z82" s="10">
        <f>+'A) Base RI'!N82</f>
        <v>55180.35</v>
      </c>
      <c r="AA82" s="10">
        <f>+'A) Base RI'!S82+'A) Base RI'!T82</f>
        <v>0</v>
      </c>
      <c r="AB82" s="10">
        <f>+'A) Base RI'!U82</f>
        <v>6100</v>
      </c>
      <c r="AC82" s="10">
        <f>+'A) Base RI'!V82</f>
        <v>0</v>
      </c>
      <c r="AD82" s="10">
        <f>+'A) Base RI'!W82</f>
        <v>0</v>
      </c>
      <c r="AE82" s="10">
        <f>+'A) Base RI'!Y82</f>
        <v>73640</v>
      </c>
      <c r="AF82" s="10">
        <f>+'A) Base RI'!Z82</f>
        <v>17290</v>
      </c>
      <c r="AG82" s="10">
        <f>+'A) Base RI'!AA82</f>
        <v>224745.31</v>
      </c>
      <c r="AH82" s="10">
        <f>+'A) Base RI'!AB82</f>
        <v>0</v>
      </c>
      <c r="AI82" s="10">
        <f>+'A) Base RI'!AC82</f>
        <v>104064.72</v>
      </c>
      <c r="AJ82" s="10">
        <f>+'A) Base RI'!AD82</f>
        <v>0</v>
      </c>
      <c r="AK82" s="10">
        <f>+'A) Base RI'!AE82</f>
        <v>0</v>
      </c>
      <c r="AL82" s="10">
        <f>+'A) Base RI'!AF82</f>
        <v>0</v>
      </c>
      <c r="AM82" s="10">
        <f>+'A) Base RI'!AG82</f>
        <v>0</v>
      </c>
      <c r="AN82" s="10">
        <f>+'A) Base RI'!AH82</f>
        <v>32227.05</v>
      </c>
      <c r="AO82" s="10">
        <f>+'A) Base RI'!AI82</f>
        <v>0</v>
      </c>
      <c r="AP82" s="10">
        <f>+'A) Base RI'!AJ82</f>
        <v>0</v>
      </c>
      <c r="AQ82" s="10">
        <f>+'A) Base RI'!AK82</f>
        <v>0</v>
      </c>
      <c r="AR82" s="10">
        <f>'A) Base RI'!AN82</f>
        <v>1118</v>
      </c>
    </row>
    <row r="83" spans="1:44" x14ac:dyDescent="0.25">
      <c r="A83" s="8">
        <f>'A) Base RI'!A83</f>
        <v>5522</v>
      </c>
      <c r="B83" s="33" t="str">
        <f>'A) Base RI'!B83</f>
        <v>Fey</v>
      </c>
      <c r="C83" s="10">
        <f>'A) Base RI'!C83+'A) Base RI'!D83</f>
        <v>1446866.38</v>
      </c>
      <c r="D83" s="10">
        <f>'A) Base RI'!AO83</f>
        <v>-16654.57</v>
      </c>
      <c r="E83" s="32">
        <f>'A) Base RI'!AP83</f>
        <v>0</v>
      </c>
      <c r="F83" s="32">
        <f>'A) Base RI'!AQ83</f>
        <v>-0.08</v>
      </c>
      <c r="G83" s="2">
        <f t="shared" si="6"/>
        <v>1430211.7299999997</v>
      </c>
      <c r="H83" s="10">
        <f>+'A) Base RI'!E83</f>
        <v>0</v>
      </c>
      <c r="I83" s="10">
        <f>+'A) Base RI'!F83</f>
        <v>0</v>
      </c>
      <c r="J83" s="10">
        <f>+'A) Base RI'!G83+'A) Base RI'!H83</f>
        <v>64071.35</v>
      </c>
      <c r="K83" s="10">
        <f>+'A) Base RI'!I83</f>
        <v>0</v>
      </c>
      <c r="L83" s="10">
        <f>+'A) Base RI'!J83</f>
        <v>25943.21</v>
      </c>
      <c r="M83" s="10">
        <f>+'A) Base RI'!K83</f>
        <v>2192.9</v>
      </c>
      <c r="N83" s="10">
        <f>+'A) Base RI'!Q83</f>
        <v>0</v>
      </c>
      <c r="O83" s="10">
        <f t="shared" si="7"/>
        <v>121092.4</v>
      </c>
      <c r="P83" s="10">
        <f>+'A) Base RI'!L83</f>
        <v>121092.4</v>
      </c>
      <c r="Q83" s="35">
        <f>'A) Base RI'!AR83</f>
        <v>1</v>
      </c>
      <c r="R83" s="2">
        <f t="shared" si="8"/>
        <v>1643511.5899999996</v>
      </c>
      <c r="S83" s="34">
        <f>+'A) Base RI'!AM83</f>
        <v>75</v>
      </c>
      <c r="T83" s="2">
        <f t="shared" si="9"/>
        <v>1520226.2899999998</v>
      </c>
      <c r="U83" s="2">
        <f t="shared" si="10"/>
        <v>21913.487866666663</v>
      </c>
      <c r="V83" s="10">
        <f>+'A) Base RI'!O83</f>
        <v>18267.2</v>
      </c>
      <c r="W83" s="10">
        <f>+'A) Base RI'!P83</f>
        <v>49332.35</v>
      </c>
      <c r="X83" s="10">
        <f>+'A) Base RI'!R83</f>
        <v>44424.9</v>
      </c>
      <c r="Y83" s="2">
        <f t="shared" si="11"/>
        <v>112024.45000000001</v>
      </c>
      <c r="Z83" s="10">
        <f>+'A) Base RI'!N83</f>
        <v>16661.849999999999</v>
      </c>
      <c r="AA83" s="10">
        <f>+'A) Base RI'!S83+'A) Base RI'!T83</f>
        <v>1330</v>
      </c>
      <c r="AB83" s="10">
        <f>+'A) Base RI'!U83</f>
        <v>3075</v>
      </c>
      <c r="AC83" s="10" t="str">
        <f>+'A) Base RI'!V83</f>
        <v/>
      </c>
      <c r="AD83" s="10" t="str">
        <f>+'A) Base RI'!W83</f>
        <v/>
      </c>
      <c r="AE83" s="10">
        <f>+'A) Base RI'!Y83</f>
        <v>2000</v>
      </c>
      <c r="AF83" s="10" t="str">
        <f>+'A) Base RI'!Z83</f>
        <v/>
      </c>
      <c r="AG83" s="10">
        <f>+'A) Base RI'!AA83</f>
        <v>82817.5</v>
      </c>
      <c r="AH83" s="10" t="str">
        <f>+'A) Base RI'!AB83</f>
        <v/>
      </c>
      <c r="AI83" s="10">
        <f>+'A) Base RI'!AC83</f>
        <v>32080</v>
      </c>
      <c r="AJ83" s="10">
        <f>+'A) Base RI'!AD83</f>
        <v>53.65</v>
      </c>
      <c r="AK83" s="10" t="str">
        <f>+'A) Base RI'!AE83</f>
        <v/>
      </c>
      <c r="AL83" s="10" t="str">
        <f>+'A) Base RI'!AF83</f>
        <v/>
      </c>
      <c r="AM83" s="10" t="str">
        <f>+'A) Base RI'!AG83</f>
        <v/>
      </c>
      <c r="AN83" s="10">
        <f>+'A) Base RI'!AH83</f>
        <v>0</v>
      </c>
      <c r="AO83" s="10">
        <f>+'A) Base RI'!AI83</f>
        <v>0</v>
      </c>
      <c r="AP83" s="10">
        <f>+'A) Base RI'!AJ83</f>
        <v>0</v>
      </c>
      <c r="AQ83" s="10">
        <f>+'A) Base RI'!AK83</f>
        <v>0</v>
      </c>
      <c r="AR83" s="10">
        <f>'A) Base RI'!AN83</f>
        <v>734</v>
      </c>
    </row>
    <row r="84" spans="1:44" x14ac:dyDescent="0.25">
      <c r="A84" s="8">
        <f>'A) Base RI'!A84</f>
        <v>5523</v>
      </c>
      <c r="B84" s="33" t="str">
        <f>'A) Base RI'!B84</f>
        <v>Froideville</v>
      </c>
      <c r="C84" s="10">
        <f>'A) Base RI'!C84+'A) Base RI'!D84</f>
        <v>5650594.0499999998</v>
      </c>
      <c r="D84" s="10">
        <f>'A) Base RI'!AO84</f>
        <v>-67792.990000000005</v>
      </c>
      <c r="E84" s="32">
        <f>'A) Base RI'!AP84</f>
        <v>0</v>
      </c>
      <c r="F84" s="32">
        <f>'A) Base RI'!AQ84</f>
        <v>-71.8</v>
      </c>
      <c r="G84" s="2">
        <f t="shared" si="6"/>
        <v>5582729.2599999998</v>
      </c>
      <c r="H84" s="10">
        <f>+'A) Base RI'!E84</f>
        <v>0</v>
      </c>
      <c r="I84" s="10">
        <f>+'A) Base RI'!F84</f>
        <v>14310</v>
      </c>
      <c r="J84" s="10">
        <f>+'A) Base RI'!G84+'A) Base RI'!H84</f>
        <v>52579.05</v>
      </c>
      <c r="K84" s="10">
        <f>+'A) Base RI'!I84</f>
        <v>29419.200000000001</v>
      </c>
      <c r="L84" s="10">
        <f>+'A) Base RI'!J84</f>
        <v>96703.59</v>
      </c>
      <c r="M84" s="10">
        <f>+'A) Base RI'!K84</f>
        <v>17888.5</v>
      </c>
      <c r="N84" s="10">
        <f>+'A) Base RI'!Q84</f>
        <v>40536.46</v>
      </c>
      <c r="O84" s="10">
        <f t="shared" si="7"/>
        <v>488384.84</v>
      </c>
      <c r="P84" s="10">
        <f>+'A) Base RI'!L84</f>
        <v>610481.05000000005</v>
      </c>
      <c r="Q84" s="35">
        <f>'A) Base RI'!AR84</f>
        <v>1.25</v>
      </c>
      <c r="R84" s="2">
        <f t="shared" si="8"/>
        <v>6322550.8999999994</v>
      </c>
      <c r="S84" s="34">
        <f>+'A) Base RI'!AM84</f>
        <v>76</v>
      </c>
      <c r="T84" s="2">
        <f t="shared" si="9"/>
        <v>5801967.5599999996</v>
      </c>
      <c r="U84" s="2">
        <f t="shared" si="10"/>
        <v>83191.459210526315</v>
      </c>
      <c r="V84" s="10">
        <f>+'A) Base RI'!O84</f>
        <v>7359.8</v>
      </c>
      <c r="W84" s="10">
        <f>+'A) Base RI'!P84</f>
        <v>186943.35</v>
      </c>
      <c r="X84" s="10">
        <f>+'A) Base RI'!R84</f>
        <v>124010.55</v>
      </c>
      <c r="Y84" s="2">
        <f t="shared" si="11"/>
        <v>318313.7</v>
      </c>
      <c r="Z84" s="10">
        <f>+'A) Base RI'!N84</f>
        <v>4694.8999999999996</v>
      </c>
      <c r="AA84" s="10">
        <f>+'A) Base RI'!S84+'A) Base RI'!T84</f>
        <v>2631.35</v>
      </c>
      <c r="AB84" s="10">
        <f>+'A) Base RI'!U84</f>
        <v>14325</v>
      </c>
      <c r="AC84" s="10">
        <f>+'A) Base RI'!V84</f>
        <v>0</v>
      </c>
      <c r="AD84" s="10">
        <f>+'A) Base RI'!W84</f>
        <v>0</v>
      </c>
      <c r="AE84" s="10">
        <f>+'A) Base RI'!Y84</f>
        <v>174951.2</v>
      </c>
      <c r="AF84" s="10">
        <f>+'A) Base RI'!Z84</f>
        <v>0</v>
      </c>
      <c r="AG84" s="10">
        <f>+'A) Base RI'!AA84</f>
        <v>504846.9</v>
      </c>
      <c r="AH84" s="10">
        <f>+'A) Base RI'!AB84</f>
        <v>0</v>
      </c>
      <c r="AI84" s="10">
        <f>+'A) Base RI'!AC84</f>
        <v>155473.79999999999</v>
      </c>
      <c r="AJ84" s="10">
        <f>+'A) Base RI'!AD84</f>
        <v>191750.7</v>
      </c>
      <c r="AK84" s="10">
        <f>+'A) Base RI'!AE84</f>
        <v>0</v>
      </c>
      <c r="AL84" s="10">
        <f>+'A) Base RI'!AF84</f>
        <v>0</v>
      </c>
      <c r="AM84" s="10">
        <f>+'A) Base RI'!AG84</f>
        <v>0</v>
      </c>
      <c r="AN84" s="10">
        <f>+'A) Base RI'!AH84</f>
        <v>54151.05</v>
      </c>
      <c r="AO84" s="10">
        <f>+'A) Base RI'!AI84</f>
        <v>0</v>
      </c>
      <c r="AP84" s="10">
        <f>+'A) Base RI'!AJ84</f>
        <v>0</v>
      </c>
      <c r="AQ84" s="10">
        <f>+'A) Base RI'!AK84</f>
        <v>0</v>
      </c>
      <c r="AR84" s="10">
        <f>'A) Base RI'!AN84</f>
        <v>2576</v>
      </c>
    </row>
    <row r="85" spans="1:44" x14ac:dyDescent="0.25">
      <c r="A85" s="8">
        <f>'A) Base RI'!A85</f>
        <v>5527</v>
      </c>
      <c r="B85" s="33" t="str">
        <f>'A) Base RI'!B85</f>
        <v>Morrens</v>
      </c>
      <c r="C85" s="10">
        <f>'A) Base RI'!C85+'A) Base RI'!D85</f>
        <v>2572798.2000000002</v>
      </c>
      <c r="D85" s="10">
        <f>'A) Base RI'!AO85</f>
        <v>-35052.620000000003</v>
      </c>
      <c r="E85" s="32">
        <f>'A) Base RI'!AP85</f>
        <v>-853.3</v>
      </c>
      <c r="F85" s="32">
        <f>'A) Base RI'!AQ85</f>
        <v>-12.04</v>
      </c>
      <c r="G85" s="2">
        <f t="shared" si="6"/>
        <v>2536880.2400000002</v>
      </c>
      <c r="H85" s="10">
        <f>+'A) Base RI'!E85</f>
        <v>0</v>
      </c>
      <c r="I85" s="10">
        <f>+'A) Base RI'!F85</f>
        <v>0</v>
      </c>
      <c r="J85" s="10">
        <f>+'A) Base RI'!G85+'A) Base RI'!H85</f>
        <v>-1514.1499999999999</v>
      </c>
      <c r="K85" s="10">
        <f>+'A) Base RI'!I85</f>
        <v>0</v>
      </c>
      <c r="L85" s="10">
        <f>+'A) Base RI'!J85</f>
        <v>36379.5</v>
      </c>
      <c r="M85" s="10">
        <f>+'A) Base RI'!K85</f>
        <v>2709.25</v>
      </c>
      <c r="N85" s="10">
        <f>+'A) Base RI'!Q85</f>
        <v>7544.42</v>
      </c>
      <c r="O85" s="10">
        <f t="shared" si="7"/>
        <v>217631.95</v>
      </c>
      <c r="P85" s="10">
        <f>+'A) Base RI'!L85</f>
        <v>217631.95</v>
      </c>
      <c r="Q85" s="35">
        <f>'A) Base RI'!AR85</f>
        <v>1</v>
      </c>
      <c r="R85" s="2">
        <f t="shared" si="8"/>
        <v>2799631.2100000004</v>
      </c>
      <c r="S85" s="34">
        <f>+'A) Base RI'!AM85</f>
        <v>74</v>
      </c>
      <c r="T85" s="2">
        <f t="shared" si="9"/>
        <v>2579290.0100000002</v>
      </c>
      <c r="U85" s="2">
        <f t="shared" si="10"/>
        <v>37832.854189189195</v>
      </c>
      <c r="V85" s="10">
        <f>+'A) Base RI'!O85</f>
        <v>346.2</v>
      </c>
      <c r="W85" s="10">
        <f>+'A) Base RI'!P85</f>
        <v>152170.65</v>
      </c>
      <c r="X85" s="10">
        <f>+'A) Base RI'!R85</f>
        <v>111776.65</v>
      </c>
      <c r="Y85" s="2">
        <f t="shared" si="11"/>
        <v>264293.5</v>
      </c>
      <c r="Z85" s="10">
        <f>+'A) Base RI'!N85</f>
        <v>9200.9500000000007</v>
      </c>
      <c r="AA85" s="10">
        <f>+'A) Base RI'!S85+'A) Base RI'!T85</f>
        <v>850</v>
      </c>
      <c r="AB85" s="10">
        <f>+'A) Base RI'!U85</f>
        <v>10150</v>
      </c>
      <c r="AC85" s="10">
        <f>+'A) Base RI'!V85</f>
        <v>0</v>
      </c>
      <c r="AD85" s="10">
        <f>+'A) Base RI'!W85</f>
        <v>0</v>
      </c>
      <c r="AE85" s="10">
        <f>+'A) Base RI'!Y85</f>
        <v>47700.75</v>
      </c>
      <c r="AF85" s="10">
        <f>+'A) Base RI'!Z85</f>
        <v>0</v>
      </c>
      <c r="AG85" s="10">
        <f>+'A) Base RI'!AA85</f>
        <v>191541.75</v>
      </c>
      <c r="AH85" s="10">
        <f>+'A) Base RI'!AB85</f>
        <v>0</v>
      </c>
      <c r="AI85" s="10">
        <f>+'A) Base RI'!AC85</f>
        <v>82282.05</v>
      </c>
      <c r="AJ85" s="10">
        <f>+'A) Base RI'!AD85</f>
        <v>49734</v>
      </c>
      <c r="AK85" s="10">
        <f>+'A) Base RI'!AE85</f>
        <v>0</v>
      </c>
      <c r="AL85" s="10">
        <f>+'A) Base RI'!AF85</f>
        <v>0</v>
      </c>
      <c r="AM85" s="10">
        <f>+'A) Base RI'!AG85</f>
        <v>0</v>
      </c>
      <c r="AN85" s="10">
        <f>+'A) Base RI'!AH85</f>
        <v>30772.35</v>
      </c>
      <c r="AO85" s="10">
        <f>+'A) Base RI'!AI85</f>
        <v>0</v>
      </c>
      <c r="AP85" s="10">
        <f>+'A) Base RI'!AJ85</f>
        <v>0</v>
      </c>
      <c r="AQ85" s="10">
        <f>+'A) Base RI'!AK85</f>
        <v>0</v>
      </c>
      <c r="AR85" s="10">
        <f>'A) Base RI'!AN85</f>
        <v>1077</v>
      </c>
    </row>
    <row r="86" spans="1:44" x14ac:dyDescent="0.25">
      <c r="A86" s="8">
        <f>'A) Base RI'!A86</f>
        <v>5529</v>
      </c>
      <c r="B86" s="33" t="str">
        <f>'A) Base RI'!B86</f>
        <v>Oulens-sous-Echallens</v>
      </c>
      <c r="C86" s="10">
        <f>'A) Base RI'!C86+'A) Base RI'!D86</f>
        <v>1384170.75</v>
      </c>
      <c r="D86" s="10">
        <f>'A) Base RI'!AO86</f>
        <v>-10309.91</v>
      </c>
      <c r="E86" s="32">
        <f>'A) Base RI'!AP86</f>
        <v>0</v>
      </c>
      <c r="F86" s="32">
        <f>'A) Base RI'!AQ86</f>
        <v>-14.79</v>
      </c>
      <c r="G86" s="2">
        <f t="shared" si="6"/>
        <v>1373846.05</v>
      </c>
      <c r="H86" s="10">
        <f>+'A) Base RI'!E86</f>
        <v>0</v>
      </c>
      <c r="I86" s="10">
        <f>+'A) Base RI'!F86</f>
        <v>0</v>
      </c>
      <c r="J86" s="10">
        <f>+'A) Base RI'!G86+'A) Base RI'!H86</f>
        <v>21265.050000000003</v>
      </c>
      <c r="K86" s="10">
        <f>+'A) Base RI'!I86</f>
        <v>0</v>
      </c>
      <c r="L86" s="10">
        <f>+'A) Base RI'!J86</f>
        <v>12599.56</v>
      </c>
      <c r="M86" s="10">
        <f>+'A) Base RI'!K86</f>
        <v>2516.75</v>
      </c>
      <c r="N86" s="10">
        <f>+'A) Base RI'!Q86</f>
        <v>0</v>
      </c>
      <c r="O86" s="10">
        <f t="shared" si="7"/>
        <v>106236.7</v>
      </c>
      <c r="P86" s="10">
        <f>+'A) Base RI'!L86</f>
        <v>106236.7</v>
      </c>
      <c r="Q86" s="35">
        <f>'A) Base RI'!AR86</f>
        <v>1</v>
      </c>
      <c r="R86" s="2">
        <f t="shared" si="8"/>
        <v>1516464.11</v>
      </c>
      <c r="S86" s="34">
        <f>+'A) Base RI'!AM86</f>
        <v>71</v>
      </c>
      <c r="T86" s="2">
        <f t="shared" si="9"/>
        <v>1407710.6600000001</v>
      </c>
      <c r="U86" s="2">
        <f t="shared" si="10"/>
        <v>21358.649436619718</v>
      </c>
      <c r="V86" s="10">
        <f>+'A) Base RI'!O86</f>
        <v>0</v>
      </c>
      <c r="W86" s="10">
        <f>+'A) Base RI'!P86</f>
        <v>27451.9</v>
      </c>
      <c r="X86" s="10">
        <f>+'A) Base RI'!R86</f>
        <v>33140.5</v>
      </c>
      <c r="Y86" s="2">
        <f t="shared" si="11"/>
        <v>60592.4</v>
      </c>
      <c r="Z86" s="10">
        <f>+'A) Base RI'!N86</f>
        <v>490.85</v>
      </c>
      <c r="AA86" s="10">
        <f>+'A) Base RI'!S86+'A) Base RI'!T86</f>
        <v>607</v>
      </c>
      <c r="AB86" s="10">
        <f>+'A) Base RI'!U86</f>
        <v>3360</v>
      </c>
      <c r="AC86" s="10">
        <f>+'A) Base RI'!V86</f>
        <v>0</v>
      </c>
      <c r="AD86" s="10">
        <f>+'A) Base RI'!W86</f>
        <v>0</v>
      </c>
      <c r="AE86" s="10">
        <f>+'A) Base RI'!Y86</f>
        <v>6240</v>
      </c>
      <c r="AF86" s="10">
        <f>+'A) Base RI'!Z86</f>
        <v>0</v>
      </c>
      <c r="AG86" s="10">
        <f>+'A) Base RI'!AA86</f>
        <v>34088.5</v>
      </c>
      <c r="AH86" s="10">
        <f>+'A) Base RI'!AB86</f>
        <v>0</v>
      </c>
      <c r="AI86" s="10">
        <f>+'A) Base RI'!AC86</f>
        <v>44634.85</v>
      </c>
      <c r="AJ86" s="10">
        <f>+'A) Base RI'!AD86</f>
        <v>3120</v>
      </c>
      <c r="AK86" s="10">
        <f>+'A) Base RI'!AE86</f>
        <v>0</v>
      </c>
      <c r="AL86" s="10">
        <f>+'A) Base RI'!AF86</f>
        <v>0</v>
      </c>
      <c r="AM86" s="10">
        <f>+'A) Base RI'!AG86</f>
        <v>0</v>
      </c>
      <c r="AN86" s="10">
        <f>+'A) Base RI'!AH86</f>
        <v>0</v>
      </c>
      <c r="AO86" s="10">
        <f>+'A) Base RI'!AI86</f>
        <v>0</v>
      </c>
      <c r="AP86" s="10">
        <f>+'A) Base RI'!AJ86</f>
        <v>0</v>
      </c>
      <c r="AQ86" s="10">
        <f>+'A) Base RI'!AK86</f>
        <v>0</v>
      </c>
      <c r="AR86" s="10">
        <f>'A) Base RI'!AN86</f>
        <v>611</v>
      </c>
    </row>
    <row r="87" spans="1:44" x14ac:dyDescent="0.25">
      <c r="A87" s="8">
        <f>'A) Base RI'!A87</f>
        <v>5530</v>
      </c>
      <c r="B87" s="33" t="str">
        <f>'A) Base RI'!B87</f>
        <v>Pailly</v>
      </c>
      <c r="C87" s="10">
        <f>'A) Base RI'!C87+'A) Base RI'!D87</f>
        <v>1182435.52</v>
      </c>
      <c r="D87" s="10">
        <f>'A) Base RI'!AO87</f>
        <v>-14238.15</v>
      </c>
      <c r="E87" s="32">
        <f>'A) Base RI'!AP87</f>
        <v>-2145.3000000000002</v>
      </c>
      <c r="F87" s="32">
        <f>'A) Base RI'!AQ87</f>
        <v>0</v>
      </c>
      <c r="G87" s="2">
        <f t="shared" si="6"/>
        <v>1166052.07</v>
      </c>
      <c r="H87" s="10">
        <f>+'A) Base RI'!E87</f>
        <v>0</v>
      </c>
      <c r="I87" s="10">
        <f>+'A) Base RI'!F87</f>
        <v>0</v>
      </c>
      <c r="J87" s="10">
        <f>+'A) Base RI'!G87+'A) Base RI'!H87</f>
        <v>65489.95</v>
      </c>
      <c r="K87" s="10">
        <f>+'A) Base RI'!I87</f>
        <v>0</v>
      </c>
      <c r="L87" s="10">
        <f>+'A) Base RI'!J87</f>
        <v>19037.53</v>
      </c>
      <c r="M87" s="10">
        <f>+'A) Base RI'!K87</f>
        <v>762.5</v>
      </c>
      <c r="N87" s="10">
        <f>+'A) Base RI'!Q87</f>
        <v>0</v>
      </c>
      <c r="O87" s="10">
        <f t="shared" si="7"/>
        <v>82869.416666666672</v>
      </c>
      <c r="P87" s="10">
        <f>+'A) Base RI'!L87</f>
        <v>99443.3</v>
      </c>
      <c r="Q87" s="35">
        <f>'A) Base RI'!AR87</f>
        <v>1.2</v>
      </c>
      <c r="R87" s="2">
        <f t="shared" si="8"/>
        <v>1334211.4666666668</v>
      </c>
      <c r="S87" s="34">
        <f>+'A) Base RI'!AM87</f>
        <v>77.5</v>
      </c>
      <c r="T87" s="2">
        <f t="shared" si="9"/>
        <v>1250579.55</v>
      </c>
      <c r="U87" s="2">
        <f t="shared" si="10"/>
        <v>17215.63182795699</v>
      </c>
      <c r="V87" s="10">
        <f>+'A) Base RI'!O87</f>
        <v>39778</v>
      </c>
      <c r="W87" s="10">
        <f>+'A) Base RI'!P87</f>
        <v>73217.149999999994</v>
      </c>
      <c r="X87" s="10">
        <f>+'A) Base RI'!R87</f>
        <v>67452.3</v>
      </c>
      <c r="Y87" s="2">
        <f t="shared" si="11"/>
        <v>180447.45</v>
      </c>
      <c r="Z87" s="10">
        <f>+'A) Base RI'!N87</f>
        <v>12684.65</v>
      </c>
      <c r="AA87" s="10">
        <f>+'A) Base RI'!S87+'A) Base RI'!T87</f>
        <v>75</v>
      </c>
      <c r="AB87" s="10">
        <f>+'A) Base RI'!U87</f>
        <v>2490</v>
      </c>
      <c r="AC87" s="10">
        <f>+'A) Base RI'!V87</f>
        <v>0</v>
      </c>
      <c r="AD87" s="10">
        <f>+'A) Base RI'!W87</f>
        <v>0</v>
      </c>
      <c r="AE87" s="10">
        <f>+'A) Base RI'!Y87</f>
        <v>11830</v>
      </c>
      <c r="AF87" s="10">
        <f>+'A) Base RI'!Z87</f>
        <v>0</v>
      </c>
      <c r="AG87" s="10">
        <f>+'A) Base RI'!AA87</f>
        <v>180088.95</v>
      </c>
      <c r="AH87" s="10">
        <f>+'A) Base RI'!AB87</f>
        <v>0</v>
      </c>
      <c r="AI87" s="10">
        <f>+'A) Base RI'!AC87</f>
        <v>42066.3</v>
      </c>
      <c r="AJ87" s="10">
        <f>+'A) Base RI'!AD87</f>
        <v>7725.8</v>
      </c>
      <c r="AK87" s="10">
        <f>+'A) Base RI'!AE87</f>
        <v>0</v>
      </c>
      <c r="AL87" s="10">
        <f>+'A) Base RI'!AF87</f>
        <v>0</v>
      </c>
      <c r="AM87" s="10">
        <f>+'A) Base RI'!AG87</f>
        <v>0</v>
      </c>
      <c r="AN87" s="10">
        <f>+'A) Base RI'!AH87</f>
        <v>0</v>
      </c>
      <c r="AO87" s="10">
        <f>+'A) Base RI'!AI87</f>
        <v>0</v>
      </c>
      <c r="AP87" s="10">
        <f>+'A) Base RI'!AJ87</f>
        <v>0</v>
      </c>
      <c r="AQ87" s="10">
        <f>+'A) Base RI'!AK87</f>
        <v>0</v>
      </c>
      <c r="AR87" s="10">
        <f>'A) Base RI'!AN87</f>
        <v>561</v>
      </c>
    </row>
    <row r="88" spans="1:44" x14ac:dyDescent="0.25">
      <c r="A88" s="8">
        <f>'A) Base RI'!A88</f>
        <v>5531</v>
      </c>
      <c r="B88" s="33" t="str">
        <f>'A) Base RI'!B88</f>
        <v>Penthéréaz</v>
      </c>
      <c r="C88" s="10">
        <f>'A) Base RI'!C88+'A) Base RI'!D88</f>
        <v>1078396</v>
      </c>
      <c r="D88" s="10">
        <f>'A) Base RI'!AO88</f>
        <v>-7338.33</v>
      </c>
      <c r="E88" s="32">
        <f>'A) Base RI'!AP88</f>
        <v>0</v>
      </c>
      <c r="F88" s="32">
        <f>'A) Base RI'!AQ88</f>
        <v>-1.38</v>
      </c>
      <c r="G88" s="2">
        <f t="shared" si="6"/>
        <v>1071056.29</v>
      </c>
      <c r="H88" s="10">
        <f>+'A) Base RI'!E88</f>
        <v>0</v>
      </c>
      <c r="I88" s="10">
        <f>+'A) Base RI'!F88</f>
        <v>0</v>
      </c>
      <c r="J88" s="10">
        <f>+'A) Base RI'!G88+'A) Base RI'!H88</f>
        <v>-50.400000000000034</v>
      </c>
      <c r="K88" s="10">
        <f>+'A) Base RI'!I88</f>
        <v>0</v>
      </c>
      <c r="L88" s="10">
        <f>+'A) Base RI'!J88</f>
        <v>9121.49</v>
      </c>
      <c r="M88" s="10">
        <f>+'A) Base RI'!K88</f>
        <v>910</v>
      </c>
      <c r="N88" s="10">
        <f>+'A) Base RI'!Q88</f>
        <v>12666.82</v>
      </c>
      <c r="O88" s="10">
        <f t="shared" si="7"/>
        <v>74978</v>
      </c>
      <c r="P88" s="10">
        <f>+'A) Base RI'!L88</f>
        <v>74978</v>
      </c>
      <c r="Q88" s="35">
        <f>'A) Base RI'!AR88</f>
        <v>1</v>
      </c>
      <c r="R88" s="2">
        <f t="shared" si="8"/>
        <v>1168682.2000000002</v>
      </c>
      <c r="S88" s="34">
        <f>+'A) Base RI'!AM88</f>
        <v>78</v>
      </c>
      <c r="T88" s="2">
        <f t="shared" si="9"/>
        <v>1092794.2000000002</v>
      </c>
      <c r="U88" s="2">
        <f t="shared" si="10"/>
        <v>14983.10512820513</v>
      </c>
      <c r="V88" s="10">
        <f>+'A) Base RI'!O88</f>
        <v>0</v>
      </c>
      <c r="W88" s="10">
        <f>+'A) Base RI'!P88</f>
        <v>29757</v>
      </c>
      <c r="X88" s="10">
        <f>+'A) Base RI'!R88</f>
        <v>28799.45</v>
      </c>
      <c r="Y88" s="2">
        <f t="shared" si="11"/>
        <v>58556.45</v>
      </c>
      <c r="Z88" s="10">
        <f>+'A) Base RI'!N88</f>
        <v>11272.95</v>
      </c>
      <c r="AA88" s="10">
        <f>+'A) Base RI'!S88+'A) Base RI'!T88</f>
        <v>0</v>
      </c>
      <c r="AB88" s="10">
        <f>+'A) Base RI'!U88</f>
        <v>0</v>
      </c>
      <c r="AC88" s="10">
        <f>+'A) Base RI'!V88</f>
        <v>0</v>
      </c>
      <c r="AD88" s="10">
        <f>+'A) Base RI'!W88</f>
        <v>0</v>
      </c>
      <c r="AE88" s="10">
        <f>+'A) Base RI'!Y88</f>
        <v>4000</v>
      </c>
      <c r="AF88" s="10">
        <f>+'A) Base RI'!Z88</f>
        <v>0</v>
      </c>
      <c r="AG88" s="10">
        <f>+'A) Base RI'!AA88</f>
        <v>94010</v>
      </c>
      <c r="AH88" s="10">
        <f>+'A) Base RI'!AB88</f>
        <v>0</v>
      </c>
      <c r="AI88" s="10">
        <f>+'A) Base RI'!AC88</f>
        <v>29848</v>
      </c>
      <c r="AJ88" s="10">
        <f>+'A) Base RI'!AD88</f>
        <v>0</v>
      </c>
      <c r="AK88" s="10">
        <f>+'A) Base RI'!AE88</f>
        <v>0</v>
      </c>
      <c r="AL88" s="10">
        <f>+'A) Base RI'!AF88</f>
        <v>0</v>
      </c>
      <c r="AM88" s="10">
        <f>+'A) Base RI'!AG88</f>
        <v>0</v>
      </c>
      <c r="AN88" s="10">
        <f>+'A) Base RI'!AH88</f>
        <v>0</v>
      </c>
      <c r="AO88" s="10">
        <f>+'A) Base RI'!AI88</f>
        <v>0</v>
      </c>
      <c r="AP88" s="10">
        <f>+'A) Base RI'!AJ88</f>
        <v>0</v>
      </c>
      <c r="AQ88" s="10">
        <f>+'A) Base RI'!AK88</f>
        <v>0</v>
      </c>
      <c r="AR88" s="10">
        <f>'A) Base RI'!AN88</f>
        <v>421</v>
      </c>
    </row>
    <row r="89" spans="1:44" x14ac:dyDescent="0.25">
      <c r="A89" s="8">
        <f>'A) Base RI'!A89</f>
        <v>5533</v>
      </c>
      <c r="B89" s="33" t="str">
        <f>'A) Base RI'!B89</f>
        <v>Poliez-Pittet</v>
      </c>
      <c r="C89" s="10">
        <f>'A) Base RI'!C89+'A) Base RI'!D89</f>
        <v>1557147.23</v>
      </c>
      <c r="D89" s="10">
        <f>'A) Base RI'!AO89</f>
        <v>-29375.439999999999</v>
      </c>
      <c r="E89" s="32">
        <f>'A) Base RI'!AP89</f>
        <v>0</v>
      </c>
      <c r="F89" s="32">
        <f>'A) Base RI'!AQ89</f>
        <v>-47.6</v>
      </c>
      <c r="G89" s="2">
        <f t="shared" si="6"/>
        <v>1527724.19</v>
      </c>
      <c r="H89" s="10">
        <f>+'A) Base RI'!E89</f>
        <v>0</v>
      </c>
      <c r="I89" s="10">
        <f>+'A) Base RI'!F89</f>
        <v>0</v>
      </c>
      <c r="J89" s="10">
        <f>+'A) Base RI'!G89+'A) Base RI'!H89</f>
        <v>75105.05</v>
      </c>
      <c r="K89" s="10">
        <f>+'A) Base RI'!I89</f>
        <v>0</v>
      </c>
      <c r="L89" s="10">
        <f>+'A) Base RI'!J89</f>
        <v>41219.5</v>
      </c>
      <c r="M89" s="10">
        <f>+'A) Base RI'!K89</f>
        <v>8665</v>
      </c>
      <c r="N89" s="10">
        <f>+'A) Base RI'!Q89</f>
        <v>37490.17</v>
      </c>
      <c r="O89" s="10">
        <f t="shared" si="7"/>
        <v>137990.75</v>
      </c>
      <c r="P89" s="10">
        <f>+'A) Base RI'!L89</f>
        <v>82794.45</v>
      </c>
      <c r="Q89" s="35">
        <f>'A) Base RI'!AR89</f>
        <v>0.6</v>
      </c>
      <c r="R89" s="2">
        <f t="shared" si="8"/>
        <v>1828194.66</v>
      </c>
      <c r="S89" s="34">
        <f>+'A) Base RI'!AM89</f>
        <v>71</v>
      </c>
      <c r="T89" s="2">
        <f t="shared" si="9"/>
        <v>1681538.91</v>
      </c>
      <c r="U89" s="2">
        <f t="shared" si="10"/>
        <v>25749.220563380281</v>
      </c>
      <c r="V89" s="10">
        <f>+'A) Base RI'!O89</f>
        <v>0</v>
      </c>
      <c r="W89" s="10">
        <f>+'A) Base RI'!P89</f>
        <v>54071.55</v>
      </c>
      <c r="X89" s="10">
        <f>+'A) Base RI'!R89</f>
        <v>13021.5</v>
      </c>
      <c r="Y89" s="2">
        <f t="shared" si="11"/>
        <v>67093.05</v>
      </c>
      <c r="Z89" s="10">
        <f>+'A) Base RI'!N89</f>
        <v>4052.5</v>
      </c>
      <c r="AA89" s="10">
        <f>+'A) Base RI'!S89+'A) Base RI'!T89</f>
        <v>1144</v>
      </c>
      <c r="AB89" s="10">
        <f>+'A) Base RI'!U89</f>
        <v>6600</v>
      </c>
      <c r="AC89" s="10">
        <f>+'A) Base RI'!V89</f>
        <v>0</v>
      </c>
      <c r="AD89" s="10">
        <f>+'A) Base RI'!W89</f>
        <v>0</v>
      </c>
      <c r="AE89" s="10">
        <f>+'A) Base RI'!Y89</f>
        <v>5870.95</v>
      </c>
      <c r="AF89" s="10">
        <f>+'A) Base RI'!Z89</f>
        <v>0</v>
      </c>
      <c r="AG89" s="10">
        <f>+'A) Base RI'!AA89</f>
        <v>105251.5</v>
      </c>
      <c r="AH89" s="10">
        <f>+'A) Base RI'!AB89</f>
        <v>0</v>
      </c>
      <c r="AI89" s="10">
        <f>+'A) Base RI'!AC89</f>
        <v>37496</v>
      </c>
      <c r="AJ89" s="10">
        <f>+'A) Base RI'!AD89</f>
        <v>5870.95</v>
      </c>
      <c r="AK89" s="10">
        <f>+'A) Base RI'!AE89</f>
        <v>0</v>
      </c>
      <c r="AL89" s="10">
        <f>+'A) Base RI'!AF89</f>
        <v>0</v>
      </c>
      <c r="AM89" s="10">
        <f>+'A) Base RI'!AG89</f>
        <v>0</v>
      </c>
      <c r="AN89" s="10">
        <f>+'A) Base RI'!AH89</f>
        <v>0</v>
      </c>
      <c r="AO89" s="10">
        <f>+'A) Base RI'!AI89</f>
        <v>0</v>
      </c>
      <c r="AP89" s="10">
        <f>+'A) Base RI'!AJ89</f>
        <v>0</v>
      </c>
      <c r="AQ89" s="10">
        <f>+'A) Base RI'!AK89</f>
        <v>0</v>
      </c>
      <c r="AR89" s="10">
        <f>'A) Base RI'!AN89</f>
        <v>846</v>
      </c>
    </row>
    <row r="90" spans="1:44" x14ac:dyDescent="0.25">
      <c r="A90" s="8">
        <f>'A) Base RI'!A90</f>
        <v>5534</v>
      </c>
      <c r="B90" s="33" t="str">
        <f>'A) Base RI'!B90</f>
        <v>Rueyres</v>
      </c>
      <c r="C90" s="10">
        <f>'A) Base RI'!C90+'A) Base RI'!D90</f>
        <v>472328.55000000005</v>
      </c>
      <c r="D90" s="10">
        <f>'A) Base RI'!AO90</f>
        <v>-2914.9</v>
      </c>
      <c r="E90" s="32">
        <f>'A) Base RI'!AP90</f>
        <v>0</v>
      </c>
      <c r="F90" s="32">
        <f>'A) Base RI'!AQ90</f>
        <v>0</v>
      </c>
      <c r="G90" s="2">
        <f t="shared" si="6"/>
        <v>469413.65</v>
      </c>
      <c r="H90" s="10">
        <f>+'A) Base RI'!E90</f>
        <v>0</v>
      </c>
      <c r="I90" s="10">
        <f>+'A) Base RI'!F90</f>
        <v>0</v>
      </c>
      <c r="J90" s="10">
        <f>+'A) Base RI'!G90+'A) Base RI'!H90</f>
        <v>117378.15000000001</v>
      </c>
      <c r="K90" s="10">
        <f>+'A) Base RI'!I90</f>
        <v>0</v>
      </c>
      <c r="L90" s="10">
        <f>+'A) Base RI'!J90</f>
        <v>1450.5</v>
      </c>
      <c r="M90" s="10">
        <f>+'A) Base RI'!K90</f>
        <v>861</v>
      </c>
      <c r="N90" s="10">
        <f>+'A) Base RI'!Q90</f>
        <v>0</v>
      </c>
      <c r="O90" s="10">
        <f t="shared" si="7"/>
        <v>72387.75</v>
      </c>
      <c r="P90" s="10">
        <f>+'A) Base RI'!L90</f>
        <v>72387.75</v>
      </c>
      <c r="Q90" s="35">
        <f>'A) Base RI'!AR90</f>
        <v>1</v>
      </c>
      <c r="R90" s="2">
        <f t="shared" si="8"/>
        <v>661491.05000000005</v>
      </c>
      <c r="S90" s="34">
        <f>+'A) Base RI'!AM90</f>
        <v>73</v>
      </c>
      <c r="T90" s="2">
        <f t="shared" si="9"/>
        <v>588242.30000000005</v>
      </c>
      <c r="U90" s="2">
        <f t="shared" si="10"/>
        <v>9061.5212328767138</v>
      </c>
      <c r="V90" s="10">
        <f>+'A) Base RI'!O90</f>
        <v>25.5</v>
      </c>
      <c r="W90" s="10">
        <f>+'A) Base RI'!P90</f>
        <v>5991.7</v>
      </c>
      <c r="X90" s="10">
        <f>+'A) Base RI'!R90</f>
        <v>4317.3999999999996</v>
      </c>
      <c r="Y90" s="2">
        <f t="shared" si="11"/>
        <v>10334.599999999999</v>
      </c>
      <c r="Z90" s="10">
        <f>+'A) Base RI'!N90</f>
        <v>24343.4</v>
      </c>
      <c r="AA90" s="10">
        <f>+'A) Base RI'!S90+'A) Base RI'!T90</f>
        <v>512</v>
      </c>
      <c r="AB90" s="10">
        <f>+'A) Base RI'!U90</f>
        <v>1300</v>
      </c>
      <c r="AC90" s="10" t="str">
        <f>+'A) Base RI'!V90</f>
        <v/>
      </c>
      <c r="AD90" s="10" t="str">
        <f>+'A) Base RI'!W90</f>
        <v/>
      </c>
      <c r="AE90" s="10">
        <f>+'A) Base RI'!Y90</f>
        <v>39000</v>
      </c>
      <c r="AF90" s="10">
        <f>+'A) Base RI'!Z90</f>
        <v>0</v>
      </c>
      <c r="AG90" s="10">
        <f>+'A) Base RI'!AA90</f>
        <v>12202.1</v>
      </c>
      <c r="AH90" s="10" t="str">
        <f>+'A) Base RI'!AB90</f>
        <v/>
      </c>
      <c r="AI90" s="10">
        <f>+'A) Base RI'!AC90</f>
        <v>11440</v>
      </c>
      <c r="AJ90" s="10">
        <f>+'A) Base RI'!AD90</f>
        <v>39000</v>
      </c>
      <c r="AK90" s="10" t="str">
        <f>+'A) Base RI'!AE90</f>
        <v/>
      </c>
      <c r="AL90" s="10" t="str">
        <f>+'A) Base RI'!AF90</f>
        <v/>
      </c>
      <c r="AM90" s="10" t="str">
        <f>+'A) Base RI'!AG90</f>
        <v/>
      </c>
      <c r="AN90" s="10">
        <f>+'A) Base RI'!AH90</f>
        <v>0</v>
      </c>
      <c r="AO90" s="10">
        <f>+'A) Base RI'!AI90</f>
        <v>0</v>
      </c>
      <c r="AP90" s="10">
        <f>+'A) Base RI'!AJ90</f>
        <v>51814.45</v>
      </c>
      <c r="AQ90" s="10">
        <f>+'A) Base RI'!AK90</f>
        <v>0</v>
      </c>
      <c r="AR90" s="10">
        <f>'A) Base RI'!AN90</f>
        <v>255</v>
      </c>
    </row>
    <row r="91" spans="1:44" x14ac:dyDescent="0.25">
      <c r="A91" s="8">
        <f>'A) Base RI'!A91</f>
        <v>5535</v>
      </c>
      <c r="B91" s="33" t="str">
        <f>'A) Base RI'!B91</f>
        <v>Saint-Barthélemy</v>
      </c>
      <c r="C91" s="10">
        <f>'A) Base RI'!C91+'A) Base RI'!D91</f>
        <v>1532397.6199999999</v>
      </c>
      <c r="D91" s="10">
        <f>'A) Base RI'!AO91</f>
        <v>-24352.83</v>
      </c>
      <c r="E91" s="32">
        <f>'A) Base RI'!AP91</f>
        <v>0</v>
      </c>
      <c r="F91" s="32">
        <f>'A) Base RI'!AQ91</f>
        <v>-2.46</v>
      </c>
      <c r="G91" s="2">
        <f t="shared" si="6"/>
        <v>1508042.3299999998</v>
      </c>
      <c r="H91" s="10">
        <f>+'A) Base RI'!E91</f>
        <v>0</v>
      </c>
      <c r="I91" s="10">
        <f>+'A) Base RI'!F91</f>
        <v>0</v>
      </c>
      <c r="J91" s="10">
        <f>+'A) Base RI'!G91+'A) Base RI'!H91</f>
        <v>42339.149999999994</v>
      </c>
      <c r="K91" s="10">
        <f>+'A) Base RI'!I91</f>
        <v>0</v>
      </c>
      <c r="L91" s="10">
        <f>+'A) Base RI'!J91</f>
        <v>7812.17</v>
      </c>
      <c r="M91" s="10">
        <f>+'A) Base RI'!K91</f>
        <v>-5870.7</v>
      </c>
      <c r="N91" s="10">
        <f>+'A) Base RI'!Q91</f>
        <v>1590.36</v>
      </c>
      <c r="O91" s="10">
        <f t="shared" si="7"/>
        <v>139537.29999999999</v>
      </c>
      <c r="P91" s="10">
        <f>+'A) Base RI'!L91</f>
        <v>139537.29999999999</v>
      </c>
      <c r="Q91" s="35">
        <f>'A) Base RI'!AR91</f>
        <v>1</v>
      </c>
      <c r="R91" s="2">
        <f t="shared" si="8"/>
        <v>1693450.6099999999</v>
      </c>
      <c r="S91" s="34">
        <f>+'A) Base RI'!AM91</f>
        <v>77</v>
      </c>
      <c r="T91" s="2">
        <f t="shared" si="9"/>
        <v>1559784.0099999998</v>
      </c>
      <c r="U91" s="2">
        <f t="shared" si="10"/>
        <v>21992.865064935064</v>
      </c>
      <c r="V91" s="10" t="str">
        <f>+'A) Base RI'!O91</f>
        <v/>
      </c>
      <c r="W91" s="10">
        <f>+'A) Base RI'!P91</f>
        <v>96756</v>
      </c>
      <c r="X91" s="10">
        <f>+'A) Base RI'!R91</f>
        <v>54993.55</v>
      </c>
      <c r="Y91" s="2">
        <f t="shared" si="11"/>
        <v>151749.54999999999</v>
      </c>
      <c r="Z91" s="10">
        <f>+'A) Base RI'!N91</f>
        <v>37117.599999999999</v>
      </c>
      <c r="AA91" s="10">
        <f>+'A) Base RI'!S91+'A) Base RI'!T91</f>
        <v>1565</v>
      </c>
      <c r="AB91" s="10">
        <f>+'A) Base RI'!U91</f>
        <v>6300</v>
      </c>
      <c r="AC91" s="10" t="str">
        <f>+'A) Base RI'!V91</f>
        <v/>
      </c>
      <c r="AD91" s="10" t="str">
        <f>+'A) Base RI'!W91</f>
        <v/>
      </c>
      <c r="AE91" s="10">
        <f>+'A) Base RI'!Y91</f>
        <v>1500</v>
      </c>
      <c r="AF91" s="10" t="str">
        <f>+'A) Base RI'!Z91</f>
        <v/>
      </c>
      <c r="AG91" s="10">
        <f>+'A) Base RI'!AA91</f>
        <v>130209</v>
      </c>
      <c r="AH91" s="10" t="str">
        <f>+'A) Base RI'!AB91</f>
        <v/>
      </c>
      <c r="AI91" s="10">
        <f>+'A) Base RI'!AC91</f>
        <v>54876.65</v>
      </c>
      <c r="AJ91" s="10">
        <f>+'A) Base RI'!AD91</f>
        <v>3437.5</v>
      </c>
      <c r="AK91" s="10" t="str">
        <f>+'A) Base RI'!AE91</f>
        <v/>
      </c>
      <c r="AL91" s="10" t="str">
        <f>+'A) Base RI'!AF91</f>
        <v/>
      </c>
      <c r="AM91" s="10" t="str">
        <f>+'A) Base RI'!AG91</f>
        <v/>
      </c>
      <c r="AN91" s="10">
        <f>+'A) Base RI'!AH91</f>
        <v>0</v>
      </c>
      <c r="AO91" s="10">
        <f>+'A) Base RI'!AI91</f>
        <v>0</v>
      </c>
      <c r="AP91" s="10">
        <f>+'A) Base RI'!AJ91</f>
        <v>0</v>
      </c>
      <c r="AQ91" s="10">
        <f>+'A) Base RI'!AK91</f>
        <v>0</v>
      </c>
      <c r="AR91" s="10">
        <f>'A) Base RI'!AN91</f>
        <v>778</v>
      </c>
    </row>
    <row r="92" spans="1:44" x14ac:dyDescent="0.25">
      <c r="A92" s="8">
        <f>'A) Base RI'!A92</f>
        <v>5537</v>
      </c>
      <c r="B92" s="33" t="str">
        <f>'A) Base RI'!B92</f>
        <v>Villars-le-Terroir</v>
      </c>
      <c r="C92" s="10">
        <f>'A) Base RI'!C92+'A) Base RI'!D92</f>
        <v>2492897.5499999998</v>
      </c>
      <c r="D92" s="10">
        <f>'A) Base RI'!AO92</f>
        <v>-18916.48</v>
      </c>
      <c r="E92" s="32">
        <f>'A) Base RI'!AP92</f>
        <v>0</v>
      </c>
      <c r="F92" s="32">
        <f>'A) Base RI'!AQ92</f>
        <v>-19.940000000000001</v>
      </c>
      <c r="G92" s="2">
        <f t="shared" si="6"/>
        <v>2473961.13</v>
      </c>
      <c r="H92" s="10">
        <f>+'A) Base RI'!E92</f>
        <v>0</v>
      </c>
      <c r="I92" s="10">
        <f>+'A) Base RI'!F92</f>
        <v>6505.35</v>
      </c>
      <c r="J92" s="10">
        <f>+'A) Base RI'!G92+'A) Base RI'!H92</f>
        <v>20931.2</v>
      </c>
      <c r="K92" s="10">
        <f>+'A) Base RI'!I92</f>
        <v>0</v>
      </c>
      <c r="L92" s="10">
        <f>+'A) Base RI'!J92</f>
        <v>25861.759999999998</v>
      </c>
      <c r="M92" s="10">
        <f>+'A) Base RI'!K92</f>
        <v>2788.75</v>
      </c>
      <c r="N92" s="10">
        <f>+'A) Base RI'!Q92</f>
        <v>0</v>
      </c>
      <c r="O92" s="10">
        <f t="shared" si="7"/>
        <v>202039.12499999997</v>
      </c>
      <c r="P92" s="10">
        <f>+'A) Base RI'!L92</f>
        <v>161631.29999999999</v>
      </c>
      <c r="Q92" s="35">
        <f>'A) Base RI'!AR92</f>
        <v>0.8</v>
      </c>
      <c r="R92" s="2">
        <f t="shared" si="8"/>
        <v>2732087.3149999999</v>
      </c>
      <c r="S92" s="34">
        <f>+'A) Base RI'!AM92</f>
        <v>73</v>
      </c>
      <c r="T92" s="2">
        <f t="shared" si="9"/>
        <v>2520754.09</v>
      </c>
      <c r="U92" s="2">
        <f t="shared" si="10"/>
        <v>37425.853630136982</v>
      </c>
      <c r="V92" s="10">
        <f>+'A) Base RI'!O92</f>
        <v>1449.5</v>
      </c>
      <c r="W92" s="10">
        <f>+'A) Base RI'!P92</f>
        <v>80137.100000000006</v>
      </c>
      <c r="X92" s="10">
        <f>+'A) Base RI'!R92</f>
        <v>38680.85</v>
      </c>
      <c r="Y92" s="2">
        <f t="shared" si="11"/>
        <v>120267.45000000001</v>
      </c>
      <c r="Z92" s="10">
        <f>+'A) Base RI'!N92</f>
        <v>0</v>
      </c>
      <c r="AA92" s="10">
        <f>+'A) Base RI'!S92+'A) Base RI'!T92</f>
        <v>422.25</v>
      </c>
      <c r="AB92" s="10">
        <f>+'A) Base RI'!U92</f>
        <v>9165</v>
      </c>
      <c r="AC92" s="10">
        <f>+'A) Base RI'!V92</f>
        <v>450</v>
      </c>
      <c r="AD92" s="10">
        <f>+'A) Base RI'!W92</f>
        <v>0</v>
      </c>
      <c r="AE92" s="10">
        <f>+'A) Base RI'!Y92</f>
        <v>102764.71</v>
      </c>
      <c r="AF92" s="10">
        <f>+'A) Base RI'!Z92</f>
        <v>0</v>
      </c>
      <c r="AG92" s="10">
        <f>+'A) Base RI'!AA92</f>
        <v>233666.8</v>
      </c>
      <c r="AH92" s="10">
        <f>+'A) Base RI'!AB92</f>
        <v>0</v>
      </c>
      <c r="AI92" s="10">
        <f>+'A) Base RI'!AC92</f>
        <v>127279.3</v>
      </c>
      <c r="AJ92" s="10">
        <f>+'A) Base RI'!AD92</f>
        <v>97652.62</v>
      </c>
      <c r="AK92" s="10">
        <f>+'A) Base RI'!AE92</f>
        <v>0</v>
      </c>
      <c r="AL92" s="10">
        <f>+'A) Base RI'!AF92</f>
        <v>0</v>
      </c>
      <c r="AM92" s="10">
        <f>+'A) Base RI'!AG92</f>
        <v>0</v>
      </c>
      <c r="AN92" s="10">
        <f>+'A) Base RI'!AH92</f>
        <v>0</v>
      </c>
      <c r="AO92" s="10">
        <f>+'A) Base RI'!AI92</f>
        <v>0</v>
      </c>
      <c r="AP92" s="10">
        <f>+'A) Base RI'!AJ92</f>
        <v>0</v>
      </c>
      <c r="AQ92" s="10">
        <f>+'A) Base RI'!AK92</f>
        <v>0</v>
      </c>
      <c r="AR92" s="10">
        <f>'A) Base RI'!AN92</f>
        <v>1213</v>
      </c>
    </row>
    <row r="93" spans="1:44" x14ac:dyDescent="0.25">
      <c r="A93" s="8">
        <f>'A) Base RI'!A93</f>
        <v>5539</v>
      </c>
      <c r="B93" s="33" t="str">
        <f>'A) Base RI'!B93</f>
        <v>Vuarrens</v>
      </c>
      <c r="C93" s="10">
        <f>'A) Base RI'!C93+'A) Base RI'!D93</f>
        <v>1969656.72</v>
      </c>
      <c r="D93" s="10">
        <f>'A) Base RI'!AO93</f>
        <v>-18348.13</v>
      </c>
      <c r="E93" s="32">
        <f>'A) Base RI'!AP93</f>
        <v>0</v>
      </c>
      <c r="F93" s="32">
        <f>'A) Base RI'!AQ93</f>
        <v>-38.14</v>
      </c>
      <c r="G93" s="2">
        <f t="shared" si="6"/>
        <v>1951270.4500000002</v>
      </c>
      <c r="H93" s="10">
        <f>+'A) Base RI'!E93</f>
        <v>0</v>
      </c>
      <c r="I93" s="10">
        <f>+'A) Base RI'!F93</f>
        <v>0</v>
      </c>
      <c r="J93" s="10">
        <f>+'A) Base RI'!G93+'A) Base RI'!H93</f>
        <v>8375.15</v>
      </c>
      <c r="K93" s="10">
        <f>+'A) Base RI'!I93</f>
        <v>0</v>
      </c>
      <c r="L93" s="10">
        <f>+'A) Base RI'!J93</f>
        <v>25205.23</v>
      </c>
      <c r="M93" s="10">
        <f>+'A) Base RI'!K93</f>
        <v>5776.2</v>
      </c>
      <c r="N93" s="10">
        <f>+'A) Base RI'!Q93</f>
        <v>3313.53</v>
      </c>
      <c r="O93" s="10">
        <f t="shared" si="7"/>
        <v>173197.37499999997</v>
      </c>
      <c r="P93" s="10">
        <f>+'A) Base RI'!L93</f>
        <v>138557.9</v>
      </c>
      <c r="Q93" s="35">
        <f>'A) Base RI'!AR93</f>
        <v>0.8</v>
      </c>
      <c r="R93" s="2">
        <f t="shared" si="8"/>
        <v>2167137.9350000001</v>
      </c>
      <c r="S93" s="34">
        <f>+'A) Base RI'!AM93</f>
        <v>75</v>
      </c>
      <c r="T93" s="2">
        <f t="shared" si="9"/>
        <v>1988164.36</v>
      </c>
      <c r="U93" s="2">
        <f t="shared" si="10"/>
        <v>28895.172466666667</v>
      </c>
      <c r="V93" s="10">
        <f>+'A) Base RI'!O93</f>
        <v>39766.800000000003</v>
      </c>
      <c r="W93" s="10">
        <f>+'A) Base RI'!P93</f>
        <v>85795.199999999997</v>
      </c>
      <c r="X93" s="10">
        <f>+'A) Base RI'!R93</f>
        <v>37040.949999999997</v>
      </c>
      <c r="Y93" s="2">
        <f t="shared" si="11"/>
        <v>162602.95000000001</v>
      </c>
      <c r="Z93" s="10">
        <f>+'A) Base RI'!N93</f>
        <v>14221.75</v>
      </c>
      <c r="AA93" s="10">
        <f>+'A) Base RI'!S93+'A) Base RI'!T93</f>
        <v>0</v>
      </c>
      <c r="AB93" s="10">
        <f>+'A) Base RI'!U93</f>
        <v>6650</v>
      </c>
      <c r="AC93" s="10" t="str">
        <f>+'A) Base RI'!V93</f>
        <v/>
      </c>
      <c r="AD93" s="10" t="str">
        <f>+'A) Base RI'!W93</f>
        <v/>
      </c>
      <c r="AE93" s="10">
        <f>+'A) Base RI'!Y93</f>
        <v>72855.199999999997</v>
      </c>
      <c r="AF93" s="10" t="str">
        <f>+'A) Base RI'!Z93</f>
        <v/>
      </c>
      <c r="AG93" s="10">
        <f>+'A) Base RI'!AA93</f>
        <v>312761.15000000002</v>
      </c>
      <c r="AH93" s="10" t="str">
        <f>+'A) Base RI'!AB93</f>
        <v/>
      </c>
      <c r="AI93" s="10">
        <f>+'A) Base RI'!AC93</f>
        <v>61350</v>
      </c>
      <c r="AJ93" s="10">
        <f>+'A) Base RI'!AD93</f>
        <v>45656.800000000003</v>
      </c>
      <c r="AK93" s="10" t="str">
        <f>+'A) Base RI'!AE93</f>
        <v/>
      </c>
      <c r="AL93" s="10" t="str">
        <f>+'A) Base RI'!AF93</f>
        <v/>
      </c>
      <c r="AM93" s="10" t="str">
        <f>+'A) Base RI'!AG93</f>
        <v/>
      </c>
      <c r="AN93" s="10">
        <f>+'A) Base RI'!AH93</f>
        <v>21184.799999999999</v>
      </c>
      <c r="AO93" s="10">
        <f>+'A) Base RI'!AI93</f>
        <v>0</v>
      </c>
      <c r="AP93" s="10">
        <f>+'A) Base RI'!AJ93</f>
        <v>0</v>
      </c>
      <c r="AQ93" s="10">
        <f>+'A) Base RI'!AK93</f>
        <v>0</v>
      </c>
      <c r="AR93" s="10">
        <f>'A) Base RI'!AN93</f>
        <v>1001</v>
      </c>
    </row>
    <row r="94" spans="1:44" x14ac:dyDescent="0.25">
      <c r="A94" s="8">
        <f>'A) Base RI'!A94</f>
        <v>5540</v>
      </c>
      <c r="B94" s="33" t="str">
        <f>'A) Base RI'!B94</f>
        <v>Montilliez</v>
      </c>
      <c r="C94" s="10">
        <f>'A) Base RI'!C94+'A) Base RI'!D94</f>
        <v>4061001.15</v>
      </c>
      <c r="D94" s="10">
        <f>'A) Base RI'!AO94</f>
        <v>-83150.39</v>
      </c>
      <c r="E94" s="32">
        <f>'A) Base RI'!AP94</f>
        <v>-2937.25</v>
      </c>
      <c r="F94" s="32">
        <f>'A) Base RI'!AQ94</f>
        <v>-146.27000000000001</v>
      </c>
      <c r="G94" s="2">
        <f t="shared" si="6"/>
        <v>3974767.2399999998</v>
      </c>
      <c r="H94" s="10">
        <f>+'A) Base RI'!E94</f>
        <v>0</v>
      </c>
      <c r="I94" s="10">
        <f>+'A) Base RI'!F94</f>
        <v>0</v>
      </c>
      <c r="J94" s="10">
        <f>+'A) Base RI'!G94+'A) Base RI'!H94</f>
        <v>88118.9</v>
      </c>
      <c r="K94" s="10">
        <f>+'A) Base RI'!I94</f>
        <v>0</v>
      </c>
      <c r="L94" s="10">
        <f>+'A) Base RI'!J94</f>
        <v>26160.77</v>
      </c>
      <c r="M94" s="10">
        <f>+'A) Base RI'!K94</f>
        <v>6820.35</v>
      </c>
      <c r="N94" s="10">
        <f>+'A) Base RI'!Q94</f>
        <v>1104.07</v>
      </c>
      <c r="O94" s="10">
        <f t="shared" si="7"/>
        <v>312199.74999999994</v>
      </c>
      <c r="P94" s="10">
        <f>+'A) Base RI'!L94</f>
        <v>249759.8</v>
      </c>
      <c r="Q94" s="35">
        <f>'A) Base RI'!AR94</f>
        <v>0.8</v>
      </c>
      <c r="R94" s="2">
        <f t="shared" si="8"/>
        <v>4409171.0799999991</v>
      </c>
      <c r="S94" s="34">
        <f>+'A) Base RI'!AM94</f>
        <v>74</v>
      </c>
      <c r="T94" s="2">
        <f t="shared" si="9"/>
        <v>4090150.9799999995</v>
      </c>
      <c r="U94" s="2">
        <f t="shared" si="10"/>
        <v>59583.392972972964</v>
      </c>
      <c r="V94" s="10">
        <f>+'A) Base RI'!O94</f>
        <v>292.60000000000002</v>
      </c>
      <c r="W94" s="10">
        <f>+'A) Base RI'!P94</f>
        <v>108615.3</v>
      </c>
      <c r="X94" s="10">
        <f>+'A) Base RI'!R94</f>
        <v>87178.55</v>
      </c>
      <c r="Y94" s="2">
        <f t="shared" si="11"/>
        <v>196086.45</v>
      </c>
      <c r="Z94" s="10">
        <f>+'A) Base RI'!N94</f>
        <v>6897.65</v>
      </c>
      <c r="AA94" s="10">
        <f>+'A) Base RI'!S94+'A) Base RI'!T94</f>
        <v>1732.2</v>
      </c>
      <c r="AB94" s="10">
        <f>+'A) Base RI'!U94</f>
        <v>13350</v>
      </c>
      <c r="AC94" s="10">
        <f>+'A) Base RI'!V94</f>
        <v>0</v>
      </c>
      <c r="AD94" s="10">
        <f>+'A) Base RI'!W94</f>
        <v>0</v>
      </c>
      <c r="AE94" s="10">
        <f>+'A) Base RI'!Y94</f>
        <v>5978.25</v>
      </c>
      <c r="AF94" s="10">
        <f>+'A) Base RI'!Z94</f>
        <v>0</v>
      </c>
      <c r="AG94" s="10">
        <f>+'A) Base RI'!AA94</f>
        <v>169697.8</v>
      </c>
      <c r="AH94" s="10">
        <f>+'A) Base RI'!AB94</f>
        <v>0</v>
      </c>
      <c r="AI94" s="10">
        <f>+'A) Base RI'!AC94</f>
        <v>120766.9</v>
      </c>
      <c r="AJ94" s="10">
        <f>+'A) Base RI'!AD94</f>
        <v>4622.45</v>
      </c>
      <c r="AK94" s="10">
        <f>+'A) Base RI'!AE94</f>
        <v>0</v>
      </c>
      <c r="AL94" s="10">
        <f>+'A) Base RI'!AF94</f>
        <v>0</v>
      </c>
      <c r="AM94" s="10">
        <f>+'A) Base RI'!AG94</f>
        <v>0</v>
      </c>
      <c r="AN94" s="10">
        <f>+'A) Base RI'!AH94</f>
        <v>0</v>
      </c>
      <c r="AO94" s="10">
        <f>+'A) Base RI'!AI94</f>
        <v>0</v>
      </c>
      <c r="AP94" s="10">
        <f>+'A) Base RI'!AJ94</f>
        <v>0</v>
      </c>
      <c r="AQ94" s="10">
        <f>+'A) Base RI'!AK94</f>
        <v>0</v>
      </c>
      <c r="AR94" s="10">
        <f>'A) Base RI'!AN94</f>
        <v>1781</v>
      </c>
    </row>
    <row r="95" spans="1:44" x14ac:dyDescent="0.25">
      <c r="A95" s="8">
        <f>'A) Base RI'!A95</f>
        <v>5541</v>
      </c>
      <c r="B95" s="33" t="str">
        <f>'A) Base RI'!B95</f>
        <v>Goumoëns</v>
      </c>
      <c r="C95" s="10">
        <f>'A) Base RI'!C95+'A) Base RI'!D95</f>
        <v>2418213.71</v>
      </c>
      <c r="D95" s="10">
        <f>'A) Base RI'!AO95</f>
        <v>-22250.33</v>
      </c>
      <c r="E95" s="32">
        <f>'A) Base RI'!AP95</f>
        <v>-6819.85</v>
      </c>
      <c r="F95" s="32">
        <f>'A) Base RI'!AQ95</f>
        <v>-2.44</v>
      </c>
      <c r="G95" s="2">
        <f t="shared" si="6"/>
        <v>2389141.09</v>
      </c>
      <c r="H95" s="10">
        <f>+'A) Base RI'!E95</f>
        <v>0</v>
      </c>
      <c r="I95" s="10">
        <f>+'A) Base RI'!F95</f>
        <v>0</v>
      </c>
      <c r="J95" s="10">
        <f>+'A) Base RI'!G95+'A) Base RI'!H95</f>
        <v>137768.70000000001</v>
      </c>
      <c r="K95" s="10">
        <f>+'A) Base RI'!I95</f>
        <v>0</v>
      </c>
      <c r="L95" s="10">
        <f>+'A) Base RI'!J95</f>
        <v>42479.32</v>
      </c>
      <c r="M95" s="10">
        <f>+'A) Base RI'!K95</f>
        <v>1945.15</v>
      </c>
      <c r="N95" s="10">
        <f>+'A) Base RI'!Q95</f>
        <v>2092.63</v>
      </c>
      <c r="O95" s="10">
        <f t="shared" si="7"/>
        <v>203505.85</v>
      </c>
      <c r="P95" s="10">
        <f>+'A) Base RI'!L95</f>
        <v>203505.85</v>
      </c>
      <c r="Q95" s="35">
        <f>'A) Base RI'!AR95</f>
        <v>1</v>
      </c>
      <c r="R95" s="2">
        <f t="shared" si="8"/>
        <v>2776932.7399999998</v>
      </c>
      <c r="S95" s="34">
        <f>+'A) Base RI'!AM95</f>
        <v>77</v>
      </c>
      <c r="T95" s="2">
        <f t="shared" si="9"/>
        <v>2571481.7399999998</v>
      </c>
      <c r="U95" s="2">
        <f t="shared" si="10"/>
        <v>36064.061558441557</v>
      </c>
      <c r="V95" s="10">
        <f>+'A) Base RI'!O95</f>
        <v>565663.6</v>
      </c>
      <c r="W95" s="10">
        <f>+'A) Base RI'!P95</f>
        <v>48114</v>
      </c>
      <c r="X95" s="10">
        <f>+'A) Base RI'!R95</f>
        <v>37861.4</v>
      </c>
      <c r="Y95" s="2">
        <f t="shared" si="11"/>
        <v>651639</v>
      </c>
      <c r="Z95" s="10">
        <f>+'A) Base RI'!N95</f>
        <v>12741.2</v>
      </c>
      <c r="AA95" s="10">
        <f>+'A) Base RI'!S95+'A) Base RI'!T95</f>
        <v>0</v>
      </c>
      <c r="AB95" s="10">
        <f>+'A) Base RI'!U95</f>
        <v>7900</v>
      </c>
      <c r="AC95" s="10">
        <f>+'A) Base RI'!V95</f>
        <v>7693.8</v>
      </c>
      <c r="AD95" s="10">
        <f>+'A) Base RI'!W95</f>
        <v>0</v>
      </c>
      <c r="AE95" s="10">
        <f>+'A) Base RI'!Y95</f>
        <v>12176</v>
      </c>
      <c r="AF95" s="10">
        <f>+'A) Base RI'!Z95</f>
        <v>0</v>
      </c>
      <c r="AG95" s="10">
        <f>+'A) Base RI'!AA95</f>
        <v>66290.100000000006</v>
      </c>
      <c r="AH95" s="10">
        <f>+'A) Base RI'!AB95</f>
        <v>0</v>
      </c>
      <c r="AI95" s="10">
        <f>+'A) Base RI'!AC95</f>
        <v>65836.5</v>
      </c>
      <c r="AJ95" s="10">
        <f>+'A) Base RI'!AD95</f>
        <v>20698.75</v>
      </c>
      <c r="AK95" s="10">
        <f>+'A) Base RI'!AE95</f>
        <v>0</v>
      </c>
      <c r="AL95" s="10">
        <f>+'A) Base RI'!AF95</f>
        <v>0</v>
      </c>
      <c r="AM95" s="10">
        <f>+'A) Base RI'!AG95</f>
        <v>0</v>
      </c>
      <c r="AN95" s="10">
        <f>+'A) Base RI'!AH95</f>
        <v>0</v>
      </c>
      <c r="AO95" s="10">
        <f>+'A) Base RI'!AI95</f>
        <v>0</v>
      </c>
      <c r="AP95" s="10">
        <f>+'A) Base RI'!AJ95</f>
        <v>0</v>
      </c>
      <c r="AQ95" s="10">
        <f>+'A) Base RI'!AK95</f>
        <v>0</v>
      </c>
      <c r="AR95" s="10">
        <f>'A) Base RI'!AN95</f>
        <v>1119</v>
      </c>
    </row>
    <row r="96" spans="1:44" x14ac:dyDescent="0.25">
      <c r="A96" s="8">
        <f>'A) Base RI'!A96</f>
        <v>5551</v>
      </c>
      <c r="B96" s="33" t="str">
        <f>'A) Base RI'!B96</f>
        <v>Bonvillars</v>
      </c>
      <c r="C96" s="10">
        <f>'A) Base RI'!C96+'A) Base RI'!D96</f>
        <v>942016.73</v>
      </c>
      <c r="D96" s="10">
        <f>'A) Base RI'!AO96</f>
        <v>-3185.72</v>
      </c>
      <c r="E96" s="32">
        <f>'A) Base RI'!AP96</f>
        <v>0</v>
      </c>
      <c r="F96" s="32">
        <f>'A) Base RI'!AQ96</f>
        <v>-238.35</v>
      </c>
      <c r="G96" s="2">
        <f t="shared" si="6"/>
        <v>938592.66</v>
      </c>
      <c r="H96" s="10">
        <f>+'A) Base RI'!E96</f>
        <v>0</v>
      </c>
      <c r="I96" s="10">
        <f>+'A) Base RI'!F96</f>
        <v>0</v>
      </c>
      <c r="J96" s="10">
        <f>+'A) Base RI'!G96+'A) Base RI'!H96</f>
        <v>208354.15</v>
      </c>
      <c r="K96" s="10">
        <f>+'A) Base RI'!I96</f>
        <v>0</v>
      </c>
      <c r="L96" s="10">
        <f>+'A) Base RI'!J96</f>
        <v>3867.89</v>
      </c>
      <c r="M96" s="10">
        <f>+'A) Base RI'!K96</f>
        <v>15490.8</v>
      </c>
      <c r="N96" s="10">
        <f>+'A) Base RI'!Q96</f>
        <v>743.96</v>
      </c>
      <c r="O96" s="10">
        <f t="shared" si="7"/>
        <v>108679.2</v>
      </c>
      <c r="P96" s="10">
        <f>+'A) Base RI'!L96</f>
        <v>108679.2</v>
      </c>
      <c r="Q96" s="35">
        <f>'A) Base RI'!AR96</f>
        <v>1</v>
      </c>
      <c r="R96" s="2">
        <f t="shared" si="8"/>
        <v>1275728.6599999999</v>
      </c>
      <c r="S96" s="34">
        <f>+'A) Base RI'!AM96</f>
        <v>55</v>
      </c>
      <c r="T96" s="2">
        <f t="shared" si="9"/>
        <v>1151558.6599999999</v>
      </c>
      <c r="U96" s="2">
        <f t="shared" si="10"/>
        <v>23195.066545454545</v>
      </c>
      <c r="V96" s="10">
        <f>+'A) Base RI'!O96</f>
        <v>4786.3</v>
      </c>
      <c r="W96" s="10">
        <f>+'A) Base RI'!P96</f>
        <v>53064.45</v>
      </c>
      <c r="X96" s="10">
        <f>+'A) Base RI'!R96</f>
        <v>22048.9</v>
      </c>
      <c r="Y96" s="2">
        <f t="shared" si="11"/>
        <v>79899.649999999994</v>
      </c>
      <c r="Z96" s="10">
        <f>+'A) Base RI'!N96</f>
        <v>10084.65</v>
      </c>
      <c r="AA96" s="10">
        <f>+'A) Base RI'!S96+'A) Base RI'!T96</f>
        <v>0</v>
      </c>
      <c r="AB96" s="10">
        <f>+'A) Base RI'!U96</f>
        <v>3054.45</v>
      </c>
      <c r="AC96" s="10">
        <f>+'A) Base RI'!V96</f>
        <v>0</v>
      </c>
      <c r="AD96" s="10">
        <f>+'A) Base RI'!W96</f>
        <v>0</v>
      </c>
      <c r="AE96" s="10">
        <f>+'A) Base RI'!Y96</f>
        <v>2772</v>
      </c>
      <c r="AF96" s="10">
        <f>+'A) Base RI'!Z96</f>
        <v>43059</v>
      </c>
      <c r="AG96" s="10">
        <f>+'A) Base RI'!AA96</f>
        <v>44241</v>
      </c>
      <c r="AH96" s="10">
        <f>+'A) Base RI'!AB96</f>
        <v>0</v>
      </c>
      <c r="AI96" s="10">
        <f>+'A) Base RI'!AC96</f>
        <v>29437.55</v>
      </c>
      <c r="AJ96" s="10">
        <f>+'A) Base RI'!AD96</f>
        <v>3080</v>
      </c>
      <c r="AK96" s="10">
        <f>+'A) Base RI'!AE96</f>
        <v>0</v>
      </c>
      <c r="AL96" s="10">
        <f>+'A) Base RI'!AF96</f>
        <v>0</v>
      </c>
      <c r="AM96" s="10">
        <f>+'A) Base RI'!AG96</f>
        <v>2290.5</v>
      </c>
      <c r="AN96" s="10">
        <f>+'A) Base RI'!AH96</f>
        <v>0</v>
      </c>
      <c r="AO96" s="10">
        <f>+'A) Base RI'!AI96</f>
        <v>0</v>
      </c>
      <c r="AP96" s="10">
        <f>+'A) Base RI'!AJ96</f>
        <v>0</v>
      </c>
      <c r="AQ96" s="10">
        <f>+'A) Base RI'!AK96</f>
        <v>0</v>
      </c>
      <c r="AR96" s="10">
        <f>'A) Base RI'!AN96</f>
        <v>505</v>
      </c>
    </row>
    <row r="97" spans="1:44" x14ac:dyDescent="0.25">
      <c r="A97" s="8">
        <f>'A) Base RI'!A97</f>
        <v>5552</v>
      </c>
      <c r="B97" s="33" t="str">
        <f>'A) Base RI'!B97</f>
        <v>Bullet</v>
      </c>
      <c r="C97" s="10">
        <f>'A) Base RI'!C97+'A) Base RI'!D97</f>
        <v>1227002.98</v>
      </c>
      <c r="D97" s="10">
        <f>'A) Base RI'!AO97</f>
        <v>-34046.99</v>
      </c>
      <c r="E97" s="32">
        <f>'A) Base RI'!AP97</f>
        <v>0</v>
      </c>
      <c r="F97" s="32">
        <f>'A) Base RI'!AQ97</f>
        <v>-3.38</v>
      </c>
      <c r="G97" s="2">
        <f t="shared" si="6"/>
        <v>1192952.6100000001</v>
      </c>
      <c r="H97" s="10">
        <f>+'A) Base RI'!E97</f>
        <v>0</v>
      </c>
      <c r="I97" s="10">
        <f>+'A) Base RI'!F97</f>
        <v>0</v>
      </c>
      <c r="J97" s="10">
        <f>+'A) Base RI'!G97+'A) Base RI'!H97</f>
        <v>13982.6</v>
      </c>
      <c r="K97" s="10">
        <f>+'A) Base RI'!I97</f>
        <v>-36302.129999999997</v>
      </c>
      <c r="L97" s="10">
        <f>+'A) Base RI'!J97</f>
        <v>15125.72</v>
      </c>
      <c r="M97" s="10">
        <f>+'A) Base RI'!K97</f>
        <v>1632.2</v>
      </c>
      <c r="N97" s="10">
        <f>+'A) Base RI'!Q97</f>
        <v>0</v>
      </c>
      <c r="O97" s="10">
        <f t="shared" si="7"/>
        <v>111202.65</v>
      </c>
      <c r="P97" s="10">
        <f>+'A) Base RI'!L97</f>
        <v>111202.65</v>
      </c>
      <c r="Q97" s="35">
        <f>'A) Base RI'!AR97</f>
        <v>1</v>
      </c>
      <c r="R97" s="2">
        <f t="shared" si="8"/>
        <v>1298593.6500000001</v>
      </c>
      <c r="S97" s="34">
        <f>+'A) Base RI'!AM97</f>
        <v>73</v>
      </c>
      <c r="T97" s="2">
        <f t="shared" si="9"/>
        <v>1185758.8000000003</v>
      </c>
      <c r="U97" s="2">
        <f t="shared" si="10"/>
        <v>17788.954109589042</v>
      </c>
      <c r="V97" s="10">
        <f>+'A) Base RI'!O97</f>
        <v>0</v>
      </c>
      <c r="W97" s="10">
        <f>+'A) Base RI'!P97</f>
        <v>49792.3</v>
      </c>
      <c r="X97" s="10">
        <f>+'A) Base RI'!R97</f>
        <v>26199.55</v>
      </c>
      <c r="Y97" s="2">
        <f t="shared" si="11"/>
        <v>75991.850000000006</v>
      </c>
      <c r="Z97" s="10">
        <f>+'A) Base RI'!N97</f>
        <v>40389.949999999997</v>
      </c>
      <c r="AA97" s="10">
        <f>+'A) Base RI'!S97+'A) Base RI'!T97</f>
        <v>1343.7</v>
      </c>
      <c r="AB97" s="10">
        <f>+'A) Base RI'!U97</f>
        <v>5900</v>
      </c>
      <c r="AC97" s="10">
        <f>+'A) Base RI'!V97</f>
        <v>0</v>
      </c>
      <c r="AD97" s="10">
        <f>+'A) Base RI'!W97</f>
        <v>0</v>
      </c>
      <c r="AE97" s="10">
        <f>+'A) Base RI'!Y97</f>
        <v>3000</v>
      </c>
      <c r="AF97" s="10">
        <f>+'A) Base RI'!Z97</f>
        <v>0</v>
      </c>
      <c r="AG97" s="10">
        <f>+'A) Base RI'!AA97</f>
        <v>104218.5</v>
      </c>
      <c r="AH97" s="10">
        <f>+'A) Base RI'!AB97</f>
        <v>0</v>
      </c>
      <c r="AI97" s="10">
        <f>+'A) Base RI'!AC97</f>
        <v>83754.850000000006</v>
      </c>
      <c r="AJ97" s="10">
        <f>+'A) Base RI'!AD97</f>
        <v>2722.95</v>
      </c>
      <c r="AK97" s="10">
        <f>+'A) Base RI'!AE97</f>
        <v>0</v>
      </c>
      <c r="AL97" s="10">
        <f>+'A) Base RI'!AF97</f>
        <v>0</v>
      </c>
      <c r="AM97" s="10">
        <f>+'A) Base RI'!AG97</f>
        <v>93784.8</v>
      </c>
      <c r="AN97" s="10">
        <f>+'A) Base RI'!AH97</f>
        <v>23616.6</v>
      </c>
      <c r="AO97" s="10">
        <f>+'A) Base RI'!AI97</f>
        <v>0</v>
      </c>
      <c r="AP97" s="10">
        <f>+'A) Base RI'!AJ97</f>
        <v>0</v>
      </c>
      <c r="AQ97" s="10">
        <f>+'A) Base RI'!AK97</f>
        <v>0</v>
      </c>
      <c r="AR97" s="10">
        <f>'A) Base RI'!AN97</f>
        <v>655</v>
      </c>
    </row>
    <row r="98" spans="1:44" x14ac:dyDescent="0.25">
      <c r="A98" s="8">
        <f>'A) Base RI'!A98</f>
        <v>5553</v>
      </c>
      <c r="B98" s="33" t="str">
        <f>'A) Base RI'!B98</f>
        <v>Champagne</v>
      </c>
      <c r="C98" s="10">
        <f>'A) Base RI'!C98+'A) Base RI'!D98</f>
        <v>2061020.74</v>
      </c>
      <c r="D98" s="10">
        <f>'A) Base RI'!AO98</f>
        <v>-15652.32</v>
      </c>
      <c r="E98" s="32">
        <f>'A) Base RI'!AP98</f>
        <v>0</v>
      </c>
      <c r="F98" s="32">
        <f>'A) Base RI'!AQ98</f>
        <v>-413.53</v>
      </c>
      <c r="G98" s="2">
        <f t="shared" si="6"/>
        <v>2044954.89</v>
      </c>
      <c r="H98" s="10">
        <f>+'A) Base RI'!E98</f>
        <v>0</v>
      </c>
      <c r="I98" s="10">
        <f>+'A) Base RI'!F98</f>
        <v>0</v>
      </c>
      <c r="J98" s="10">
        <f>+'A) Base RI'!G98+'A) Base RI'!H98</f>
        <v>162309.54999999999</v>
      </c>
      <c r="K98" s="10">
        <f>+'A) Base RI'!I98</f>
        <v>0</v>
      </c>
      <c r="L98" s="10">
        <f>+'A) Base RI'!J98</f>
        <v>51067.9</v>
      </c>
      <c r="M98" s="10">
        <f>+'A) Base RI'!K98</f>
        <v>28323.25</v>
      </c>
      <c r="N98" s="10">
        <f>+'A) Base RI'!Q98</f>
        <v>901.86</v>
      </c>
      <c r="O98" s="10">
        <f t="shared" si="7"/>
        <v>221831.8</v>
      </c>
      <c r="P98" s="10">
        <f>+'A) Base RI'!L98</f>
        <v>221831.8</v>
      </c>
      <c r="Q98" s="35">
        <f>'A) Base RI'!AR98</f>
        <v>1</v>
      </c>
      <c r="R98" s="2">
        <f t="shared" si="8"/>
        <v>2509389.2499999995</v>
      </c>
      <c r="S98" s="34">
        <f>+'A) Base RI'!AM98</f>
        <v>65</v>
      </c>
      <c r="T98" s="2">
        <f t="shared" si="9"/>
        <v>2259234.1999999997</v>
      </c>
      <c r="U98" s="2">
        <f t="shared" si="10"/>
        <v>38605.988461538451</v>
      </c>
      <c r="V98" s="10">
        <f>+'A) Base RI'!O98</f>
        <v>0</v>
      </c>
      <c r="W98" s="10">
        <f>+'A) Base RI'!P98</f>
        <v>106178.35</v>
      </c>
      <c r="X98" s="10">
        <f>+'A) Base RI'!R98</f>
        <v>78128.800000000003</v>
      </c>
      <c r="Y98" s="2">
        <f t="shared" si="11"/>
        <v>184307.15000000002</v>
      </c>
      <c r="Z98" s="10">
        <f>+'A) Base RI'!N98</f>
        <v>130175.35</v>
      </c>
      <c r="AA98" s="10">
        <f>+'A) Base RI'!S98+'A) Base RI'!T98</f>
        <v>0</v>
      </c>
      <c r="AB98" s="10">
        <f>+'A) Base RI'!U98</f>
        <v>6250</v>
      </c>
      <c r="AC98" s="10">
        <f>+'A) Base RI'!V98</f>
        <v>0</v>
      </c>
      <c r="AD98" s="10">
        <f>+'A) Base RI'!W98</f>
        <v>0</v>
      </c>
      <c r="AE98" s="10">
        <f>+'A) Base RI'!Y98</f>
        <v>266790.2</v>
      </c>
      <c r="AF98" s="10">
        <f>+'A) Base RI'!Z98</f>
        <v>0</v>
      </c>
      <c r="AG98" s="10">
        <f>+'A) Base RI'!AA98</f>
        <v>131454.45000000001</v>
      </c>
      <c r="AH98" s="10">
        <f>+'A) Base RI'!AB98</f>
        <v>0</v>
      </c>
      <c r="AI98" s="10">
        <f>+'A) Base RI'!AC98</f>
        <v>75062.75</v>
      </c>
      <c r="AJ98" s="10">
        <f>+'A) Base RI'!AD98</f>
        <v>318544.8</v>
      </c>
      <c r="AK98" s="10">
        <f>+'A) Base RI'!AE98</f>
        <v>0</v>
      </c>
      <c r="AL98" s="10">
        <f>+'A) Base RI'!AF98</f>
        <v>0</v>
      </c>
      <c r="AM98" s="10">
        <f>+'A) Base RI'!AG98</f>
        <v>0</v>
      </c>
      <c r="AN98" s="10">
        <f>+'A) Base RI'!AH98</f>
        <v>89951.75</v>
      </c>
      <c r="AO98" s="10">
        <f>+'A) Base RI'!AI98</f>
        <v>0</v>
      </c>
      <c r="AP98" s="10">
        <f>+'A) Base RI'!AJ98</f>
        <v>0</v>
      </c>
      <c r="AQ98" s="10">
        <f>+'A) Base RI'!AK98</f>
        <v>0</v>
      </c>
      <c r="AR98" s="10">
        <f>'A) Base RI'!AN98</f>
        <v>1034</v>
      </c>
    </row>
    <row r="99" spans="1:44" x14ac:dyDescent="0.25">
      <c r="A99" s="8">
        <f>'A) Base RI'!A99</f>
        <v>5554</v>
      </c>
      <c r="B99" s="33" t="str">
        <f>'A) Base RI'!B99</f>
        <v>Concise</v>
      </c>
      <c r="C99" s="10">
        <f>'A) Base RI'!C99+'A) Base RI'!D99</f>
        <v>2037988.05</v>
      </c>
      <c r="D99" s="10">
        <f>'A) Base RI'!AO99</f>
        <v>-33078.83</v>
      </c>
      <c r="E99" s="32">
        <f>'A) Base RI'!AP99</f>
        <v>0</v>
      </c>
      <c r="F99" s="32">
        <f>'A) Base RI'!AQ99</f>
        <v>-1366.25</v>
      </c>
      <c r="G99" s="2">
        <f t="shared" si="6"/>
        <v>2003542.97</v>
      </c>
      <c r="H99" s="10">
        <f>+'A) Base RI'!E99</f>
        <v>0</v>
      </c>
      <c r="I99" s="10">
        <f>+'A) Base RI'!F99</f>
        <v>0</v>
      </c>
      <c r="J99" s="10">
        <f>+'A) Base RI'!G99+'A) Base RI'!H99</f>
        <v>22688.95</v>
      </c>
      <c r="K99" s="10">
        <f>+'A) Base RI'!I99</f>
        <v>0</v>
      </c>
      <c r="L99" s="10">
        <f>+'A) Base RI'!J99</f>
        <v>37404.99</v>
      </c>
      <c r="M99" s="10">
        <f>+'A) Base RI'!K99</f>
        <v>7143.2</v>
      </c>
      <c r="N99" s="10">
        <f>+'A) Base RI'!Q99</f>
        <v>0</v>
      </c>
      <c r="O99" s="10">
        <f t="shared" si="7"/>
        <v>170206.1</v>
      </c>
      <c r="P99" s="10">
        <f>+'A) Base RI'!L99</f>
        <v>170206.1</v>
      </c>
      <c r="Q99" s="35">
        <f>'A) Base RI'!AR99</f>
        <v>1</v>
      </c>
      <c r="R99" s="2">
        <f t="shared" si="8"/>
        <v>2240986.21</v>
      </c>
      <c r="S99" s="34">
        <f>+'A) Base RI'!AM99</f>
        <v>75</v>
      </c>
      <c r="T99" s="2">
        <f t="shared" si="9"/>
        <v>2063636.91</v>
      </c>
      <c r="U99" s="2">
        <f t="shared" si="10"/>
        <v>29879.816133333334</v>
      </c>
      <c r="V99" s="10">
        <f>+'A) Base RI'!O99</f>
        <v>48761.8</v>
      </c>
      <c r="W99" s="10">
        <f>+'A) Base RI'!P99</f>
        <v>110647.25</v>
      </c>
      <c r="X99" s="10">
        <f>+'A) Base RI'!R99</f>
        <v>119779.8</v>
      </c>
      <c r="Y99" s="2">
        <f t="shared" si="11"/>
        <v>279188.84999999998</v>
      </c>
      <c r="Z99" s="10">
        <f>+'A) Base RI'!N99</f>
        <v>4705.6000000000004</v>
      </c>
      <c r="AA99" s="10">
        <f>+'A) Base RI'!S99+'A) Base RI'!T99</f>
        <v>1923.25</v>
      </c>
      <c r="AB99" s="10">
        <f>+'A) Base RI'!U99</f>
        <v>5812.5</v>
      </c>
      <c r="AC99" s="10">
        <f>+'A) Base RI'!V99</f>
        <v>1836.5</v>
      </c>
      <c r="AD99" s="10">
        <f>+'A) Base RI'!W99</f>
        <v>0</v>
      </c>
      <c r="AE99" s="10">
        <f>+'A) Base RI'!Y99</f>
        <v>51851.55</v>
      </c>
      <c r="AF99" s="10">
        <f>+'A) Base RI'!Z99</f>
        <v>576</v>
      </c>
      <c r="AG99" s="10">
        <f>+'A) Base RI'!AA99</f>
        <v>128828.9</v>
      </c>
      <c r="AH99" s="10">
        <f>+'A) Base RI'!AB99</f>
        <v>0</v>
      </c>
      <c r="AI99" s="10">
        <f>+'A) Base RI'!AC99</f>
        <v>56954.3</v>
      </c>
      <c r="AJ99" s="10">
        <f>+'A) Base RI'!AD99</f>
        <v>137345.85</v>
      </c>
      <c r="AK99" s="10">
        <f>+'A) Base RI'!AE99</f>
        <v>121504.1</v>
      </c>
      <c r="AL99" s="10">
        <f>+'A) Base RI'!AF99</f>
        <v>0</v>
      </c>
      <c r="AM99" s="10">
        <f>+'A) Base RI'!AG99</f>
        <v>29424.400000000001</v>
      </c>
      <c r="AN99" s="10">
        <f>+'A) Base RI'!AH99</f>
        <v>31648.9</v>
      </c>
      <c r="AO99" s="10">
        <f>+'A) Base RI'!AI99</f>
        <v>0</v>
      </c>
      <c r="AP99" s="10">
        <f>+'A) Base RI'!AJ99</f>
        <v>0</v>
      </c>
      <c r="AQ99" s="10">
        <f>+'A) Base RI'!AK99</f>
        <v>0</v>
      </c>
      <c r="AR99" s="10">
        <f>'A) Base RI'!AN99</f>
        <v>995</v>
      </c>
    </row>
    <row r="100" spans="1:44" x14ac:dyDescent="0.25">
      <c r="A100" s="8">
        <f>'A) Base RI'!A100</f>
        <v>5555</v>
      </c>
      <c r="B100" s="33" t="str">
        <f>'A) Base RI'!B100</f>
        <v>Corcelles-près-Concise</v>
      </c>
      <c r="C100" s="10">
        <f>'A) Base RI'!C100+'A) Base RI'!D100</f>
        <v>843890.51</v>
      </c>
      <c r="D100" s="10">
        <f>'A) Base RI'!AO100</f>
        <v>-12583.29</v>
      </c>
      <c r="E100" s="32">
        <f>'A) Base RI'!AP100</f>
        <v>0</v>
      </c>
      <c r="F100" s="32">
        <f>'A) Base RI'!AQ100</f>
        <v>-55.58</v>
      </c>
      <c r="G100" s="2">
        <f t="shared" si="6"/>
        <v>831251.64</v>
      </c>
      <c r="H100" s="10">
        <f>+'A) Base RI'!E100</f>
        <v>0</v>
      </c>
      <c r="I100" s="10">
        <f>+'A) Base RI'!F100</f>
        <v>0</v>
      </c>
      <c r="J100" s="10">
        <f>+'A) Base RI'!G100+'A) Base RI'!H100</f>
        <v>7362.7000000000007</v>
      </c>
      <c r="K100" s="10">
        <f>+'A) Base RI'!I100</f>
        <v>0</v>
      </c>
      <c r="L100" s="10">
        <f>+'A) Base RI'!J100</f>
        <v>-677.84</v>
      </c>
      <c r="M100" s="10">
        <f>+'A) Base RI'!K100</f>
        <v>2458.85</v>
      </c>
      <c r="N100" s="10">
        <f>+'A) Base RI'!Q100</f>
        <v>341.92</v>
      </c>
      <c r="O100" s="10">
        <f t="shared" si="7"/>
        <v>83632.800000000003</v>
      </c>
      <c r="P100" s="10">
        <f>+'A) Base RI'!L100</f>
        <v>83632.800000000003</v>
      </c>
      <c r="Q100" s="35">
        <f>'A) Base RI'!AR100</f>
        <v>1</v>
      </c>
      <c r="R100" s="2">
        <f t="shared" si="8"/>
        <v>924370.07000000007</v>
      </c>
      <c r="S100" s="34">
        <f>+'A) Base RI'!AM100</f>
        <v>71</v>
      </c>
      <c r="T100" s="2">
        <f t="shared" si="9"/>
        <v>838278.42</v>
      </c>
      <c r="U100" s="2">
        <f t="shared" si="10"/>
        <v>13019.29676056338</v>
      </c>
      <c r="V100" s="10">
        <f>+'A) Base RI'!O100</f>
        <v>15139.1</v>
      </c>
      <c r="W100" s="10">
        <f>+'A) Base RI'!P100</f>
        <v>47802.3</v>
      </c>
      <c r="X100" s="10">
        <f>+'A) Base RI'!R100</f>
        <v>26118.2</v>
      </c>
      <c r="Y100" s="2">
        <f t="shared" si="11"/>
        <v>89059.6</v>
      </c>
      <c r="Z100" s="10">
        <f>+'A) Base RI'!N100</f>
        <v>6304.6</v>
      </c>
      <c r="AA100" s="10">
        <f>+'A) Base RI'!S100+'A) Base RI'!T100</f>
        <v>0</v>
      </c>
      <c r="AB100" s="10">
        <f>+'A) Base RI'!U100</f>
        <v>1410</v>
      </c>
      <c r="AC100" s="10">
        <f>+'A) Base RI'!V100</f>
        <v>0</v>
      </c>
      <c r="AD100" s="10">
        <f>+'A) Base RI'!W100</f>
        <v>0</v>
      </c>
      <c r="AE100" s="10">
        <f>+'A) Base RI'!Y100</f>
        <v>23448</v>
      </c>
      <c r="AF100" s="10">
        <f>+'A) Base RI'!Z100</f>
        <v>0</v>
      </c>
      <c r="AG100" s="10">
        <f>+'A) Base RI'!AA100</f>
        <v>98117.25</v>
      </c>
      <c r="AH100" s="10">
        <f>+'A) Base RI'!AB100</f>
        <v>0</v>
      </c>
      <c r="AI100" s="10">
        <f>+'A) Base RI'!AC100</f>
        <v>23696</v>
      </c>
      <c r="AJ100" s="10">
        <f>+'A) Base RI'!AD100</f>
        <v>39080</v>
      </c>
      <c r="AK100" s="10">
        <f>+'A) Base RI'!AE100</f>
        <v>0</v>
      </c>
      <c r="AL100" s="10">
        <f>+'A) Base RI'!AF100</f>
        <v>0</v>
      </c>
      <c r="AM100" s="10">
        <f>+'A) Base RI'!AG100</f>
        <v>10991.4</v>
      </c>
      <c r="AN100" s="10">
        <f>+'A) Base RI'!AH100</f>
        <v>10353.950000000001</v>
      </c>
      <c r="AO100" s="10">
        <f>+'A) Base RI'!AI100</f>
        <v>0</v>
      </c>
      <c r="AP100" s="10">
        <f>+'A) Base RI'!AJ100</f>
        <v>0</v>
      </c>
      <c r="AQ100" s="10">
        <f>+'A) Base RI'!AK100</f>
        <v>0</v>
      </c>
      <c r="AR100" s="10">
        <f>'A) Base RI'!AN100</f>
        <v>401</v>
      </c>
    </row>
    <row r="101" spans="1:44" x14ac:dyDescent="0.25">
      <c r="A101" s="8">
        <f>'A) Base RI'!A101</f>
        <v>5556</v>
      </c>
      <c r="B101" s="33" t="str">
        <f>'A) Base RI'!B101</f>
        <v>Fiez</v>
      </c>
      <c r="C101" s="10">
        <f>'A) Base RI'!C101+'A) Base RI'!D101</f>
        <v>801282.8</v>
      </c>
      <c r="D101" s="10">
        <f>'A) Base RI'!AO101</f>
        <v>-4379.32</v>
      </c>
      <c r="E101" s="32">
        <f>'A) Base RI'!AP101</f>
        <v>0</v>
      </c>
      <c r="F101" s="32">
        <f>'A) Base RI'!AQ101</f>
        <v>-0.28000000000000003</v>
      </c>
      <c r="G101" s="2">
        <f t="shared" si="6"/>
        <v>796903.20000000007</v>
      </c>
      <c r="H101" s="10">
        <f>+'A) Base RI'!E101</f>
        <v>0</v>
      </c>
      <c r="I101" s="10">
        <f>+'A) Base RI'!F101</f>
        <v>2230</v>
      </c>
      <c r="J101" s="10">
        <f>+'A) Base RI'!G101+'A) Base RI'!H101</f>
        <v>365.95000000000005</v>
      </c>
      <c r="K101" s="10">
        <f>+'A) Base RI'!I101</f>
        <v>0</v>
      </c>
      <c r="L101" s="10">
        <f>+'A) Base RI'!J101</f>
        <v>8244</v>
      </c>
      <c r="M101" s="10">
        <f>+'A) Base RI'!K101</f>
        <v>646.5</v>
      </c>
      <c r="N101" s="10">
        <f>+'A) Base RI'!Q101</f>
        <v>0</v>
      </c>
      <c r="O101" s="10">
        <f t="shared" si="7"/>
        <v>66753.333333333343</v>
      </c>
      <c r="P101" s="10">
        <f>+'A) Base RI'!L101</f>
        <v>80104</v>
      </c>
      <c r="Q101" s="35">
        <f>'A) Base RI'!AR101</f>
        <v>1.2</v>
      </c>
      <c r="R101" s="2">
        <f t="shared" si="8"/>
        <v>875142.9833333334</v>
      </c>
      <c r="S101" s="34">
        <f>+'A) Base RI'!AM101</f>
        <v>69</v>
      </c>
      <c r="T101" s="2">
        <f t="shared" si="9"/>
        <v>805513.15</v>
      </c>
      <c r="U101" s="2">
        <f t="shared" si="10"/>
        <v>12683.231642512079</v>
      </c>
      <c r="V101" s="10">
        <f>+'A) Base RI'!O101</f>
        <v>10692.4</v>
      </c>
      <c r="W101" s="10">
        <f>+'A) Base RI'!P101</f>
        <v>42010.5</v>
      </c>
      <c r="X101" s="10">
        <f>+'A) Base RI'!R101</f>
        <v>43589.1</v>
      </c>
      <c r="Y101" s="2">
        <f t="shared" si="11"/>
        <v>96292</v>
      </c>
      <c r="Z101" s="10">
        <f>+'A) Base RI'!N101</f>
        <v>0</v>
      </c>
      <c r="AA101" s="10">
        <f>+'A) Base RI'!S101+'A) Base RI'!T101</f>
        <v>197.25</v>
      </c>
      <c r="AB101" s="10">
        <f>+'A) Base RI'!U101</f>
        <v>2870</v>
      </c>
      <c r="AC101" s="10">
        <f>+'A) Base RI'!V101</f>
        <v>0</v>
      </c>
      <c r="AD101" s="10">
        <f>+'A) Base RI'!W101</f>
        <v>0</v>
      </c>
      <c r="AE101" s="10">
        <f>+'A) Base RI'!Y101</f>
        <v>3622.5</v>
      </c>
      <c r="AF101" s="10">
        <f>+'A) Base RI'!Z101</f>
        <v>0</v>
      </c>
      <c r="AG101" s="10">
        <f>+'A) Base RI'!AA101</f>
        <v>66768.800000000003</v>
      </c>
      <c r="AH101" s="10">
        <f>+'A) Base RI'!AB101</f>
        <v>0</v>
      </c>
      <c r="AI101" s="10">
        <f>+'A) Base RI'!AC101</f>
        <v>12942.65</v>
      </c>
      <c r="AJ101" s="10">
        <f>+'A) Base RI'!AD101</f>
        <v>0</v>
      </c>
      <c r="AK101" s="10">
        <f>+'A) Base RI'!AE101</f>
        <v>0</v>
      </c>
      <c r="AL101" s="10">
        <f>+'A) Base RI'!AF101</f>
        <v>0</v>
      </c>
      <c r="AM101" s="10">
        <f>+'A) Base RI'!AG101</f>
        <v>480</v>
      </c>
      <c r="AN101" s="10">
        <f>+'A) Base RI'!AH101</f>
        <v>0</v>
      </c>
      <c r="AO101" s="10">
        <f>+'A) Base RI'!AI101</f>
        <v>0</v>
      </c>
      <c r="AP101" s="10">
        <f>+'A) Base RI'!AJ101</f>
        <v>0</v>
      </c>
      <c r="AQ101" s="10">
        <f>+'A) Base RI'!AK101</f>
        <v>0</v>
      </c>
      <c r="AR101" s="10">
        <f>'A) Base RI'!AN101</f>
        <v>447</v>
      </c>
    </row>
    <row r="102" spans="1:44" x14ac:dyDescent="0.25">
      <c r="A102" s="8">
        <f>'A) Base RI'!A102</f>
        <v>5557</v>
      </c>
      <c r="B102" s="33" t="str">
        <f>'A) Base RI'!B102</f>
        <v>Fontaines-sur-Grandson</v>
      </c>
      <c r="C102" s="10">
        <f>'A) Base RI'!C102+'A) Base RI'!D102</f>
        <v>334866.05</v>
      </c>
      <c r="D102" s="10">
        <f>'A) Base RI'!AO102</f>
        <v>-3982.64</v>
      </c>
      <c r="E102" s="32">
        <f>'A) Base RI'!AP102</f>
        <v>0</v>
      </c>
      <c r="F102" s="32">
        <f>'A) Base RI'!AQ102</f>
        <v>0</v>
      </c>
      <c r="G102" s="2">
        <f t="shared" si="6"/>
        <v>330883.40999999997</v>
      </c>
      <c r="H102" s="10">
        <f>+'A) Base RI'!E102</f>
        <v>0</v>
      </c>
      <c r="I102" s="10">
        <f>+'A) Base RI'!F102</f>
        <v>1070</v>
      </c>
      <c r="J102" s="10">
        <f>+'A) Base RI'!G102+'A) Base RI'!H102</f>
        <v>12541.45</v>
      </c>
      <c r="K102" s="10">
        <f>+'A) Base RI'!I102</f>
        <v>0</v>
      </c>
      <c r="L102" s="10">
        <f>+'A) Base RI'!J102</f>
        <v>1547.23</v>
      </c>
      <c r="M102" s="10">
        <f>+'A) Base RI'!K102</f>
        <v>1452.7</v>
      </c>
      <c r="N102" s="10">
        <f>+'A) Base RI'!Q102</f>
        <v>0</v>
      </c>
      <c r="O102" s="10">
        <f t="shared" si="7"/>
        <v>35527</v>
      </c>
      <c r="P102" s="10">
        <f>+'A) Base RI'!L102</f>
        <v>35527</v>
      </c>
      <c r="Q102" s="35">
        <f>'A) Base RI'!AR102</f>
        <v>1</v>
      </c>
      <c r="R102" s="2">
        <f t="shared" si="8"/>
        <v>383021.79</v>
      </c>
      <c r="S102" s="34">
        <f>+'A) Base RI'!AM102</f>
        <v>69</v>
      </c>
      <c r="T102" s="2">
        <f t="shared" si="9"/>
        <v>344972.08999999997</v>
      </c>
      <c r="U102" s="2">
        <f t="shared" si="10"/>
        <v>5551.0404347826088</v>
      </c>
      <c r="V102" s="10">
        <f>+'A) Base RI'!O102</f>
        <v>42371.4</v>
      </c>
      <c r="W102" s="10">
        <f>+'A) Base RI'!P102</f>
        <v>487.95</v>
      </c>
      <c r="X102" s="10">
        <f>+'A) Base RI'!R102</f>
        <v>0</v>
      </c>
      <c r="Y102" s="2">
        <f t="shared" si="11"/>
        <v>42859.35</v>
      </c>
      <c r="Z102" s="10">
        <f>+'A) Base RI'!N102</f>
        <v>0</v>
      </c>
      <c r="AA102" s="10">
        <f>+'A) Base RI'!S102+'A) Base RI'!T102</f>
        <v>0</v>
      </c>
      <c r="AB102" s="10">
        <f>+'A) Base RI'!U102</f>
        <v>735</v>
      </c>
      <c r="AC102" s="10">
        <f>+'A) Base RI'!V102</f>
        <v>0</v>
      </c>
      <c r="AD102" s="10">
        <f>+'A) Base RI'!W102</f>
        <v>0</v>
      </c>
      <c r="AE102" s="10">
        <f>+'A) Base RI'!Y102</f>
        <v>0</v>
      </c>
      <c r="AF102" s="10">
        <f>+'A) Base RI'!Z102</f>
        <v>0</v>
      </c>
      <c r="AG102" s="10">
        <f>+'A) Base RI'!AA102</f>
        <v>25600</v>
      </c>
      <c r="AH102" s="10">
        <f>+'A) Base RI'!AB102</f>
        <v>0</v>
      </c>
      <c r="AI102" s="10">
        <f>+'A) Base RI'!AC102</f>
        <v>14931.6</v>
      </c>
      <c r="AJ102" s="10">
        <f>+'A) Base RI'!AD102</f>
        <v>0</v>
      </c>
      <c r="AK102" s="10">
        <f>+'A) Base RI'!AE102</f>
        <v>0</v>
      </c>
      <c r="AL102" s="10">
        <f>+'A) Base RI'!AF102</f>
        <v>0</v>
      </c>
      <c r="AM102" s="10">
        <f>+'A) Base RI'!AG102</f>
        <v>0</v>
      </c>
      <c r="AN102" s="10">
        <f>+'A) Base RI'!AH102</f>
        <v>0</v>
      </c>
      <c r="AO102" s="10">
        <f>+'A) Base RI'!AI102</f>
        <v>0</v>
      </c>
      <c r="AP102" s="10">
        <f>+'A) Base RI'!AJ102</f>
        <v>0</v>
      </c>
      <c r="AQ102" s="10">
        <f>+'A) Base RI'!AK102</f>
        <v>0</v>
      </c>
      <c r="AR102" s="10">
        <f>'A) Base RI'!AN102</f>
        <v>218</v>
      </c>
    </row>
    <row r="103" spans="1:44" x14ac:dyDescent="0.25">
      <c r="A103" s="8">
        <f>'A) Base RI'!A103</f>
        <v>5559</v>
      </c>
      <c r="B103" s="33" t="str">
        <f>'A) Base RI'!B103</f>
        <v>Giez</v>
      </c>
      <c r="C103" s="10">
        <f>'A) Base RI'!C103+'A) Base RI'!D103</f>
        <v>1080847.99</v>
      </c>
      <c r="D103" s="10">
        <f>'A) Base RI'!AO103</f>
        <v>-25334.97</v>
      </c>
      <c r="E103" s="32">
        <f>'A) Base RI'!AP103</f>
        <v>0</v>
      </c>
      <c r="F103" s="32">
        <f>'A) Base RI'!AQ103</f>
        <v>-23.27</v>
      </c>
      <c r="G103" s="2">
        <f t="shared" si="6"/>
        <v>1055489.75</v>
      </c>
      <c r="H103" s="10">
        <f>+'A) Base RI'!E103</f>
        <v>0</v>
      </c>
      <c r="I103" s="10">
        <f>+'A) Base RI'!F103</f>
        <v>0</v>
      </c>
      <c r="J103" s="10">
        <f>+'A) Base RI'!G103+'A) Base RI'!H103</f>
        <v>194632.6</v>
      </c>
      <c r="K103" s="10">
        <f>+'A) Base RI'!I103</f>
        <v>0</v>
      </c>
      <c r="L103" s="10">
        <f>+'A) Base RI'!J103</f>
        <v>7439.69</v>
      </c>
      <c r="M103" s="10">
        <f>+'A) Base RI'!K103</f>
        <v>3258.2</v>
      </c>
      <c r="N103" s="10">
        <f>+'A) Base RI'!Q103</f>
        <v>6092.3</v>
      </c>
      <c r="O103" s="10">
        <f t="shared" si="7"/>
        <v>84589.2</v>
      </c>
      <c r="P103" s="10">
        <f>+'A) Base RI'!L103</f>
        <v>84589.2</v>
      </c>
      <c r="Q103" s="35">
        <f>'A) Base RI'!AR103</f>
        <v>1</v>
      </c>
      <c r="R103" s="2">
        <f t="shared" si="8"/>
        <v>1351501.74</v>
      </c>
      <c r="S103" s="34">
        <f>+'A) Base RI'!AM103</f>
        <v>66</v>
      </c>
      <c r="T103" s="2">
        <f t="shared" si="9"/>
        <v>1263654.3400000001</v>
      </c>
      <c r="U103" s="2">
        <f t="shared" si="10"/>
        <v>20477.299090909091</v>
      </c>
      <c r="V103" s="10">
        <f>+'A) Base RI'!O103</f>
        <v>30787.8</v>
      </c>
      <c r="W103" s="10">
        <f>+'A) Base RI'!P103</f>
        <v>69001.350000000006</v>
      </c>
      <c r="X103" s="10">
        <f>+'A) Base RI'!R103</f>
        <v>110654.8</v>
      </c>
      <c r="Y103" s="2">
        <f t="shared" si="11"/>
        <v>210443.95</v>
      </c>
      <c r="Z103" s="10">
        <f>+'A) Base RI'!N103</f>
        <v>36403</v>
      </c>
      <c r="AA103" s="10">
        <f>+'A) Base RI'!S103+'A) Base RI'!T103</f>
        <v>447.25</v>
      </c>
      <c r="AB103" s="10">
        <f>+'A) Base RI'!U103</f>
        <v>860</v>
      </c>
      <c r="AC103" s="10">
        <f>+'A) Base RI'!V103</f>
        <v>0</v>
      </c>
      <c r="AD103" s="10">
        <f>+'A) Base RI'!W103</f>
        <v>0</v>
      </c>
      <c r="AE103" s="10">
        <f>+'A) Base RI'!Y103</f>
        <v>7022.4</v>
      </c>
      <c r="AF103" s="10">
        <f>+'A) Base RI'!Z103</f>
        <v>0</v>
      </c>
      <c r="AG103" s="10">
        <f>+'A) Base RI'!AA103</f>
        <v>79611.600000000006</v>
      </c>
      <c r="AH103" s="10">
        <f>+'A) Base RI'!AB103</f>
        <v>0</v>
      </c>
      <c r="AI103" s="10">
        <f>+'A) Base RI'!AC103</f>
        <v>25781.599999999999</v>
      </c>
      <c r="AJ103" s="10">
        <f>+'A) Base RI'!AD103</f>
        <v>6716.4</v>
      </c>
      <c r="AK103" s="10">
        <f>+'A) Base RI'!AE103</f>
        <v>11880</v>
      </c>
      <c r="AL103" s="10">
        <f>+'A) Base RI'!AF103</f>
        <v>0</v>
      </c>
      <c r="AM103" s="10">
        <f>+'A) Base RI'!AG103</f>
        <v>5251.2</v>
      </c>
      <c r="AN103" s="10">
        <f>+'A) Base RI'!AH103</f>
        <v>0</v>
      </c>
      <c r="AO103" s="10">
        <f>+'A) Base RI'!AI103</f>
        <v>0</v>
      </c>
      <c r="AP103" s="10">
        <f>+'A) Base RI'!AJ103</f>
        <v>0</v>
      </c>
      <c r="AQ103" s="10">
        <f>+'A) Base RI'!AK103</f>
        <v>0</v>
      </c>
      <c r="AR103" s="10">
        <f>'A) Base RI'!AN103</f>
        <v>412</v>
      </c>
    </row>
    <row r="104" spans="1:44" x14ac:dyDescent="0.25">
      <c r="A104" s="8">
        <f>'A) Base RI'!A104</f>
        <v>5560</v>
      </c>
      <c r="B104" s="33" t="str">
        <f>'A) Base RI'!B104</f>
        <v>Grandevent</v>
      </c>
      <c r="C104" s="10">
        <f>'A) Base RI'!C104+'A) Base RI'!D104</f>
        <v>464235.12</v>
      </c>
      <c r="D104" s="10">
        <f>'A) Base RI'!AO104</f>
        <v>-11331.81</v>
      </c>
      <c r="E104" s="32">
        <f>'A) Base RI'!AP104</f>
        <v>0</v>
      </c>
      <c r="F104" s="32">
        <f>'A) Base RI'!AQ104</f>
        <v>0</v>
      </c>
      <c r="G104" s="2">
        <f t="shared" si="6"/>
        <v>452903.31</v>
      </c>
      <c r="H104" s="10">
        <f>+'A) Base RI'!E104</f>
        <v>0</v>
      </c>
      <c r="I104" s="10">
        <f>+'A) Base RI'!F104</f>
        <v>0</v>
      </c>
      <c r="J104" s="10">
        <f>+'A) Base RI'!G104+'A) Base RI'!H104</f>
        <v>4548.7</v>
      </c>
      <c r="K104" s="10">
        <f>+'A) Base RI'!I104</f>
        <v>0</v>
      </c>
      <c r="L104" s="10">
        <f>+'A) Base RI'!J104</f>
        <v>1775.79</v>
      </c>
      <c r="M104" s="10">
        <f>+'A) Base RI'!K104</f>
        <v>682.7</v>
      </c>
      <c r="N104" s="10">
        <f>+'A) Base RI'!Q104</f>
        <v>7487.96</v>
      </c>
      <c r="O104" s="10">
        <f t="shared" si="7"/>
        <v>40254.550000000003</v>
      </c>
      <c r="P104" s="10">
        <f>+'A) Base RI'!L104</f>
        <v>40254.550000000003</v>
      </c>
      <c r="Q104" s="35">
        <f>'A) Base RI'!AR104</f>
        <v>1</v>
      </c>
      <c r="R104" s="2">
        <f t="shared" si="8"/>
        <v>507653.01</v>
      </c>
      <c r="S104" s="34">
        <f>+'A) Base RI'!AM104</f>
        <v>68</v>
      </c>
      <c r="T104" s="2">
        <f t="shared" si="9"/>
        <v>466715.76</v>
      </c>
      <c r="U104" s="2">
        <f t="shared" si="10"/>
        <v>7465.4854411764709</v>
      </c>
      <c r="V104" s="10">
        <f>+'A) Base RI'!O104</f>
        <v>1363.2</v>
      </c>
      <c r="W104" s="10">
        <f>+'A) Base RI'!P104</f>
        <v>29429.4</v>
      </c>
      <c r="X104" s="10">
        <f>+'A) Base RI'!R104</f>
        <v>12560.35</v>
      </c>
      <c r="Y104" s="2">
        <f t="shared" si="11"/>
        <v>43352.950000000004</v>
      </c>
      <c r="Z104" s="10">
        <f>+'A) Base RI'!N104</f>
        <v>0</v>
      </c>
      <c r="AA104" s="10">
        <f>+'A) Base RI'!S104+'A) Base RI'!T104</f>
        <v>0</v>
      </c>
      <c r="AB104" s="10">
        <f>+'A) Base RI'!U104</f>
        <v>1600</v>
      </c>
      <c r="AC104" s="10">
        <f>+'A) Base RI'!V104</f>
        <v>0</v>
      </c>
      <c r="AD104" s="10">
        <f>+'A) Base RI'!W104</f>
        <v>0</v>
      </c>
      <c r="AE104" s="10">
        <f>+'A) Base RI'!Y104</f>
        <v>3356</v>
      </c>
      <c r="AF104" s="10">
        <f>+'A) Base RI'!Z104</f>
        <v>0</v>
      </c>
      <c r="AG104" s="10">
        <f>+'A) Base RI'!AA104</f>
        <v>33658</v>
      </c>
      <c r="AH104" s="10">
        <f>+'A) Base RI'!AB104</f>
        <v>0</v>
      </c>
      <c r="AI104" s="10">
        <f>+'A) Base RI'!AC104</f>
        <v>14232.5</v>
      </c>
      <c r="AJ104" s="10">
        <f>+'A) Base RI'!AD104</f>
        <v>6896</v>
      </c>
      <c r="AK104" s="10">
        <f>+'A) Base RI'!AE104</f>
        <v>0</v>
      </c>
      <c r="AL104" s="10">
        <f>+'A) Base RI'!AF104</f>
        <v>0</v>
      </c>
      <c r="AM104" s="10">
        <f>+'A) Base RI'!AG104</f>
        <v>1300</v>
      </c>
      <c r="AN104" s="10">
        <f>+'A) Base RI'!AH104</f>
        <v>0</v>
      </c>
      <c r="AO104" s="10">
        <f>+'A) Base RI'!AI104</f>
        <v>0</v>
      </c>
      <c r="AP104" s="10">
        <f>+'A) Base RI'!AJ104</f>
        <v>0</v>
      </c>
      <c r="AQ104" s="10">
        <f>+'A) Base RI'!AK104</f>
        <v>0</v>
      </c>
      <c r="AR104" s="10">
        <f>'A) Base RI'!AN104</f>
        <v>238</v>
      </c>
    </row>
    <row r="105" spans="1:44" x14ac:dyDescent="0.25">
      <c r="A105" s="8">
        <f>'A) Base RI'!A105</f>
        <v>5561</v>
      </c>
      <c r="B105" s="33" t="str">
        <f>'A) Base RI'!B105</f>
        <v>Grandson</v>
      </c>
      <c r="C105" s="10">
        <f>'A) Base RI'!C105+'A) Base RI'!D105</f>
        <v>7558861.1299999999</v>
      </c>
      <c r="D105" s="10">
        <f>'A) Base RI'!AO105</f>
        <v>-76753.509999999995</v>
      </c>
      <c r="E105" s="32">
        <f>'A) Base RI'!AP105</f>
        <v>0</v>
      </c>
      <c r="F105" s="32">
        <f>'A) Base RI'!AQ105</f>
        <v>-99.93</v>
      </c>
      <c r="G105" s="2">
        <f t="shared" si="6"/>
        <v>7482007.6900000004</v>
      </c>
      <c r="H105" s="10">
        <f>+'A) Base RI'!E105</f>
        <v>0</v>
      </c>
      <c r="I105" s="10">
        <f>+'A) Base RI'!F105</f>
        <v>0</v>
      </c>
      <c r="J105" s="10">
        <f>+'A) Base RI'!G105+'A) Base RI'!H105</f>
        <v>401717.95</v>
      </c>
      <c r="K105" s="10">
        <f>+'A) Base RI'!I105</f>
        <v>0</v>
      </c>
      <c r="L105" s="10">
        <f>+'A) Base RI'!J105</f>
        <v>60864.29</v>
      </c>
      <c r="M105" s="10">
        <f>+'A) Base RI'!K105</f>
        <v>29503.8</v>
      </c>
      <c r="N105" s="10">
        <f>+'A) Base RI'!Q105</f>
        <v>28923.11</v>
      </c>
      <c r="O105" s="10">
        <f t="shared" si="7"/>
        <v>573431.30000000005</v>
      </c>
      <c r="P105" s="10">
        <f>+'A) Base RI'!L105</f>
        <v>573431.30000000005</v>
      </c>
      <c r="Q105" s="35">
        <f>'A) Base RI'!AR105</f>
        <v>1</v>
      </c>
      <c r="R105" s="2">
        <f t="shared" si="8"/>
        <v>8576448.1400000006</v>
      </c>
      <c r="S105" s="34">
        <f>+'A) Base RI'!AM105</f>
        <v>69</v>
      </c>
      <c r="T105" s="2">
        <f t="shared" si="9"/>
        <v>7973513.040000001</v>
      </c>
      <c r="U105" s="2">
        <f t="shared" si="10"/>
        <v>124296.34985507248</v>
      </c>
      <c r="V105" s="10">
        <f>+'A) Base RI'!O105</f>
        <v>303463.3</v>
      </c>
      <c r="W105" s="10">
        <f>+'A) Base RI'!P105</f>
        <v>278925.45</v>
      </c>
      <c r="X105" s="10">
        <f>+'A) Base RI'!R105</f>
        <v>184163.85</v>
      </c>
      <c r="Y105" s="2">
        <f t="shared" si="11"/>
        <v>766552.6</v>
      </c>
      <c r="Z105" s="10">
        <f>+'A) Base RI'!N105</f>
        <v>336581.85</v>
      </c>
      <c r="AA105" s="10">
        <f>+'A) Base RI'!S105+'A) Base RI'!T105</f>
        <v>12982.15</v>
      </c>
      <c r="AB105" s="10">
        <f>+'A) Base RI'!U105</f>
        <v>14310</v>
      </c>
      <c r="AC105" s="10">
        <f>+'A) Base RI'!V105</f>
        <v>540</v>
      </c>
      <c r="AD105" s="10">
        <f>+'A) Base RI'!W105</f>
        <v>0</v>
      </c>
      <c r="AE105" s="10">
        <f>+'A) Base RI'!Y105</f>
        <v>25282.95</v>
      </c>
      <c r="AF105" s="10" t="str">
        <f>+'A) Base RI'!Z105</f>
        <v/>
      </c>
      <c r="AG105" s="10">
        <f>+'A) Base RI'!AA105</f>
        <v>282505.64999999997</v>
      </c>
      <c r="AH105" s="10" t="str">
        <f>+'A) Base RI'!AB105</f>
        <v/>
      </c>
      <c r="AI105" s="10">
        <f>+'A) Base RI'!AC105</f>
        <v>328074.09999999998</v>
      </c>
      <c r="AJ105" s="10">
        <f>+'A) Base RI'!AD105</f>
        <v>268355.15000000002</v>
      </c>
      <c r="AK105" s="10" t="str">
        <f>+'A) Base RI'!AE105</f>
        <v/>
      </c>
      <c r="AL105" s="10" t="str">
        <f>+'A) Base RI'!AF105</f>
        <v/>
      </c>
      <c r="AM105" s="10">
        <f>+'A) Base RI'!AG105</f>
        <v>74815.5</v>
      </c>
      <c r="AN105" s="10">
        <f>+'A) Base RI'!AH105</f>
        <v>101880.6</v>
      </c>
      <c r="AO105" s="10">
        <f>+'A) Base RI'!AI105</f>
        <v>0</v>
      </c>
      <c r="AP105" s="10">
        <f>+'A) Base RI'!AJ105</f>
        <v>0</v>
      </c>
      <c r="AQ105" s="10">
        <f>+'A) Base RI'!AK105</f>
        <v>0</v>
      </c>
      <c r="AR105" s="10">
        <f>'A) Base RI'!AN105</f>
        <v>3360</v>
      </c>
    </row>
    <row r="106" spans="1:44" x14ac:dyDescent="0.25">
      <c r="A106" s="8">
        <f>'A) Base RI'!A106</f>
        <v>5562</v>
      </c>
      <c r="B106" s="33" t="str">
        <f>'A) Base RI'!B106</f>
        <v>Mauborget</v>
      </c>
      <c r="C106" s="10">
        <f>'A) Base RI'!C106+'A) Base RI'!D106</f>
        <v>347586.26</v>
      </c>
      <c r="D106" s="10">
        <f>'A) Base RI'!AO106</f>
        <v>-10676.65</v>
      </c>
      <c r="E106" s="32">
        <f>'A) Base RI'!AP106</f>
        <v>0</v>
      </c>
      <c r="F106" s="32">
        <f>'A) Base RI'!AQ106</f>
        <v>-2.4</v>
      </c>
      <c r="G106" s="2">
        <f t="shared" si="6"/>
        <v>336907.20999999996</v>
      </c>
      <c r="H106" s="10">
        <f>+'A) Base RI'!E106</f>
        <v>0</v>
      </c>
      <c r="I106" s="10">
        <f>+'A) Base RI'!F106</f>
        <v>790</v>
      </c>
      <c r="J106" s="10">
        <f>+'A) Base RI'!G106+'A) Base RI'!H106</f>
        <v>-589.45000000000005</v>
      </c>
      <c r="K106" s="10">
        <f>+'A) Base RI'!I106</f>
        <v>0</v>
      </c>
      <c r="L106" s="10">
        <f>+'A) Base RI'!J106</f>
        <v>740.58</v>
      </c>
      <c r="M106" s="10">
        <f>+'A) Base RI'!K106</f>
        <v>1280</v>
      </c>
      <c r="N106" s="10">
        <f>+'A) Base RI'!Q106</f>
        <v>1991.43</v>
      </c>
      <c r="O106" s="10">
        <f t="shared" si="7"/>
        <v>29097.108333333334</v>
      </c>
      <c r="P106" s="10">
        <f>+'A) Base RI'!L106</f>
        <v>34916.53</v>
      </c>
      <c r="Q106" s="35">
        <f>'A) Base RI'!AR106</f>
        <v>1.2</v>
      </c>
      <c r="R106" s="2">
        <f t="shared" si="8"/>
        <v>370216.8783333333</v>
      </c>
      <c r="S106" s="34">
        <f>+'A) Base RI'!AM106</f>
        <v>70</v>
      </c>
      <c r="T106" s="2">
        <f t="shared" si="9"/>
        <v>339049.76999999996</v>
      </c>
      <c r="U106" s="2">
        <f t="shared" si="10"/>
        <v>5288.8125476190471</v>
      </c>
      <c r="V106" s="10">
        <f>+'A) Base RI'!O106</f>
        <v>11598.8</v>
      </c>
      <c r="W106" s="10">
        <f>+'A) Base RI'!P106</f>
        <v>9845</v>
      </c>
      <c r="X106" s="10">
        <f>+'A) Base RI'!R106</f>
        <v>12475.7</v>
      </c>
      <c r="Y106" s="2">
        <f t="shared" si="11"/>
        <v>33919.5</v>
      </c>
      <c r="Z106" s="10">
        <f>+'A) Base RI'!N106</f>
        <v>452.2</v>
      </c>
      <c r="AA106" s="10">
        <f>+'A) Base RI'!S106+'A) Base RI'!T106</f>
        <v>25</v>
      </c>
      <c r="AB106" s="10">
        <f>+'A) Base RI'!U106</f>
        <v>500</v>
      </c>
      <c r="AC106" s="10">
        <f>+'A) Base RI'!V106</f>
        <v>246.85</v>
      </c>
      <c r="AD106" s="10">
        <f>+'A) Base RI'!W106</f>
        <v>0</v>
      </c>
      <c r="AE106" s="10">
        <f>+'A) Base RI'!Y106</f>
        <v>0</v>
      </c>
      <c r="AF106" s="10">
        <f>+'A) Base RI'!Z106</f>
        <v>0</v>
      </c>
      <c r="AG106" s="10">
        <f>+'A) Base RI'!AA106</f>
        <v>40850</v>
      </c>
      <c r="AH106" s="10">
        <f>+'A) Base RI'!AB106</f>
        <v>0</v>
      </c>
      <c r="AI106" s="10">
        <f>+'A) Base RI'!AC106</f>
        <v>17578.3</v>
      </c>
      <c r="AJ106" s="10">
        <f>+'A) Base RI'!AD106</f>
        <v>0</v>
      </c>
      <c r="AK106" s="10">
        <f>+'A) Base RI'!AE106</f>
        <v>400</v>
      </c>
      <c r="AL106" s="10">
        <f>+'A) Base RI'!AF106</f>
        <v>0</v>
      </c>
      <c r="AM106" s="10">
        <f>+'A) Base RI'!AG106</f>
        <v>6603.35</v>
      </c>
      <c r="AN106" s="10">
        <f>+'A) Base RI'!AH106</f>
        <v>0</v>
      </c>
      <c r="AO106" s="10">
        <f>+'A) Base RI'!AI106</f>
        <v>0</v>
      </c>
      <c r="AP106" s="10">
        <f>+'A) Base RI'!AJ106</f>
        <v>0</v>
      </c>
      <c r="AQ106" s="10">
        <f>+'A) Base RI'!AK106</f>
        <v>0</v>
      </c>
      <c r="AR106" s="10">
        <f>'A) Base RI'!AN106</f>
        <v>122</v>
      </c>
    </row>
    <row r="107" spans="1:44" x14ac:dyDescent="0.25">
      <c r="A107" s="8">
        <f>'A) Base RI'!A107</f>
        <v>5563</v>
      </c>
      <c r="B107" s="33" t="str">
        <f>'A) Base RI'!B107</f>
        <v>Mutrux</v>
      </c>
      <c r="C107" s="10">
        <f>'A) Base RI'!C107+'A) Base RI'!D107</f>
        <v>237758.03</v>
      </c>
      <c r="D107" s="10">
        <f>'A) Base RI'!AO107</f>
        <v>-3398.32</v>
      </c>
      <c r="E107" s="32">
        <f>'A) Base RI'!AP107</f>
        <v>0</v>
      </c>
      <c r="F107" s="32">
        <f>'A) Base RI'!AQ107</f>
        <v>0</v>
      </c>
      <c r="G107" s="2">
        <f t="shared" si="6"/>
        <v>234359.71</v>
      </c>
      <c r="H107" s="10">
        <f>+'A) Base RI'!E107</f>
        <v>0</v>
      </c>
      <c r="I107" s="10">
        <f>+'A) Base RI'!F107</f>
        <v>528</v>
      </c>
      <c r="J107" s="10">
        <f>+'A) Base RI'!G107+'A) Base RI'!H107</f>
        <v>5508.05</v>
      </c>
      <c r="K107" s="10">
        <f>+'A) Base RI'!I107</f>
        <v>0</v>
      </c>
      <c r="L107" s="10">
        <f>+'A) Base RI'!J107</f>
        <v>-367.49</v>
      </c>
      <c r="M107" s="10">
        <f>+'A) Base RI'!K107</f>
        <v>0</v>
      </c>
      <c r="N107" s="10">
        <f>+'A) Base RI'!Q107</f>
        <v>0</v>
      </c>
      <c r="O107" s="10">
        <f t="shared" si="7"/>
        <v>20988.95</v>
      </c>
      <c r="P107" s="10">
        <f>+'A) Base RI'!L107</f>
        <v>20988.95</v>
      </c>
      <c r="Q107" s="35">
        <f>'A) Base RI'!AR107</f>
        <v>1</v>
      </c>
      <c r="R107" s="2">
        <f t="shared" si="8"/>
        <v>261017.22</v>
      </c>
      <c r="S107" s="34">
        <f>+'A) Base RI'!AM107</f>
        <v>78.5</v>
      </c>
      <c r="T107" s="2">
        <f t="shared" si="9"/>
        <v>239500.27</v>
      </c>
      <c r="U107" s="2">
        <f t="shared" si="10"/>
        <v>3325.060127388535</v>
      </c>
      <c r="V107" s="10">
        <f>+'A) Base RI'!O107</f>
        <v>0</v>
      </c>
      <c r="W107" s="10">
        <f>+'A) Base RI'!P107</f>
        <v>9570</v>
      </c>
      <c r="X107" s="10">
        <f>+'A) Base RI'!R107</f>
        <v>1314.3</v>
      </c>
      <c r="Y107" s="2">
        <f t="shared" si="11"/>
        <v>10884.3</v>
      </c>
      <c r="Z107" s="10">
        <f>+'A) Base RI'!N107</f>
        <v>0</v>
      </c>
      <c r="AA107" s="10">
        <f>+'A) Base RI'!S107+'A) Base RI'!T107</f>
        <v>0</v>
      </c>
      <c r="AB107" s="10">
        <f>+'A) Base RI'!U107</f>
        <v>800</v>
      </c>
      <c r="AC107" s="10">
        <f>+'A) Base RI'!V107</f>
        <v>0</v>
      </c>
      <c r="AD107" s="10">
        <f>+'A) Base RI'!W107</f>
        <v>0</v>
      </c>
      <c r="AE107" s="10">
        <f>+'A) Base RI'!Y107</f>
        <v>0</v>
      </c>
      <c r="AF107" s="10">
        <f>+'A) Base RI'!Z107</f>
        <v>0</v>
      </c>
      <c r="AG107" s="10">
        <f>+'A) Base RI'!AA107</f>
        <v>33076.050000000003</v>
      </c>
      <c r="AH107" s="10">
        <f>+'A) Base RI'!AB107</f>
        <v>0</v>
      </c>
      <c r="AI107" s="10">
        <f>+'A) Base RI'!AC107</f>
        <v>10705</v>
      </c>
      <c r="AJ107" s="10">
        <f>+'A) Base RI'!AD107</f>
        <v>0</v>
      </c>
      <c r="AK107" s="10">
        <f>+'A) Base RI'!AE107</f>
        <v>0</v>
      </c>
      <c r="AL107" s="10">
        <f>+'A) Base RI'!AF107</f>
        <v>0</v>
      </c>
      <c r="AM107" s="10">
        <f>+'A) Base RI'!AG107</f>
        <v>0</v>
      </c>
      <c r="AN107" s="10">
        <f>+'A) Base RI'!AH107</f>
        <v>0</v>
      </c>
      <c r="AO107" s="10">
        <f>+'A) Base RI'!AI107</f>
        <v>0</v>
      </c>
      <c r="AP107" s="10">
        <f>+'A) Base RI'!AJ107</f>
        <v>0</v>
      </c>
      <c r="AQ107" s="10">
        <f>+'A) Base RI'!AK107</f>
        <v>0</v>
      </c>
      <c r="AR107" s="10">
        <f>'A) Base RI'!AN107</f>
        <v>158</v>
      </c>
    </row>
    <row r="108" spans="1:44" x14ac:dyDescent="0.25">
      <c r="A108" s="8">
        <f>'A) Base RI'!A108</f>
        <v>5564</v>
      </c>
      <c r="B108" s="33" t="str">
        <f>'A) Base RI'!B108</f>
        <v>Novalles</v>
      </c>
      <c r="C108" s="10">
        <f>'A) Base RI'!C108+'A) Base RI'!D108</f>
        <v>208242.97999999998</v>
      </c>
      <c r="D108" s="10">
        <f>'A) Base RI'!AO108</f>
        <v>-2750.73</v>
      </c>
      <c r="E108" s="32">
        <f>'A) Base RI'!AP108</f>
        <v>0</v>
      </c>
      <c r="F108" s="32">
        <f>'A) Base RI'!AQ108</f>
        <v>-10.42</v>
      </c>
      <c r="G108" s="2">
        <f t="shared" si="6"/>
        <v>205481.82999999996</v>
      </c>
      <c r="H108" s="10">
        <f>+'A) Base RI'!E108</f>
        <v>0</v>
      </c>
      <c r="I108" s="10">
        <f>+'A) Base RI'!F108</f>
        <v>0</v>
      </c>
      <c r="J108" s="10">
        <f>+'A) Base RI'!G108+'A) Base RI'!H108</f>
        <v>138.30000000000001</v>
      </c>
      <c r="K108" s="10">
        <f>+'A) Base RI'!I108</f>
        <v>0</v>
      </c>
      <c r="L108" s="10">
        <f>+'A) Base RI'!J108</f>
        <v>0</v>
      </c>
      <c r="M108" s="10">
        <f>+'A) Base RI'!K108</f>
        <v>0</v>
      </c>
      <c r="N108" s="10">
        <f>+'A) Base RI'!Q108</f>
        <v>0</v>
      </c>
      <c r="O108" s="10">
        <f t="shared" si="7"/>
        <v>13219.6875</v>
      </c>
      <c r="P108" s="10">
        <f>+'A) Base RI'!L108</f>
        <v>10575.75</v>
      </c>
      <c r="Q108" s="35">
        <f>'A) Base RI'!AR108</f>
        <v>0.8</v>
      </c>
      <c r="R108" s="2">
        <f t="shared" si="8"/>
        <v>218839.81749999995</v>
      </c>
      <c r="S108" s="34">
        <f>+'A) Base RI'!AM108</f>
        <v>76</v>
      </c>
      <c r="T108" s="2">
        <f t="shared" si="9"/>
        <v>205620.12999999995</v>
      </c>
      <c r="U108" s="2">
        <f t="shared" si="10"/>
        <v>2879.4712828947363</v>
      </c>
      <c r="V108" s="10">
        <f>+'A) Base RI'!O108</f>
        <v>0</v>
      </c>
      <c r="W108" s="10">
        <f>+'A) Base RI'!P108</f>
        <v>12684.15</v>
      </c>
      <c r="X108" s="10">
        <f>+'A) Base RI'!R108</f>
        <v>14702.65</v>
      </c>
      <c r="Y108" s="2">
        <f t="shared" si="11"/>
        <v>27386.799999999999</v>
      </c>
      <c r="Z108" s="10">
        <f>+'A) Base RI'!N108</f>
        <v>0</v>
      </c>
      <c r="AA108" s="10">
        <f>+'A) Base RI'!S108+'A) Base RI'!T108</f>
        <v>450</v>
      </c>
      <c r="AB108" s="10">
        <f>+'A) Base RI'!U108</f>
        <v>260</v>
      </c>
      <c r="AC108" s="10">
        <f>+'A) Base RI'!V108</f>
        <v>0</v>
      </c>
      <c r="AD108" s="10">
        <f>+'A) Base RI'!W108</f>
        <v>0</v>
      </c>
      <c r="AE108" s="10" t="str">
        <f>+'A) Base RI'!Y108</f>
        <v/>
      </c>
      <c r="AF108" s="10" t="str">
        <f>+'A) Base RI'!Z108</f>
        <v/>
      </c>
      <c r="AG108" s="10">
        <f>+'A) Base RI'!AA108</f>
        <v>26366.6</v>
      </c>
      <c r="AH108" s="10" t="str">
        <f>+'A) Base RI'!AB108</f>
        <v/>
      </c>
      <c r="AI108" s="10">
        <f>+'A) Base RI'!AC108</f>
        <v>8138.4</v>
      </c>
      <c r="AJ108" s="10" t="str">
        <f>+'A) Base RI'!AD108</f>
        <v/>
      </c>
      <c r="AK108" s="10" t="str">
        <f>+'A) Base RI'!AE108</f>
        <v/>
      </c>
      <c r="AL108" s="10" t="str">
        <f>+'A) Base RI'!AF108</f>
        <v/>
      </c>
      <c r="AM108" s="10" t="str">
        <f>+'A) Base RI'!AG108</f>
        <v/>
      </c>
      <c r="AN108" s="10">
        <f>+'A) Base RI'!AH108</f>
        <v>0</v>
      </c>
      <c r="AO108" s="10">
        <f>+'A) Base RI'!AI108</f>
        <v>0</v>
      </c>
      <c r="AP108" s="10">
        <f>+'A) Base RI'!AJ108</f>
        <v>0</v>
      </c>
      <c r="AQ108" s="10">
        <f>+'A) Base RI'!AK108</f>
        <v>0</v>
      </c>
      <c r="AR108" s="10">
        <f>'A) Base RI'!AN108</f>
        <v>101</v>
      </c>
    </row>
    <row r="109" spans="1:44" x14ac:dyDescent="0.25">
      <c r="A109" s="8">
        <f>'A) Base RI'!A109</f>
        <v>5565</v>
      </c>
      <c r="B109" s="33" t="str">
        <f>'A) Base RI'!B109</f>
        <v>Onnens</v>
      </c>
      <c r="C109" s="10">
        <f>'A) Base RI'!C109+'A) Base RI'!D109</f>
        <v>972835.29</v>
      </c>
      <c r="D109" s="10">
        <f>'A) Base RI'!AO109</f>
        <v>-9707.91</v>
      </c>
      <c r="E109" s="32">
        <f>'A) Base RI'!AP109</f>
        <v>0</v>
      </c>
      <c r="F109" s="32">
        <f>'A) Base RI'!AQ109</f>
        <v>0</v>
      </c>
      <c r="G109" s="2">
        <f t="shared" si="6"/>
        <v>963127.38</v>
      </c>
      <c r="H109" s="10">
        <f>+'A) Base RI'!E109</f>
        <v>0</v>
      </c>
      <c r="I109" s="10">
        <f>+'A) Base RI'!F109</f>
        <v>0</v>
      </c>
      <c r="J109" s="10">
        <f>+'A) Base RI'!G109+'A) Base RI'!H109</f>
        <v>284962.65000000002</v>
      </c>
      <c r="K109" s="10">
        <f>+'A) Base RI'!I109</f>
        <v>0</v>
      </c>
      <c r="L109" s="10">
        <f>+'A) Base RI'!J109</f>
        <v>5303.58</v>
      </c>
      <c r="M109" s="10">
        <f>+'A) Base RI'!K109</f>
        <v>42150.15</v>
      </c>
      <c r="N109" s="10">
        <f>+'A) Base RI'!Q109</f>
        <v>1913.3</v>
      </c>
      <c r="O109" s="10">
        <f t="shared" si="7"/>
        <v>123400.7</v>
      </c>
      <c r="P109" s="10">
        <f>+'A) Base RI'!L109</f>
        <v>123400.7</v>
      </c>
      <c r="Q109" s="35">
        <f>'A) Base RI'!AR109</f>
        <v>1</v>
      </c>
      <c r="R109" s="2">
        <f t="shared" si="8"/>
        <v>1420857.76</v>
      </c>
      <c r="S109" s="34">
        <f>+'A) Base RI'!AM109</f>
        <v>65</v>
      </c>
      <c r="T109" s="2">
        <f t="shared" si="9"/>
        <v>1255306.9100000001</v>
      </c>
      <c r="U109" s="2">
        <f t="shared" si="10"/>
        <v>21859.350153846153</v>
      </c>
      <c r="V109" s="10">
        <f>+'A) Base RI'!O109</f>
        <v>407.2</v>
      </c>
      <c r="W109" s="10">
        <f>+'A) Base RI'!P109</f>
        <v>49788.35</v>
      </c>
      <c r="X109" s="10">
        <f>+'A) Base RI'!R109</f>
        <v>16011.5</v>
      </c>
      <c r="Y109" s="2">
        <f t="shared" si="11"/>
        <v>66207.049999999988</v>
      </c>
      <c r="Z109" s="10">
        <f>+'A) Base RI'!N109</f>
        <v>29116.15</v>
      </c>
      <c r="AA109" s="10">
        <f>+'A) Base RI'!S109+'A) Base RI'!T109</f>
        <v>1126.5</v>
      </c>
      <c r="AB109" s="10">
        <f>+'A) Base RI'!U109</f>
        <v>2280</v>
      </c>
      <c r="AC109" s="10">
        <f>+'A) Base RI'!V109</f>
        <v>0</v>
      </c>
      <c r="AD109" s="10">
        <f>+'A) Base RI'!W109</f>
        <v>0</v>
      </c>
      <c r="AE109" s="10">
        <f>+'A) Base RI'!Y109</f>
        <v>9111.4</v>
      </c>
      <c r="AF109" s="10">
        <f>+'A) Base RI'!Z109</f>
        <v>0</v>
      </c>
      <c r="AG109" s="10">
        <f>+'A) Base RI'!AA109</f>
        <v>101069.85</v>
      </c>
      <c r="AH109" s="10">
        <f>+'A) Base RI'!AB109</f>
        <v>0</v>
      </c>
      <c r="AI109" s="10">
        <f>+'A) Base RI'!AC109</f>
        <v>27705.9</v>
      </c>
      <c r="AJ109" s="10">
        <f>+'A) Base RI'!AD109</f>
        <v>22910</v>
      </c>
      <c r="AK109" s="10">
        <f>+'A) Base RI'!AE109</f>
        <v>0</v>
      </c>
      <c r="AL109" s="10">
        <f>+'A) Base RI'!AF109</f>
        <v>0</v>
      </c>
      <c r="AM109" s="10">
        <f>+'A) Base RI'!AG109</f>
        <v>3033.7</v>
      </c>
      <c r="AN109" s="10">
        <f>+'A) Base RI'!AH109</f>
        <v>43389.65</v>
      </c>
      <c r="AO109" s="10">
        <f>+'A) Base RI'!AI109</f>
        <v>0</v>
      </c>
      <c r="AP109" s="10">
        <f>+'A) Base RI'!AJ109</f>
        <v>0</v>
      </c>
      <c r="AQ109" s="10">
        <f>+'A) Base RI'!AK109</f>
        <v>0</v>
      </c>
      <c r="AR109" s="10">
        <f>'A) Base RI'!AN109</f>
        <v>494</v>
      </c>
    </row>
    <row r="110" spans="1:44" x14ac:dyDescent="0.25">
      <c r="A110" s="8">
        <f>'A) Base RI'!A110</f>
        <v>5566</v>
      </c>
      <c r="B110" s="33" t="str">
        <f>'A) Base RI'!B110</f>
        <v>Provence</v>
      </c>
      <c r="C110" s="10">
        <f>'A) Base RI'!C110+'A) Base RI'!D110</f>
        <v>593678.65999999992</v>
      </c>
      <c r="D110" s="10">
        <f>'A) Base RI'!AO110</f>
        <v>-10839.52</v>
      </c>
      <c r="E110" s="32">
        <f>'A) Base RI'!AP110</f>
        <v>0</v>
      </c>
      <c r="F110" s="32">
        <f>'A) Base RI'!AQ110</f>
        <v>0</v>
      </c>
      <c r="G110" s="2">
        <f t="shared" si="6"/>
        <v>582839.1399999999</v>
      </c>
      <c r="H110" s="10">
        <f>+'A) Base RI'!E110</f>
        <v>0</v>
      </c>
      <c r="I110" s="10">
        <f>+'A) Base RI'!F110</f>
        <v>2590</v>
      </c>
      <c r="J110" s="10">
        <f>+'A) Base RI'!G110+'A) Base RI'!H110</f>
        <v>16672.3</v>
      </c>
      <c r="K110" s="10">
        <f>+'A) Base RI'!I110</f>
        <v>0</v>
      </c>
      <c r="L110" s="10">
        <f>+'A) Base RI'!J110</f>
        <v>16211.94</v>
      </c>
      <c r="M110" s="10">
        <f>+'A) Base RI'!K110</f>
        <v>2043.9</v>
      </c>
      <c r="N110" s="10">
        <f>+'A) Base RI'!Q110</f>
        <v>0</v>
      </c>
      <c r="O110" s="10">
        <f t="shared" si="7"/>
        <v>50639.466666666667</v>
      </c>
      <c r="P110" s="10">
        <f>+'A) Base RI'!L110</f>
        <v>75959.199999999997</v>
      </c>
      <c r="Q110" s="35">
        <f>'A) Base RI'!AR110</f>
        <v>1.5</v>
      </c>
      <c r="R110" s="2">
        <f t="shared" si="8"/>
        <v>670996.74666666659</v>
      </c>
      <c r="S110" s="34">
        <f>+'A) Base RI'!AM110</f>
        <v>81</v>
      </c>
      <c r="T110" s="2">
        <f t="shared" si="9"/>
        <v>615723.37999999989</v>
      </c>
      <c r="U110" s="2">
        <f t="shared" si="10"/>
        <v>8283.9104526748961</v>
      </c>
      <c r="V110" s="10">
        <f>+'A) Base RI'!O110</f>
        <v>298.2</v>
      </c>
      <c r="W110" s="10">
        <f>+'A) Base RI'!P110</f>
        <v>51518.5</v>
      </c>
      <c r="X110" s="10">
        <f>+'A) Base RI'!R110</f>
        <v>9317.9</v>
      </c>
      <c r="Y110" s="2">
        <f t="shared" si="11"/>
        <v>61134.6</v>
      </c>
      <c r="Z110" s="10">
        <f>+'A) Base RI'!N110</f>
        <v>50308.05</v>
      </c>
      <c r="AA110" s="10">
        <f>+'A) Base RI'!S110+'A) Base RI'!T110</f>
        <v>897.25</v>
      </c>
      <c r="AB110" s="10">
        <f>+'A) Base RI'!U110</f>
        <v>1865</v>
      </c>
      <c r="AC110" s="10">
        <f>+'A) Base RI'!V110</f>
        <v>0</v>
      </c>
      <c r="AD110" s="10">
        <f>+'A) Base RI'!W110</f>
        <v>0</v>
      </c>
      <c r="AE110" s="10">
        <f>+'A) Base RI'!Y110</f>
        <v>0</v>
      </c>
      <c r="AF110" s="10">
        <f>+'A) Base RI'!Z110</f>
        <v>0</v>
      </c>
      <c r="AG110" s="10">
        <f>+'A) Base RI'!AA110</f>
        <v>28613.1</v>
      </c>
      <c r="AH110" s="10">
        <f>+'A) Base RI'!AB110</f>
        <v>0</v>
      </c>
      <c r="AI110" s="10">
        <f>+'A) Base RI'!AC110</f>
        <v>33782.639999999999</v>
      </c>
      <c r="AJ110" s="10">
        <f>+'A) Base RI'!AD110</f>
        <v>0</v>
      </c>
      <c r="AK110" s="10">
        <f>+'A) Base RI'!AE110</f>
        <v>0</v>
      </c>
      <c r="AL110" s="10">
        <f>+'A) Base RI'!AF110</f>
        <v>0</v>
      </c>
      <c r="AM110" s="10">
        <f>+'A) Base RI'!AG110</f>
        <v>0</v>
      </c>
      <c r="AN110" s="10">
        <f>+'A) Base RI'!AH110</f>
        <v>0</v>
      </c>
      <c r="AO110" s="10">
        <f>+'A) Base RI'!AI110</f>
        <v>0</v>
      </c>
      <c r="AP110" s="10">
        <f>+'A) Base RI'!AJ110</f>
        <v>0</v>
      </c>
      <c r="AQ110" s="10">
        <f>+'A) Base RI'!AK110</f>
        <v>0</v>
      </c>
      <c r="AR110" s="10">
        <f>'A) Base RI'!AN110</f>
        <v>373</v>
      </c>
    </row>
    <row r="111" spans="1:44" x14ac:dyDescent="0.25">
      <c r="A111" s="8">
        <f>'A) Base RI'!A111</f>
        <v>5568</v>
      </c>
      <c r="B111" s="33" t="str">
        <f>'A) Base RI'!B111</f>
        <v>Sainte-Croix</v>
      </c>
      <c r="C111" s="10">
        <f>'A) Base RI'!C111+'A) Base RI'!D111</f>
        <v>6300162.0800000001</v>
      </c>
      <c r="D111" s="10">
        <f>'A) Base RI'!AO111</f>
        <v>-253887.03</v>
      </c>
      <c r="E111" s="32">
        <f>'A) Base RI'!AP111</f>
        <v>0</v>
      </c>
      <c r="F111" s="32">
        <f>'A) Base RI'!AQ111</f>
        <v>-235.29</v>
      </c>
      <c r="G111" s="2">
        <f t="shared" si="6"/>
        <v>6046039.7599999998</v>
      </c>
      <c r="H111" s="10">
        <f>+'A) Base RI'!E111</f>
        <v>0</v>
      </c>
      <c r="I111" s="10">
        <f>+'A) Base RI'!F111</f>
        <v>0</v>
      </c>
      <c r="J111" s="10">
        <f>+'A) Base RI'!G111+'A) Base RI'!H111</f>
        <v>332680.7</v>
      </c>
      <c r="K111" s="10">
        <f>+'A) Base RI'!I111</f>
        <v>23993.55</v>
      </c>
      <c r="L111" s="10">
        <f>+'A) Base RI'!J111</f>
        <v>126850.8</v>
      </c>
      <c r="M111" s="10">
        <f>+'A) Base RI'!K111</f>
        <v>51403.45</v>
      </c>
      <c r="N111" s="10">
        <f>+'A) Base RI'!Q111</f>
        <v>55886.07</v>
      </c>
      <c r="O111" s="10">
        <f t="shared" si="7"/>
        <v>583422.94999999995</v>
      </c>
      <c r="P111" s="10">
        <f>+'A) Base RI'!L111</f>
        <v>583422.94999999995</v>
      </c>
      <c r="Q111" s="35">
        <f>'A) Base RI'!AR111</f>
        <v>1</v>
      </c>
      <c r="R111" s="2">
        <f t="shared" si="8"/>
        <v>7220277.2800000003</v>
      </c>
      <c r="S111" s="34">
        <f>+'A) Base RI'!AM111</f>
        <v>70</v>
      </c>
      <c r="T111" s="2">
        <f t="shared" si="9"/>
        <v>6585450.8799999999</v>
      </c>
      <c r="U111" s="2">
        <f t="shared" si="10"/>
        <v>103146.8182857143</v>
      </c>
      <c r="V111" s="10">
        <f>+'A) Base RI'!O111</f>
        <v>111846</v>
      </c>
      <c r="W111" s="10">
        <f>+'A) Base RI'!P111</f>
        <v>236124.4</v>
      </c>
      <c r="X111" s="10">
        <f>+'A) Base RI'!R111</f>
        <v>212672.35</v>
      </c>
      <c r="Y111" s="2">
        <f t="shared" si="11"/>
        <v>560642.75</v>
      </c>
      <c r="Z111" s="10">
        <f>+'A) Base RI'!N111</f>
        <v>1751558.4</v>
      </c>
      <c r="AA111" s="10">
        <f>+'A) Base RI'!S111+'A) Base RI'!T111</f>
        <v>23807.1</v>
      </c>
      <c r="AB111" s="10">
        <f>+'A) Base RI'!U111</f>
        <v>22500</v>
      </c>
      <c r="AC111" s="10">
        <f>+'A) Base RI'!V111</f>
        <v>0</v>
      </c>
      <c r="AD111" s="10">
        <f>+'A) Base RI'!W111</f>
        <v>0</v>
      </c>
      <c r="AE111" s="10">
        <f>+'A) Base RI'!Y111</f>
        <v>38152.800000000003</v>
      </c>
      <c r="AF111" s="10">
        <f>+'A) Base RI'!Z111</f>
        <v>0</v>
      </c>
      <c r="AG111" s="10">
        <f>+'A) Base RI'!AA111</f>
        <v>1234345.05</v>
      </c>
      <c r="AH111" s="10">
        <f>+'A) Base RI'!AB111</f>
        <v>0</v>
      </c>
      <c r="AI111" s="10">
        <f>+'A) Base RI'!AC111</f>
        <v>919171.03</v>
      </c>
      <c r="AJ111" s="10">
        <f>+'A) Base RI'!AD111</f>
        <v>74114.600000000006</v>
      </c>
      <c r="AK111" s="10">
        <f>+'A) Base RI'!AE111</f>
        <v>0</v>
      </c>
      <c r="AL111" s="10">
        <f>+'A) Base RI'!AF111</f>
        <v>0</v>
      </c>
      <c r="AM111" s="10">
        <f>+'A) Base RI'!AG111</f>
        <v>56658.8</v>
      </c>
      <c r="AN111" s="10">
        <f>+'A) Base RI'!AH111</f>
        <v>0</v>
      </c>
      <c r="AO111" s="10">
        <f>+'A) Base RI'!AI111</f>
        <v>0</v>
      </c>
      <c r="AP111" s="10">
        <f>+'A) Base RI'!AJ111</f>
        <v>139225.29999999999</v>
      </c>
      <c r="AQ111" s="10">
        <f>+'A) Base RI'!AK111</f>
        <v>0</v>
      </c>
      <c r="AR111" s="10">
        <f>'A) Base RI'!AN111</f>
        <v>4845</v>
      </c>
    </row>
    <row r="112" spans="1:44" x14ac:dyDescent="0.25">
      <c r="A112" s="8">
        <f>'A) Base RI'!A112</f>
        <v>5571</v>
      </c>
      <c r="B112" s="33" t="str">
        <f>'A) Base RI'!B112</f>
        <v>Tévenon</v>
      </c>
      <c r="C112" s="10">
        <f>'A) Base RI'!C112+'A) Base RI'!D112</f>
        <v>1472464.5999999999</v>
      </c>
      <c r="D112" s="10">
        <f>'A) Base RI'!AO112</f>
        <v>-24532.29</v>
      </c>
      <c r="E112" s="32">
        <f>'A) Base RI'!AP112</f>
        <v>0</v>
      </c>
      <c r="F112" s="32">
        <f>'A) Base RI'!AQ112</f>
        <v>-0.22</v>
      </c>
      <c r="G112" s="2">
        <f t="shared" si="6"/>
        <v>1447932.0899999999</v>
      </c>
      <c r="H112" s="10">
        <f>+'A) Base RI'!E112</f>
        <v>0</v>
      </c>
      <c r="I112" s="10">
        <f>+'A) Base RI'!F112</f>
        <v>0</v>
      </c>
      <c r="J112" s="10">
        <f>+'A) Base RI'!G112+'A) Base RI'!H112</f>
        <v>2697.7</v>
      </c>
      <c r="K112" s="10">
        <f>+'A) Base RI'!I112</f>
        <v>0</v>
      </c>
      <c r="L112" s="10">
        <f>+'A) Base RI'!J112</f>
        <v>33048.99</v>
      </c>
      <c r="M112" s="10">
        <f>+'A) Base RI'!K112</f>
        <v>6417.3</v>
      </c>
      <c r="N112" s="10">
        <f>+'A) Base RI'!Q112</f>
        <v>0</v>
      </c>
      <c r="O112" s="10">
        <f t="shared" si="7"/>
        <v>152784.08333333334</v>
      </c>
      <c r="P112" s="10">
        <f>+'A) Base RI'!L112</f>
        <v>183340.9</v>
      </c>
      <c r="Q112" s="35">
        <f>'A) Base RI'!AR112</f>
        <v>1.2</v>
      </c>
      <c r="R112" s="2">
        <f t="shared" si="8"/>
        <v>1642880.1633333331</v>
      </c>
      <c r="S112" s="34">
        <f>+'A) Base RI'!AM112</f>
        <v>73</v>
      </c>
      <c r="T112" s="2">
        <f t="shared" si="9"/>
        <v>1483678.7799999998</v>
      </c>
      <c r="U112" s="2">
        <f t="shared" si="10"/>
        <v>22505.207716894973</v>
      </c>
      <c r="V112" s="10">
        <f>+'A) Base RI'!O112</f>
        <v>43750</v>
      </c>
      <c r="W112" s="10">
        <f>+'A) Base RI'!P112</f>
        <v>67609.95</v>
      </c>
      <c r="X112" s="10">
        <f>+'A) Base RI'!R112</f>
        <v>31614.45</v>
      </c>
      <c r="Y112" s="2">
        <f t="shared" si="11"/>
        <v>142974.39999999999</v>
      </c>
      <c r="Z112" s="10">
        <f>+'A) Base RI'!N112</f>
        <v>43949.599999999999</v>
      </c>
      <c r="AA112" s="10">
        <f>+'A) Base RI'!S112+'A) Base RI'!T112</f>
        <v>217.25</v>
      </c>
      <c r="AB112" s="10">
        <f>+'A) Base RI'!U112</f>
        <v>9550</v>
      </c>
      <c r="AC112" s="10">
        <f>+'A) Base RI'!V112</f>
        <v>0</v>
      </c>
      <c r="AD112" s="10">
        <f>+'A) Base RI'!W112</f>
        <v>0</v>
      </c>
      <c r="AE112" s="10">
        <f>+'A) Base RI'!Y112</f>
        <v>13330</v>
      </c>
      <c r="AF112" s="10">
        <f>+'A) Base RI'!Z112</f>
        <v>0</v>
      </c>
      <c r="AG112" s="10">
        <f>+'A) Base RI'!AA112</f>
        <v>120158.55</v>
      </c>
      <c r="AH112" s="10">
        <f>+'A) Base RI'!AB112</f>
        <v>0</v>
      </c>
      <c r="AI112" s="10">
        <f>+'A) Base RI'!AC112</f>
        <v>42203.55</v>
      </c>
      <c r="AJ112" s="10">
        <f>+'A) Base RI'!AD112</f>
        <v>56100</v>
      </c>
      <c r="AK112" s="10">
        <f>+'A) Base RI'!AE112</f>
        <v>0</v>
      </c>
      <c r="AL112" s="10">
        <f>+'A) Base RI'!AF112</f>
        <v>0</v>
      </c>
      <c r="AM112" s="10">
        <f>+'A) Base RI'!AG112</f>
        <v>13567</v>
      </c>
      <c r="AN112" s="10">
        <f>+'A) Base RI'!AH112</f>
        <v>27174.55</v>
      </c>
      <c r="AO112" s="10">
        <f>+'A) Base RI'!AI112</f>
        <v>0</v>
      </c>
      <c r="AP112" s="10">
        <f>+'A) Base RI'!AJ112</f>
        <v>0</v>
      </c>
      <c r="AQ112" s="10">
        <f>+'A) Base RI'!AK112</f>
        <v>0</v>
      </c>
      <c r="AR112" s="10">
        <f>'A) Base RI'!AN112</f>
        <v>877</v>
      </c>
    </row>
    <row r="113" spans="1:44" x14ac:dyDescent="0.25">
      <c r="A113" s="8">
        <f>'A) Base RI'!A113</f>
        <v>5581</v>
      </c>
      <c r="B113" s="33" t="str">
        <f>'A) Base RI'!B113</f>
        <v>Belmont-sur-Lausanne</v>
      </c>
      <c r="C113" s="10">
        <f>'A) Base RI'!C113+'A) Base RI'!D113</f>
        <v>11603929.620000001</v>
      </c>
      <c r="D113" s="10">
        <f>'A) Base RI'!AO113</f>
        <v>-186919.93</v>
      </c>
      <c r="E113" s="32">
        <f>'A) Base RI'!AP113</f>
        <v>0</v>
      </c>
      <c r="F113" s="32">
        <f>'A) Base RI'!AQ113</f>
        <v>-6059.54</v>
      </c>
      <c r="G113" s="2">
        <f t="shared" si="6"/>
        <v>11410950.150000002</v>
      </c>
      <c r="H113" s="10">
        <f>+'A) Base RI'!E113</f>
        <v>0</v>
      </c>
      <c r="I113" s="10">
        <f>+'A) Base RI'!F113</f>
        <v>0</v>
      </c>
      <c r="J113" s="10">
        <f>+'A) Base RI'!G113+'A) Base RI'!H113</f>
        <v>387214.1</v>
      </c>
      <c r="K113" s="10">
        <f>+'A) Base RI'!I113</f>
        <v>74962.5</v>
      </c>
      <c r="L113" s="10">
        <f>+'A) Base RI'!J113</f>
        <v>217409.98</v>
      </c>
      <c r="M113" s="10">
        <f>+'A) Base RI'!K113</f>
        <v>52595.4</v>
      </c>
      <c r="N113" s="10">
        <f>+'A) Base RI'!Q113</f>
        <v>30149.599999999999</v>
      </c>
      <c r="O113" s="10">
        <f t="shared" si="7"/>
        <v>890686.6333333333</v>
      </c>
      <c r="P113" s="10">
        <f>+'A) Base RI'!L113</f>
        <v>1336029.95</v>
      </c>
      <c r="Q113" s="35">
        <f>'A) Base RI'!AR113</f>
        <v>1.5</v>
      </c>
      <c r="R113" s="2">
        <f t="shared" si="8"/>
        <v>13063968.363333335</v>
      </c>
      <c r="S113" s="34">
        <f>+'A) Base RI'!AM113</f>
        <v>69.5</v>
      </c>
      <c r="T113" s="2">
        <f t="shared" si="9"/>
        <v>12120686.330000002</v>
      </c>
      <c r="U113" s="2">
        <f t="shared" si="10"/>
        <v>187970.76781774583</v>
      </c>
      <c r="V113" s="10">
        <f>+'A) Base RI'!O113</f>
        <v>63494.95</v>
      </c>
      <c r="W113" s="10">
        <f>+'A) Base RI'!P113</f>
        <v>708288.15</v>
      </c>
      <c r="X113" s="10">
        <f>+'A) Base RI'!R113</f>
        <v>527596.44999999995</v>
      </c>
      <c r="Y113" s="2">
        <f t="shared" si="11"/>
        <v>1299379.5499999998</v>
      </c>
      <c r="Z113" s="10">
        <f>+'A) Base RI'!N113</f>
        <v>8316.4500000000007</v>
      </c>
      <c r="AA113" s="10">
        <f>+'A) Base RI'!S113+'A) Base RI'!T113</f>
        <v>0</v>
      </c>
      <c r="AB113" s="10">
        <f>+'A) Base RI'!U113</f>
        <v>22000</v>
      </c>
      <c r="AC113" s="10">
        <f>+'A) Base RI'!V113</f>
        <v>0</v>
      </c>
      <c r="AD113" s="10">
        <f>+'A) Base RI'!W113</f>
        <v>0</v>
      </c>
      <c r="AE113" s="10">
        <f>+'A) Base RI'!Y113</f>
        <v>125871.08</v>
      </c>
      <c r="AF113" s="10">
        <f>+'A) Base RI'!Z113</f>
        <v>0</v>
      </c>
      <c r="AG113" s="10">
        <f>+'A) Base RI'!AA113</f>
        <v>496841.17</v>
      </c>
      <c r="AH113" s="10">
        <f>+'A) Base RI'!AB113</f>
        <v>0</v>
      </c>
      <c r="AI113" s="10">
        <f>+'A) Base RI'!AC113</f>
        <v>589931.02</v>
      </c>
      <c r="AJ113" s="10">
        <f>+'A) Base RI'!AD113</f>
        <v>20712.810000000001</v>
      </c>
      <c r="AK113" s="10">
        <f>+'A) Base RI'!AE113</f>
        <v>0</v>
      </c>
      <c r="AL113" s="10">
        <f>+'A) Base RI'!AF113</f>
        <v>0</v>
      </c>
      <c r="AM113" s="10">
        <f>+'A) Base RI'!AG113</f>
        <v>11569.2</v>
      </c>
      <c r="AN113" s="10">
        <f>+'A) Base RI'!AH113</f>
        <v>0</v>
      </c>
      <c r="AO113" s="10">
        <f>+'A) Base RI'!AI113</f>
        <v>83929.61</v>
      </c>
      <c r="AP113" s="10">
        <f>+'A) Base RI'!AJ113</f>
        <v>0</v>
      </c>
      <c r="AQ113" s="10">
        <f>+'A) Base RI'!AK113</f>
        <v>0</v>
      </c>
      <c r="AR113" s="10">
        <f>'A) Base RI'!AN113</f>
        <v>3732</v>
      </c>
    </row>
    <row r="114" spans="1:44" x14ac:dyDescent="0.25">
      <c r="A114" s="8">
        <f>'A) Base RI'!A114</f>
        <v>5582</v>
      </c>
      <c r="B114" s="33" t="str">
        <f>'A) Base RI'!B114</f>
        <v>Cheseaux-sur-Lausanne</v>
      </c>
      <c r="C114" s="10">
        <f>'A) Base RI'!C114+'A) Base RI'!D114</f>
        <v>10025450.350000001</v>
      </c>
      <c r="D114" s="10">
        <f>'A) Base RI'!AO114</f>
        <v>-231049.77</v>
      </c>
      <c r="E114" s="32">
        <f>'A) Base RI'!AP114</f>
        <v>0</v>
      </c>
      <c r="F114" s="32">
        <f>'A) Base RI'!AQ114</f>
        <v>-3170.76</v>
      </c>
      <c r="G114" s="2">
        <f t="shared" si="6"/>
        <v>9791229.8200000022</v>
      </c>
      <c r="H114" s="10">
        <f>+'A) Base RI'!E114</f>
        <v>0</v>
      </c>
      <c r="I114" s="10">
        <f>+'A) Base RI'!F114</f>
        <v>0</v>
      </c>
      <c r="J114" s="10">
        <f>+'A) Base RI'!G114+'A) Base RI'!H114</f>
        <v>1648922.65</v>
      </c>
      <c r="K114" s="10">
        <f>+'A) Base RI'!I114</f>
        <v>15716.78</v>
      </c>
      <c r="L114" s="10">
        <f>+'A) Base RI'!J114</f>
        <v>551253.06000000006</v>
      </c>
      <c r="M114" s="10">
        <f>+'A) Base RI'!K114</f>
        <v>69274.899999999994</v>
      </c>
      <c r="N114" s="10">
        <f>+'A) Base RI'!Q114</f>
        <v>259257.17</v>
      </c>
      <c r="O114" s="10">
        <f t="shared" si="7"/>
        <v>914540.25</v>
      </c>
      <c r="P114" s="10">
        <f>+'A) Base RI'!L114</f>
        <v>914540.25</v>
      </c>
      <c r="Q114" s="35">
        <f>'A) Base RI'!AR114</f>
        <v>1</v>
      </c>
      <c r="R114" s="2">
        <f t="shared" si="8"/>
        <v>13250194.630000003</v>
      </c>
      <c r="S114" s="34">
        <f>+'A) Base RI'!AM114</f>
        <v>74.5</v>
      </c>
      <c r="T114" s="2">
        <f t="shared" si="9"/>
        <v>12266379.480000002</v>
      </c>
      <c r="U114" s="2">
        <f t="shared" si="10"/>
        <v>177854.9614765101</v>
      </c>
      <c r="V114" s="10">
        <f>+'A) Base RI'!O114</f>
        <v>119857.7</v>
      </c>
      <c r="W114" s="10">
        <f>+'A) Base RI'!P114</f>
        <v>169035.2</v>
      </c>
      <c r="X114" s="10">
        <f>+'A) Base RI'!R114</f>
        <v>249507.7</v>
      </c>
      <c r="Y114" s="2">
        <f t="shared" si="11"/>
        <v>538400.60000000009</v>
      </c>
      <c r="Z114" s="10">
        <f>+'A) Base RI'!N114</f>
        <v>461910.4</v>
      </c>
      <c r="AA114" s="10">
        <f>+'A) Base RI'!S114+'A) Base RI'!T114</f>
        <v>8496.2000000000007</v>
      </c>
      <c r="AB114" s="10">
        <f>+'A) Base RI'!U114</f>
        <v>19150</v>
      </c>
      <c r="AC114" s="10">
        <f>+'A) Base RI'!V114</f>
        <v>0</v>
      </c>
      <c r="AD114" s="10">
        <f>+'A) Base RI'!W114</f>
        <v>0</v>
      </c>
      <c r="AE114" s="10">
        <f>+'A) Base RI'!Y114</f>
        <v>18919.849999999999</v>
      </c>
      <c r="AF114" s="10">
        <f>+'A) Base RI'!Z114</f>
        <v>1579.1</v>
      </c>
      <c r="AG114" s="10">
        <f>+'A) Base RI'!AA114</f>
        <v>662250.87</v>
      </c>
      <c r="AH114" s="10">
        <f>+'A) Base RI'!AB114</f>
        <v>0</v>
      </c>
      <c r="AI114" s="10">
        <f>+'A) Base RI'!AC114</f>
        <v>480970.5</v>
      </c>
      <c r="AJ114" s="10">
        <f>+'A) Base RI'!AD114</f>
        <v>0</v>
      </c>
      <c r="AK114" s="10">
        <f>+'A) Base RI'!AE114</f>
        <v>0</v>
      </c>
      <c r="AL114" s="10">
        <f>+'A) Base RI'!AF114</f>
        <v>0</v>
      </c>
      <c r="AM114" s="10">
        <f>+'A) Base RI'!AG114</f>
        <v>0</v>
      </c>
      <c r="AN114" s="10">
        <f>+'A) Base RI'!AH114</f>
        <v>196743.35</v>
      </c>
      <c r="AO114" s="10">
        <f>+'A) Base RI'!AI114</f>
        <v>0</v>
      </c>
      <c r="AP114" s="10">
        <f>+'A) Base RI'!AJ114</f>
        <v>0</v>
      </c>
      <c r="AQ114" s="10">
        <f>+'A) Base RI'!AK114</f>
        <v>0</v>
      </c>
      <c r="AR114" s="10">
        <f>'A) Base RI'!AN114</f>
        <v>4338</v>
      </c>
    </row>
    <row r="115" spans="1:44" x14ac:dyDescent="0.25">
      <c r="A115" s="8">
        <f>'A) Base RI'!A115</f>
        <v>5583</v>
      </c>
      <c r="B115" s="33" t="str">
        <f>'A) Base RI'!B115</f>
        <v>Crissier</v>
      </c>
      <c r="C115" s="10">
        <f>'A) Base RI'!C115+'A) Base RI'!D115</f>
        <v>13949468.879999999</v>
      </c>
      <c r="D115" s="10">
        <f>'A) Base RI'!AO115</f>
        <v>-304823.90999999997</v>
      </c>
      <c r="E115" s="32">
        <f>'A) Base RI'!AP115</f>
        <v>0</v>
      </c>
      <c r="F115" s="32">
        <f>'A) Base RI'!AQ115</f>
        <v>-622.57000000000005</v>
      </c>
      <c r="G115" s="2">
        <f t="shared" si="6"/>
        <v>13644022.399999999</v>
      </c>
      <c r="H115" s="10">
        <f>+'A) Base RI'!E115</f>
        <v>0</v>
      </c>
      <c r="I115" s="10">
        <f>+'A) Base RI'!F115</f>
        <v>0</v>
      </c>
      <c r="J115" s="10">
        <f>+'A) Base RI'!G115+'A) Base RI'!H115</f>
        <v>5283299.5999999996</v>
      </c>
      <c r="K115" s="10">
        <f>+'A) Base RI'!I115</f>
        <v>0</v>
      </c>
      <c r="L115" s="10">
        <f>+'A) Base RI'!J115</f>
        <v>739111.01</v>
      </c>
      <c r="M115" s="10">
        <f>+'A) Base RI'!K115</f>
        <v>320684.25</v>
      </c>
      <c r="N115" s="10">
        <f>+'A) Base RI'!Q115</f>
        <v>32784.97</v>
      </c>
      <c r="O115" s="10">
        <f t="shared" si="7"/>
        <v>2279166.4500000002</v>
      </c>
      <c r="P115" s="10">
        <f>+'A) Base RI'!L115</f>
        <v>2279166.4500000002</v>
      </c>
      <c r="Q115" s="35">
        <f>'A) Base RI'!AR115</f>
        <v>1</v>
      </c>
      <c r="R115" s="2">
        <f t="shared" si="8"/>
        <v>22299068.68</v>
      </c>
      <c r="S115" s="34">
        <f>+'A) Base RI'!AM115</f>
        <v>65</v>
      </c>
      <c r="T115" s="2">
        <f t="shared" si="9"/>
        <v>19699217.98</v>
      </c>
      <c r="U115" s="2">
        <f t="shared" si="10"/>
        <v>343062.59507692308</v>
      </c>
      <c r="V115" s="10">
        <f>+'A) Base RI'!O115</f>
        <v>464820.8</v>
      </c>
      <c r="W115" s="10">
        <f>+'A) Base RI'!P115</f>
        <v>1859712.7</v>
      </c>
      <c r="X115" s="10">
        <f>+'A) Base RI'!R115</f>
        <v>822560</v>
      </c>
      <c r="Y115" s="2">
        <f t="shared" si="11"/>
        <v>3147093.5</v>
      </c>
      <c r="Z115" s="10">
        <f>+'A) Base RI'!N115</f>
        <v>1826234.1</v>
      </c>
      <c r="AA115" s="10">
        <f>+'A) Base RI'!S115+'A) Base RI'!T115</f>
        <v>0</v>
      </c>
      <c r="AB115" s="10">
        <f>+'A) Base RI'!U115</f>
        <v>45300</v>
      </c>
      <c r="AC115" s="10">
        <f>+'A) Base RI'!V115</f>
        <v>564</v>
      </c>
      <c r="AD115" s="10">
        <f>+'A) Base RI'!W115</f>
        <v>154742.29999999999</v>
      </c>
      <c r="AE115" s="10">
        <f>+'A) Base RI'!Y115</f>
        <v>0</v>
      </c>
      <c r="AF115" s="10">
        <f>+'A) Base RI'!Z115</f>
        <v>0</v>
      </c>
      <c r="AG115" s="10">
        <f>+'A) Base RI'!AA115</f>
        <v>1652683.95</v>
      </c>
      <c r="AH115" s="10">
        <f>+'A) Base RI'!AB115</f>
        <v>0</v>
      </c>
      <c r="AI115" s="10">
        <f>+'A) Base RI'!AC115</f>
        <v>975623.24</v>
      </c>
      <c r="AJ115" s="10">
        <f>+'A) Base RI'!AD115</f>
        <v>71029.7</v>
      </c>
      <c r="AK115" s="10">
        <f>+'A) Base RI'!AE115</f>
        <v>14465.15</v>
      </c>
      <c r="AL115" s="10">
        <f>+'A) Base RI'!AF115</f>
        <v>333.95</v>
      </c>
      <c r="AM115" s="10">
        <f>+'A) Base RI'!AG115</f>
        <v>260718.3</v>
      </c>
      <c r="AN115" s="10">
        <f>+'A) Base RI'!AH115</f>
        <v>585557.75</v>
      </c>
      <c r="AO115" s="10">
        <f>+'A) Base RI'!AI115</f>
        <v>0</v>
      </c>
      <c r="AP115" s="10">
        <f>+'A) Base RI'!AJ115</f>
        <v>83551.100000000006</v>
      </c>
      <c r="AQ115" s="10">
        <f>+'A) Base RI'!AK115</f>
        <v>0</v>
      </c>
      <c r="AR115" s="10">
        <f>'A) Base RI'!AN115</f>
        <v>7905</v>
      </c>
    </row>
    <row r="116" spans="1:44" x14ac:dyDescent="0.25">
      <c r="A116" s="8">
        <f>'A) Base RI'!A116</f>
        <v>5584</v>
      </c>
      <c r="B116" s="33" t="str">
        <f>'A) Base RI'!B116</f>
        <v>Epalinges</v>
      </c>
      <c r="C116" s="10">
        <f>'A) Base RI'!C116+'A) Base RI'!D116</f>
        <v>26178849.869999997</v>
      </c>
      <c r="D116" s="10">
        <f>'A) Base RI'!AO116</f>
        <v>-261895.43</v>
      </c>
      <c r="E116" s="32">
        <f>'A) Base RI'!AP116</f>
        <v>0</v>
      </c>
      <c r="F116" s="32">
        <f>'A) Base RI'!AQ116</f>
        <v>-13214.4</v>
      </c>
      <c r="G116" s="2">
        <f t="shared" si="6"/>
        <v>25903740.039999999</v>
      </c>
      <c r="H116" s="10">
        <f>+'A) Base RI'!E116</f>
        <v>0</v>
      </c>
      <c r="I116" s="10">
        <f>+'A) Base RI'!F116</f>
        <v>0</v>
      </c>
      <c r="J116" s="10">
        <f>+'A) Base RI'!G116+'A) Base RI'!H116</f>
        <v>1644388.5</v>
      </c>
      <c r="K116" s="10">
        <f>+'A) Base RI'!I116</f>
        <v>383226.87</v>
      </c>
      <c r="L116" s="10">
        <f>+'A) Base RI'!J116</f>
        <v>515611.77</v>
      </c>
      <c r="M116" s="10">
        <f>+'A) Base RI'!K116</f>
        <v>200179.4</v>
      </c>
      <c r="N116" s="10">
        <f>+'A) Base RI'!Q116</f>
        <v>102435.65</v>
      </c>
      <c r="O116" s="10">
        <f t="shared" si="7"/>
        <v>2180344.0499999998</v>
      </c>
      <c r="P116" s="10">
        <f>+'A) Base RI'!L116</f>
        <v>2180344.0499999998</v>
      </c>
      <c r="Q116" s="35">
        <f>'A) Base RI'!AR116</f>
        <v>1</v>
      </c>
      <c r="R116" s="2">
        <f t="shared" si="8"/>
        <v>30929926.279999997</v>
      </c>
      <c r="S116" s="34">
        <f>+'A) Base RI'!AM116</f>
        <v>66</v>
      </c>
      <c r="T116" s="2">
        <f t="shared" si="9"/>
        <v>28549402.829999998</v>
      </c>
      <c r="U116" s="2">
        <f t="shared" si="10"/>
        <v>468635.24666666664</v>
      </c>
      <c r="V116" s="10">
        <f>+'A) Base RI'!O116</f>
        <v>5419507.0999999996</v>
      </c>
      <c r="W116" s="10">
        <f>+'A) Base RI'!P116</f>
        <v>950372.6</v>
      </c>
      <c r="X116" s="10">
        <f>+'A) Base RI'!R116</f>
        <v>1114661.75</v>
      </c>
      <c r="Y116" s="2">
        <f t="shared" si="11"/>
        <v>7484541.4499999993</v>
      </c>
      <c r="Z116" s="10">
        <f>+'A) Base RI'!N116</f>
        <v>292689.40000000002</v>
      </c>
      <c r="AA116" s="10">
        <f>+'A) Base RI'!S116+'A) Base RI'!T116</f>
        <v>34210.65</v>
      </c>
      <c r="AB116" s="10">
        <f>+'A) Base RI'!U116</f>
        <v>33080</v>
      </c>
      <c r="AC116" s="10">
        <f>+'A) Base RI'!V116</f>
        <v>249.6</v>
      </c>
      <c r="AD116" s="10">
        <f>+'A) Base RI'!W116</f>
        <v>0</v>
      </c>
      <c r="AE116" s="10">
        <f>+'A) Base RI'!Y116</f>
        <v>348178.34</v>
      </c>
      <c r="AF116" s="10">
        <f>+'A) Base RI'!Z116</f>
        <v>0</v>
      </c>
      <c r="AG116" s="10">
        <f>+'A) Base RI'!AA116</f>
        <v>523247.03</v>
      </c>
      <c r="AH116" s="10">
        <f>+'A) Base RI'!AB116</f>
        <v>0</v>
      </c>
      <c r="AI116" s="10">
        <f>+'A) Base RI'!AC116</f>
        <v>785135.42</v>
      </c>
      <c r="AJ116" s="10">
        <f>+'A) Base RI'!AD116</f>
        <v>0</v>
      </c>
      <c r="AK116" s="10">
        <f>+'A) Base RI'!AE116</f>
        <v>0</v>
      </c>
      <c r="AL116" s="10">
        <f>+'A) Base RI'!AF116</f>
        <v>0</v>
      </c>
      <c r="AM116" s="10">
        <f>+'A) Base RI'!AG116</f>
        <v>0</v>
      </c>
      <c r="AN116" s="10">
        <f>+'A) Base RI'!AH116</f>
        <v>165000</v>
      </c>
      <c r="AO116" s="10">
        <f>+'A) Base RI'!AI116</f>
        <v>0</v>
      </c>
      <c r="AP116" s="10">
        <f>+'A) Base RI'!AJ116</f>
        <v>0</v>
      </c>
      <c r="AQ116" s="10">
        <f>+'A) Base RI'!AK116</f>
        <v>0</v>
      </c>
      <c r="AR116" s="10">
        <f>'A) Base RI'!AN116</f>
        <v>9624</v>
      </c>
    </row>
    <row r="117" spans="1:44" x14ac:dyDescent="0.25">
      <c r="A117" s="8">
        <f>'A) Base RI'!A117</f>
        <v>5585</v>
      </c>
      <c r="B117" s="33" t="str">
        <f>'A) Base RI'!B117</f>
        <v>Jouxtens-Mézery</v>
      </c>
      <c r="C117" s="10">
        <f>'A) Base RI'!C117+'A) Base RI'!D117</f>
        <v>10727929.279999999</v>
      </c>
      <c r="D117" s="10">
        <f>'A) Base RI'!AO117</f>
        <v>-4058.81</v>
      </c>
      <c r="E117" s="32">
        <f>'A) Base RI'!AP117</f>
        <v>0</v>
      </c>
      <c r="F117" s="32">
        <f>'A) Base RI'!AQ117</f>
        <v>-2494.77</v>
      </c>
      <c r="G117" s="2">
        <f t="shared" si="6"/>
        <v>10721375.699999999</v>
      </c>
      <c r="H117" s="10">
        <f>+'A) Base RI'!E117</f>
        <v>0</v>
      </c>
      <c r="I117" s="10">
        <f>+'A) Base RI'!F117</f>
        <v>0</v>
      </c>
      <c r="J117" s="10">
        <f>+'A) Base RI'!G117+'A) Base RI'!H117</f>
        <v>320022.15000000002</v>
      </c>
      <c r="K117" s="10">
        <f>+'A) Base RI'!I117</f>
        <v>237788.45</v>
      </c>
      <c r="L117" s="10">
        <f>+'A) Base RI'!J117</f>
        <v>47071.48</v>
      </c>
      <c r="M117" s="10">
        <f>+'A) Base RI'!K117</f>
        <v>-19247.849999999999</v>
      </c>
      <c r="N117" s="10">
        <f>+'A) Base RI'!Q117</f>
        <v>1902.16</v>
      </c>
      <c r="O117" s="10">
        <f t="shared" si="7"/>
        <v>478050.95</v>
      </c>
      <c r="P117" s="10">
        <f>+'A) Base RI'!L117</f>
        <v>478050.95</v>
      </c>
      <c r="Q117" s="35">
        <f>'A) Base RI'!AR117</f>
        <v>1</v>
      </c>
      <c r="R117" s="2">
        <f t="shared" si="8"/>
        <v>11786963.039999999</v>
      </c>
      <c r="S117" s="34">
        <f>+'A) Base RI'!AM117</f>
        <v>53</v>
      </c>
      <c r="T117" s="2">
        <f t="shared" si="9"/>
        <v>11328159.939999999</v>
      </c>
      <c r="U117" s="2">
        <f t="shared" si="10"/>
        <v>222395.52905660376</v>
      </c>
      <c r="V117" s="10">
        <f>+'A) Base RI'!O117</f>
        <v>61605.4</v>
      </c>
      <c r="W117" s="10">
        <f>+'A) Base RI'!P117</f>
        <v>259006.65</v>
      </c>
      <c r="X117" s="10">
        <f>+'A) Base RI'!R117</f>
        <v>164493.79999999999</v>
      </c>
      <c r="Y117" s="2">
        <f t="shared" si="11"/>
        <v>485105.85</v>
      </c>
      <c r="Z117" s="10">
        <f>+'A) Base RI'!N117</f>
        <v>1998.15</v>
      </c>
      <c r="AA117" s="10">
        <f>+'A) Base RI'!S117+'A) Base RI'!T117</f>
        <v>0</v>
      </c>
      <c r="AB117" s="10">
        <f>+'A) Base RI'!U117</f>
        <v>7110</v>
      </c>
      <c r="AC117" s="10">
        <f>+'A) Base RI'!V117</f>
        <v>0</v>
      </c>
      <c r="AD117" s="10">
        <f>+'A) Base RI'!W117</f>
        <v>0</v>
      </c>
      <c r="AE117" s="10">
        <f>+'A) Base RI'!Y117</f>
        <v>56819.5</v>
      </c>
      <c r="AF117" s="10">
        <f>+'A) Base RI'!Z117</f>
        <v>0</v>
      </c>
      <c r="AG117" s="10">
        <f>+'A) Base RI'!AA117</f>
        <v>321570.95</v>
      </c>
      <c r="AH117" s="10">
        <f>+'A) Base RI'!AB117</f>
        <v>0</v>
      </c>
      <c r="AI117" s="10">
        <f>+'A) Base RI'!AC117</f>
        <v>109670.7</v>
      </c>
      <c r="AJ117" s="10">
        <f>+'A) Base RI'!AD117</f>
        <v>0</v>
      </c>
      <c r="AK117" s="10">
        <f>+'A) Base RI'!AE117</f>
        <v>0</v>
      </c>
      <c r="AL117" s="10">
        <f>+'A) Base RI'!AF117</f>
        <v>0</v>
      </c>
      <c r="AM117" s="10">
        <f>+'A) Base RI'!AG117</f>
        <v>0</v>
      </c>
      <c r="AN117" s="10">
        <f>+'A) Base RI'!AH117</f>
        <v>0</v>
      </c>
      <c r="AO117" s="10">
        <f>+'A) Base RI'!AI117</f>
        <v>0</v>
      </c>
      <c r="AP117" s="10">
        <f>+'A) Base RI'!AJ117</f>
        <v>0</v>
      </c>
      <c r="AQ117" s="10">
        <f>+'A) Base RI'!AK117</f>
        <v>0</v>
      </c>
      <c r="AR117" s="10">
        <f>'A) Base RI'!AN117</f>
        <v>1471</v>
      </c>
    </row>
    <row r="118" spans="1:44" x14ac:dyDescent="0.25">
      <c r="A118" s="8">
        <f>'A) Base RI'!A118</f>
        <v>5586</v>
      </c>
      <c r="B118" s="33" t="str">
        <f>'A) Base RI'!B118</f>
        <v>Lausanne</v>
      </c>
      <c r="C118" s="10">
        <f>'A) Base RI'!C118+'A) Base RI'!D118</f>
        <v>331938728.91000003</v>
      </c>
      <c r="D118" s="10">
        <f>'A) Base RI'!AO118</f>
        <v>-9959374.2300000004</v>
      </c>
      <c r="E118" s="32">
        <f>'A) Base RI'!AP118</f>
        <v>0</v>
      </c>
      <c r="F118" s="32">
        <f>'A) Base RI'!AQ118</f>
        <v>-820140.22</v>
      </c>
      <c r="G118" s="2">
        <f t="shared" si="6"/>
        <v>321159214.45999998</v>
      </c>
      <c r="H118" s="10">
        <f>+'A) Base RI'!E118</f>
        <v>0</v>
      </c>
      <c r="I118" s="10">
        <f>+'A) Base RI'!F118</f>
        <v>0</v>
      </c>
      <c r="J118" s="10">
        <f>+'A) Base RI'!G118+'A) Base RI'!H118</f>
        <v>90396957.200000003</v>
      </c>
      <c r="K118" s="10">
        <f>+'A) Base RI'!I118</f>
        <v>5337145.84</v>
      </c>
      <c r="L118" s="10">
        <f>+'A) Base RI'!J118</f>
        <v>24759050.420000002</v>
      </c>
      <c r="M118" s="10">
        <f>+'A) Base RI'!K118</f>
        <v>5311444.3</v>
      </c>
      <c r="N118" s="10">
        <f>+'A) Base RI'!Q118</f>
        <v>1834072.04</v>
      </c>
      <c r="O118" s="10">
        <f t="shared" si="7"/>
        <v>25089098.833333332</v>
      </c>
      <c r="P118" s="10">
        <f>+'A) Base RI'!L118</f>
        <v>37633648.25</v>
      </c>
      <c r="Q118" s="35">
        <f>'A) Base RI'!AR118</f>
        <v>1.5</v>
      </c>
      <c r="R118" s="2">
        <f t="shared" si="8"/>
        <v>473886983.0933333</v>
      </c>
      <c r="S118" s="34">
        <f>+'A) Base RI'!AM118</f>
        <v>79</v>
      </c>
      <c r="T118" s="2">
        <f t="shared" si="9"/>
        <v>443486439.95999998</v>
      </c>
      <c r="U118" s="2">
        <f t="shared" si="10"/>
        <v>5998569.406244725</v>
      </c>
      <c r="V118" s="10">
        <f>+'A) Base RI'!O118</f>
        <v>20038418.149999999</v>
      </c>
      <c r="W118" s="10">
        <f>+'A) Base RI'!P118</f>
        <v>10237652.1</v>
      </c>
      <c r="X118" s="10">
        <f>+'A) Base RI'!R118</f>
        <v>8627031.6500000004</v>
      </c>
      <c r="Y118" s="2">
        <f t="shared" si="11"/>
        <v>38903101.899999999</v>
      </c>
      <c r="Z118" s="10">
        <f>+'A) Base RI'!N118</f>
        <v>10875129.949999999</v>
      </c>
      <c r="AA118" s="10">
        <f>+'A) Base RI'!S118+'A) Base RI'!T118</f>
        <v>0</v>
      </c>
      <c r="AB118" s="10">
        <f>+'A) Base RI'!U118</f>
        <v>376450</v>
      </c>
      <c r="AC118" s="10">
        <f>+'A) Base RI'!V118</f>
        <v>6164662.9000000004</v>
      </c>
      <c r="AD118" s="10">
        <f>+'A) Base RI'!W118</f>
        <v>0</v>
      </c>
      <c r="AE118" s="10">
        <f>+'A) Base RI'!Y118</f>
        <v>4787146.45</v>
      </c>
      <c r="AF118" s="10">
        <f>+'A) Base RI'!Z118</f>
        <v>0</v>
      </c>
      <c r="AG118" s="10">
        <f>+'A) Base RI'!AA118</f>
        <v>19753488.690000001</v>
      </c>
      <c r="AH118" s="10">
        <f>+'A) Base RI'!AB118</f>
        <v>0</v>
      </c>
      <c r="AI118" s="10">
        <f>+'A) Base RI'!AC118</f>
        <v>22042284.199999999</v>
      </c>
      <c r="AJ118" s="10">
        <f>+'A) Base RI'!AD118</f>
        <v>6820383</v>
      </c>
      <c r="AK118" s="10">
        <f>+'A) Base RI'!AE118</f>
        <v>0</v>
      </c>
      <c r="AL118" s="10">
        <f>+'A) Base RI'!AF118</f>
        <v>0</v>
      </c>
      <c r="AM118" s="10">
        <f>+'A) Base RI'!AG118</f>
        <v>4037603.19</v>
      </c>
      <c r="AN118" s="10">
        <f>+'A) Base RI'!AH118</f>
        <v>7901541.6200000001</v>
      </c>
      <c r="AO118" s="10">
        <f>+'A) Base RI'!AI118</f>
        <v>6089836.0199999996</v>
      </c>
      <c r="AP118" s="10">
        <f>+'A) Base RI'!AJ118</f>
        <v>1671758.89</v>
      </c>
      <c r="AQ118" s="10">
        <f>+'A) Base RI'!AK118</f>
        <v>1671702</v>
      </c>
      <c r="AR118" s="10">
        <f>'A) Base RI'!AN118</f>
        <v>139720</v>
      </c>
    </row>
    <row r="119" spans="1:44" x14ac:dyDescent="0.25">
      <c r="A119" s="8">
        <f>'A) Base RI'!A119</f>
        <v>5587</v>
      </c>
      <c r="B119" s="33" t="str">
        <f>'A) Base RI'!B119</f>
        <v>Le Mont-sur-Lausanne</v>
      </c>
      <c r="C119" s="10">
        <f>'A) Base RI'!C119+'A) Base RI'!D119</f>
        <v>26087087.740000002</v>
      </c>
      <c r="D119" s="10">
        <f>'A) Base RI'!AO119</f>
        <v>-340311.73</v>
      </c>
      <c r="E119" s="32">
        <f>'A) Base RI'!AP119</f>
        <v>0</v>
      </c>
      <c r="F119" s="32">
        <f>'A) Base RI'!AQ119</f>
        <v>-12218.61</v>
      </c>
      <c r="G119" s="2">
        <f t="shared" si="6"/>
        <v>25734557.400000002</v>
      </c>
      <c r="H119" s="10">
        <f>+'A) Base RI'!E119</f>
        <v>0</v>
      </c>
      <c r="I119" s="10">
        <f>+'A) Base RI'!F119</f>
        <v>0</v>
      </c>
      <c r="J119" s="10">
        <f>+'A) Base RI'!G119+'A) Base RI'!H119</f>
        <v>2584482.9</v>
      </c>
      <c r="K119" s="10">
        <f>+'A) Base RI'!I119</f>
        <v>470446.05</v>
      </c>
      <c r="L119" s="10">
        <f>+'A) Base RI'!J119</f>
        <v>375002.01</v>
      </c>
      <c r="M119" s="10">
        <f>+'A) Base RI'!K119</f>
        <v>346593.8</v>
      </c>
      <c r="N119" s="10">
        <f>+'A) Base RI'!Q119</f>
        <v>85796.98</v>
      </c>
      <c r="O119" s="10">
        <f t="shared" si="7"/>
        <v>2412327.375</v>
      </c>
      <c r="P119" s="10">
        <f>+'A) Base RI'!L119</f>
        <v>2894792.85</v>
      </c>
      <c r="Q119" s="35">
        <f>'A) Base RI'!AR119</f>
        <v>1.2</v>
      </c>
      <c r="R119" s="2">
        <f t="shared" si="8"/>
        <v>32009206.515000004</v>
      </c>
      <c r="S119" s="34">
        <f>+'A) Base RI'!AM119</f>
        <v>75</v>
      </c>
      <c r="T119" s="2">
        <f t="shared" si="9"/>
        <v>29250285.340000004</v>
      </c>
      <c r="U119" s="2">
        <f t="shared" si="10"/>
        <v>426789.42020000005</v>
      </c>
      <c r="V119" s="10">
        <f>+'A) Base RI'!O119</f>
        <v>151110.6</v>
      </c>
      <c r="W119" s="10">
        <f>+'A) Base RI'!P119</f>
        <v>898427.7</v>
      </c>
      <c r="X119" s="10">
        <f>+'A) Base RI'!R119</f>
        <v>609797.94999999995</v>
      </c>
      <c r="Y119" s="2">
        <f t="shared" si="11"/>
        <v>1659336.25</v>
      </c>
      <c r="Z119" s="10">
        <f>+'A) Base RI'!N119</f>
        <v>538043.69999999995</v>
      </c>
      <c r="AA119" s="10">
        <f>+'A) Base RI'!S119+'A) Base RI'!T119</f>
        <v>31618.5</v>
      </c>
      <c r="AB119" s="10">
        <f>+'A) Base RI'!U119</f>
        <v>33750</v>
      </c>
      <c r="AC119" s="10">
        <f>+'A) Base RI'!V119</f>
        <v>0</v>
      </c>
      <c r="AD119" s="10">
        <f>+'A) Base RI'!W119</f>
        <v>0</v>
      </c>
      <c r="AE119" s="10">
        <f>+'A) Base RI'!Y119</f>
        <v>124775.8</v>
      </c>
      <c r="AF119" s="10" t="str">
        <f>+'A) Base RI'!Z119</f>
        <v/>
      </c>
      <c r="AG119" s="10">
        <f>+'A) Base RI'!AA119</f>
        <v>1589637.93</v>
      </c>
      <c r="AH119" s="10" t="str">
        <f>+'A) Base RI'!AB119</f>
        <v/>
      </c>
      <c r="AI119" s="10">
        <f>+'A) Base RI'!AC119</f>
        <v>687787.41</v>
      </c>
      <c r="AJ119" s="10" t="str">
        <f>+'A) Base RI'!AD119</f>
        <v/>
      </c>
      <c r="AK119" s="10" t="str">
        <f>+'A) Base RI'!AE119</f>
        <v/>
      </c>
      <c r="AL119" s="10" t="str">
        <f>+'A) Base RI'!AF119</f>
        <v/>
      </c>
      <c r="AM119" s="10" t="str">
        <f>+'A) Base RI'!AG119</f>
        <v/>
      </c>
      <c r="AN119" s="10">
        <f>+'A) Base RI'!AH119</f>
        <v>295200.51</v>
      </c>
      <c r="AO119" s="10">
        <f>+'A) Base RI'!AI119</f>
        <v>0</v>
      </c>
      <c r="AP119" s="10">
        <f>+'A) Base RI'!AJ119</f>
        <v>0</v>
      </c>
      <c r="AQ119" s="10">
        <f>+'A) Base RI'!AK119</f>
        <v>0</v>
      </c>
      <c r="AR119" s="10">
        <f>'A) Base RI'!AN119</f>
        <v>8516</v>
      </c>
    </row>
    <row r="120" spans="1:44" x14ac:dyDescent="0.25">
      <c r="A120" s="8">
        <f>'A) Base RI'!A120</f>
        <v>5588</v>
      </c>
      <c r="B120" s="33" t="str">
        <f>'A) Base RI'!B120</f>
        <v>Paudex</v>
      </c>
      <c r="C120" s="10">
        <f>'A) Base RI'!C120+'A) Base RI'!D120</f>
        <v>5836131.1799999997</v>
      </c>
      <c r="D120" s="10">
        <f>'A) Base RI'!AO120</f>
        <v>-73542.789999999994</v>
      </c>
      <c r="E120" s="32">
        <f>'A) Base RI'!AP120</f>
        <v>0</v>
      </c>
      <c r="F120" s="32">
        <f>'A) Base RI'!AQ120</f>
        <v>-81202.080000000002</v>
      </c>
      <c r="G120" s="2">
        <f t="shared" si="6"/>
        <v>5681386.3099999996</v>
      </c>
      <c r="H120" s="10">
        <f>+'A) Base RI'!E120</f>
        <v>0</v>
      </c>
      <c r="I120" s="10">
        <f>+'A) Base RI'!F120</f>
        <v>0</v>
      </c>
      <c r="J120" s="10">
        <f>+'A) Base RI'!G120+'A) Base RI'!H120</f>
        <v>508826.19999999995</v>
      </c>
      <c r="K120" s="10">
        <f>+'A) Base RI'!I120</f>
        <v>556447.21</v>
      </c>
      <c r="L120" s="10">
        <f>+'A) Base RI'!J120</f>
        <v>257658.63</v>
      </c>
      <c r="M120" s="10">
        <f>+'A) Base RI'!K120</f>
        <v>37797.050000000003</v>
      </c>
      <c r="N120" s="10">
        <f>+'A) Base RI'!Q120</f>
        <v>20551.62</v>
      </c>
      <c r="O120" s="10">
        <f t="shared" si="7"/>
        <v>520752.57142857142</v>
      </c>
      <c r="P120" s="10">
        <f>+'A) Base RI'!L120</f>
        <v>364526.8</v>
      </c>
      <c r="Q120" s="35">
        <f>'A) Base RI'!AR120</f>
        <v>0.7</v>
      </c>
      <c r="R120" s="2">
        <f t="shared" si="8"/>
        <v>7583419.5914285714</v>
      </c>
      <c r="S120" s="34">
        <f>+'A) Base RI'!AM120</f>
        <v>61.5</v>
      </c>
      <c r="T120" s="2">
        <f t="shared" si="9"/>
        <v>7024869.9699999997</v>
      </c>
      <c r="U120" s="2">
        <f t="shared" si="10"/>
        <v>123307.63563298491</v>
      </c>
      <c r="V120" s="10">
        <f>+'A) Base RI'!O120</f>
        <v>30582.9</v>
      </c>
      <c r="W120" s="10">
        <f>+'A) Base RI'!P120</f>
        <v>186670</v>
      </c>
      <c r="X120" s="10">
        <f>+'A) Base RI'!R120</f>
        <v>252412.5</v>
      </c>
      <c r="Y120" s="2">
        <f t="shared" si="11"/>
        <v>469665.4</v>
      </c>
      <c r="Z120" s="10">
        <f>+'A) Base RI'!N120</f>
        <v>15159.4</v>
      </c>
      <c r="AA120" s="10">
        <f>+'A) Base RI'!S120+'A) Base RI'!T120</f>
        <v>0</v>
      </c>
      <c r="AB120" s="10">
        <f>+'A) Base RI'!U120</f>
        <v>5362.5</v>
      </c>
      <c r="AC120" s="10">
        <f>+'A) Base RI'!V120</f>
        <v>0</v>
      </c>
      <c r="AD120" s="10">
        <f>+'A) Base RI'!W120</f>
        <v>0</v>
      </c>
      <c r="AE120" s="10">
        <f>+'A) Base RI'!Y120</f>
        <v>0</v>
      </c>
      <c r="AF120" s="10">
        <f>+'A) Base RI'!Z120</f>
        <v>0</v>
      </c>
      <c r="AG120" s="10">
        <f>+'A) Base RI'!AA120</f>
        <v>118510.18</v>
      </c>
      <c r="AH120" s="10">
        <f>+'A) Base RI'!AB120</f>
        <v>0</v>
      </c>
      <c r="AI120" s="10">
        <f>+'A) Base RI'!AC120</f>
        <v>132360.15</v>
      </c>
      <c r="AJ120" s="10">
        <f>+'A) Base RI'!AD120</f>
        <v>0</v>
      </c>
      <c r="AK120" s="10">
        <f>+'A) Base RI'!AE120</f>
        <v>0</v>
      </c>
      <c r="AL120" s="10">
        <f>+'A) Base RI'!AF120</f>
        <v>0</v>
      </c>
      <c r="AM120" s="10">
        <f>+'A) Base RI'!AG120</f>
        <v>0</v>
      </c>
      <c r="AN120" s="10">
        <f>+'A) Base RI'!AH120</f>
        <v>0</v>
      </c>
      <c r="AO120" s="10">
        <f>+'A) Base RI'!AI120</f>
        <v>28805.62</v>
      </c>
      <c r="AP120" s="10">
        <f>+'A) Base RI'!AJ120</f>
        <v>0</v>
      </c>
      <c r="AQ120" s="10">
        <f>+'A) Base RI'!AK120</f>
        <v>14402.82</v>
      </c>
      <c r="AR120" s="10">
        <f>'A) Base RI'!AN120</f>
        <v>1507</v>
      </c>
    </row>
    <row r="121" spans="1:44" x14ac:dyDescent="0.25">
      <c r="A121" s="8">
        <f>'A) Base RI'!A121</f>
        <v>5589</v>
      </c>
      <c r="B121" s="33" t="str">
        <f>'A) Base RI'!B121</f>
        <v>Prilly</v>
      </c>
      <c r="C121" s="10">
        <f>'A) Base RI'!C121+'A) Base RI'!D121</f>
        <v>20401001.09</v>
      </c>
      <c r="D121" s="10">
        <f>'A) Base RI'!AO121</f>
        <v>-905075.83</v>
      </c>
      <c r="E121" s="32">
        <f>'A) Base RI'!AP121</f>
        <v>0</v>
      </c>
      <c r="F121" s="32">
        <f>'A) Base RI'!AQ121</f>
        <v>-2910.59</v>
      </c>
      <c r="G121" s="2">
        <f t="shared" si="6"/>
        <v>19493014.670000002</v>
      </c>
      <c r="H121" s="10">
        <f>+'A) Base RI'!E121</f>
        <v>0</v>
      </c>
      <c r="I121" s="10">
        <f>+'A) Base RI'!F121</f>
        <v>0</v>
      </c>
      <c r="J121" s="10">
        <f>+'A) Base RI'!G121+'A) Base RI'!H121</f>
        <v>7577082.2000000002</v>
      </c>
      <c r="K121" s="10">
        <f>+'A) Base RI'!I121</f>
        <v>102531.53</v>
      </c>
      <c r="L121" s="10">
        <f>+'A) Base RI'!J121</f>
        <v>1528407.65</v>
      </c>
      <c r="M121" s="10">
        <f>+'A) Base RI'!K121</f>
        <v>445387.35</v>
      </c>
      <c r="N121" s="10">
        <f>+'A) Base RI'!Q121</f>
        <v>165831.19</v>
      </c>
      <c r="O121" s="10">
        <f t="shared" si="7"/>
        <v>2001182.4</v>
      </c>
      <c r="P121" s="10">
        <f>+'A) Base RI'!L121</f>
        <v>2001182.4</v>
      </c>
      <c r="Q121" s="35">
        <f>'A) Base RI'!AR121</f>
        <v>1</v>
      </c>
      <c r="R121" s="2">
        <f t="shared" si="8"/>
        <v>31313436.990000002</v>
      </c>
      <c r="S121" s="34">
        <f>+'A) Base RI'!AM121</f>
        <v>73.5</v>
      </c>
      <c r="T121" s="2">
        <f t="shared" si="9"/>
        <v>28866867.240000002</v>
      </c>
      <c r="U121" s="2">
        <f t="shared" si="10"/>
        <v>426033.15632653062</v>
      </c>
      <c r="V121" s="10">
        <f>+'A) Base RI'!O121</f>
        <v>190577.1</v>
      </c>
      <c r="W121" s="10">
        <f>+'A) Base RI'!P121</f>
        <v>1262585.55</v>
      </c>
      <c r="X121" s="10">
        <f>+'A) Base RI'!R121</f>
        <v>314743.25</v>
      </c>
      <c r="Y121" s="2">
        <f t="shared" si="11"/>
        <v>1767905.9000000001</v>
      </c>
      <c r="Z121" s="10">
        <f>+'A) Base RI'!N121</f>
        <v>1183963.75</v>
      </c>
      <c r="AA121" s="10">
        <f>+'A) Base RI'!S121+'A) Base RI'!T121</f>
        <v>0</v>
      </c>
      <c r="AB121" s="10">
        <f>+'A) Base RI'!U121</f>
        <v>40740</v>
      </c>
      <c r="AC121" s="10">
        <f>+'A) Base RI'!V121</f>
        <v>0</v>
      </c>
      <c r="AD121" s="10">
        <f>+'A) Base RI'!W121</f>
        <v>0</v>
      </c>
      <c r="AE121" s="10">
        <f>+'A) Base RI'!Y121</f>
        <v>654997.4</v>
      </c>
      <c r="AF121" s="10" t="str">
        <f>+'A) Base RI'!Z121</f>
        <v/>
      </c>
      <c r="AG121" s="10">
        <f>+'A) Base RI'!AA121</f>
        <v>1449125.65</v>
      </c>
      <c r="AH121" s="10" t="str">
        <f>+'A) Base RI'!AB121</f>
        <v/>
      </c>
      <c r="AI121" s="10">
        <f>+'A) Base RI'!AC121</f>
        <v>1052798.75</v>
      </c>
      <c r="AJ121" s="10" t="str">
        <f>+'A) Base RI'!AD121</f>
        <v/>
      </c>
      <c r="AK121" s="10" t="str">
        <f>+'A) Base RI'!AE121</f>
        <v/>
      </c>
      <c r="AL121" s="10" t="str">
        <f>+'A) Base RI'!AF121</f>
        <v/>
      </c>
      <c r="AM121" s="10" t="str">
        <f>+'A) Base RI'!AG121</f>
        <v/>
      </c>
      <c r="AN121" s="10">
        <f>+'A) Base RI'!AH121</f>
        <v>433058.88999999996</v>
      </c>
      <c r="AO121" s="10">
        <f>+'A) Base RI'!AI121</f>
        <v>0</v>
      </c>
      <c r="AP121" s="10">
        <f>+'A) Base RI'!AJ121</f>
        <v>0</v>
      </c>
      <c r="AQ121" s="10">
        <f>+'A) Base RI'!AK121</f>
        <v>0</v>
      </c>
      <c r="AR121" s="10">
        <f>'A) Base RI'!AN121</f>
        <v>12392</v>
      </c>
    </row>
    <row r="122" spans="1:44" x14ac:dyDescent="0.25">
      <c r="A122" s="8">
        <f>'A) Base RI'!A122</f>
        <v>5590</v>
      </c>
      <c r="B122" s="33" t="str">
        <f>'A) Base RI'!B122</f>
        <v>Pully</v>
      </c>
      <c r="C122" s="10">
        <f>'A) Base RI'!C122+'A) Base RI'!D122</f>
        <v>70488692.019999996</v>
      </c>
      <c r="D122" s="10">
        <f>'A) Base RI'!AO122</f>
        <v>-894910.23</v>
      </c>
      <c r="E122" s="32">
        <f>'A) Base RI'!AP122</f>
        <v>0</v>
      </c>
      <c r="F122" s="32">
        <f>'A) Base RI'!AQ122</f>
        <v>-247782.79</v>
      </c>
      <c r="G122" s="2">
        <f t="shared" si="6"/>
        <v>69345998.999999985</v>
      </c>
      <c r="H122" s="10">
        <f>+'A) Base RI'!E122</f>
        <v>0</v>
      </c>
      <c r="I122" s="10">
        <f>+'A) Base RI'!F122</f>
        <v>0</v>
      </c>
      <c r="J122" s="10">
        <f>+'A) Base RI'!G122+'A) Base RI'!H122</f>
        <v>6321467.7999999998</v>
      </c>
      <c r="K122" s="10">
        <f>+'A) Base RI'!I122</f>
        <v>3194813.59</v>
      </c>
      <c r="L122" s="10">
        <f>+'A) Base RI'!J122</f>
        <v>1487448.96</v>
      </c>
      <c r="M122" s="10">
        <f>+'A) Base RI'!K122</f>
        <v>411165.6</v>
      </c>
      <c r="N122" s="10">
        <f>+'A) Base RI'!Q122</f>
        <v>128140.32</v>
      </c>
      <c r="O122" s="10">
        <f t="shared" si="7"/>
        <v>4806258.5000000009</v>
      </c>
      <c r="P122" s="10">
        <f>+'A) Base RI'!L122</f>
        <v>3364380.95</v>
      </c>
      <c r="Q122" s="35">
        <f>'A) Base RI'!AR122</f>
        <v>0.7</v>
      </c>
      <c r="R122" s="2">
        <f t="shared" si="8"/>
        <v>85695293.769999966</v>
      </c>
      <c r="S122" s="34">
        <f>+'A) Base RI'!AM122</f>
        <v>61</v>
      </c>
      <c r="T122" s="2">
        <f t="shared" si="9"/>
        <v>80477869.669999972</v>
      </c>
      <c r="U122" s="2">
        <f t="shared" si="10"/>
        <v>1404840.8814754093</v>
      </c>
      <c r="V122" s="10">
        <f>+'A) Base RI'!O122</f>
        <v>7019320.5999999996</v>
      </c>
      <c r="W122" s="10">
        <f>+'A) Base RI'!P122</f>
        <v>4298913.75</v>
      </c>
      <c r="X122" s="10">
        <f>+'A) Base RI'!R122</f>
        <v>2462791.0499999998</v>
      </c>
      <c r="Y122" s="2">
        <f t="shared" si="11"/>
        <v>13781025.399999999</v>
      </c>
      <c r="Z122" s="10">
        <f>+'A) Base RI'!N122</f>
        <v>193434.5</v>
      </c>
      <c r="AA122" s="10">
        <f>+'A) Base RI'!S122+'A) Base RI'!T122</f>
        <v>25071.75</v>
      </c>
      <c r="AB122" s="10">
        <f>+'A) Base RI'!U122</f>
        <v>51200</v>
      </c>
      <c r="AC122" s="10" t="str">
        <f>+'A) Base RI'!V122</f>
        <v/>
      </c>
      <c r="AD122" s="10" t="str">
        <f>+'A) Base RI'!W122</f>
        <v/>
      </c>
      <c r="AE122" s="10">
        <f>+'A) Base RI'!Y122</f>
        <v>503330.61</v>
      </c>
      <c r="AF122" s="10" t="str">
        <f>+'A) Base RI'!Z122</f>
        <v/>
      </c>
      <c r="AG122" s="10">
        <f>+'A) Base RI'!AA122</f>
        <v>3507331.01</v>
      </c>
      <c r="AH122" s="10" t="str">
        <f>+'A) Base RI'!AB122</f>
        <v/>
      </c>
      <c r="AI122" s="10">
        <f>+'A) Base RI'!AC122</f>
        <v>2194546.67</v>
      </c>
      <c r="AJ122" s="10">
        <f>+'A) Base RI'!AD122</f>
        <v>361659.94</v>
      </c>
      <c r="AK122" s="10" t="str">
        <f>+'A) Base RI'!AE122</f>
        <v/>
      </c>
      <c r="AL122" s="10" t="str">
        <f>+'A) Base RI'!AF122</f>
        <v/>
      </c>
      <c r="AM122" s="10">
        <f>+'A) Base RI'!AG122</f>
        <v>48332.25</v>
      </c>
      <c r="AN122" s="10">
        <f>+'A) Base RI'!AH122</f>
        <v>350918.41</v>
      </c>
      <c r="AO122" s="10">
        <f>+'A) Base RI'!AI122</f>
        <v>516474.02</v>
      </c>
      <c r="AP122" s="10">
        <f>+'A) Base RI'!AJ122</f>
        <v>0</v>
      </c>
      <c r="AQ122" s="10">
        <f>+'A) Base RI'!AK122</f>
        <v>0</v>
      </c>
      <c r="AR122" s="10">
        <f>'A) Base RI'!AN122</f>
        <v>18336</v>
      </c>
    </row>
    <row r="123" spans="1:44" x14ac:dyDescent="0.25">
      <c r="A123" s="8">
        <f>'A) Base RI'!A123</f>
        <v>5591</v>
      </c>
      <c r="B123" s="33" t="str">
        <f>'A) Base RI'!B123</f>
        <v>Renens</v>
      </c>
      <c r="C123" s="10">
        <f>'A) Base RI'!C123+'A) Base RI'!D123</f>
        <v>33391956.960000001</v>
      </c>
      <c r="D123" s="10">
        <f>'A) Base RI'!AO123</f>
        <v>-2557720.62</v>
      </c>
      <c r="E123" s="32">
        <f>'A) Base RI'!AP123</f>
        <v>0</v>
      </c>
      <c r="F123" s="32">
        <f>'A) Base RI'!AQ123</f>
        <v>-2604.2800000000002</v>
      </c>
      <c r="G123" s="2">
        <f t="shared" si="6"/>
        <v>30831632.059999999</v>
      </c>
      <c r="H123" s="10">
        <f>+'A) Base RI'!E123</f>
        <v>0</v>
      </c>
      <c r="I123" s="10">
        <f>+'A) Base RI'!F123</f>
        <v>0</v>
      </c>
      <c r="J123" s="10">
        <f>+'A) Base RI'!G123+'A) Base RI'!H123</f>
        <v>8056213.5</v>
      </c>
      <c r="K123" s="10">
        <f>+'A) Base RI'!I123</f>
        <v>0</v>
      </c>
      <c r="L123" s="10">
        <f>+'A) Base RI'!J123</f>
        <v>2440624.98</v>
      </c>
      <c r="M123" s="10">
        <f>+'A) Base RI'!K123</f>
        <v>596805.19999999995</v>
      </c>
      <c r="N123" s="10">
        <f>+'A) Base RI'!Q123</f>
        <v>234558.34</v>
      </c>
      <c r="O123" s="10">
        <f t="shared" si="7"/>
        <v>3396448.6785714291</v>
      </c>
      <c r="P123" s="10">
        <f>+'A) Base RI'!L123</f>
        <v>4755028.1500000004</v>
      </c>
      <c r="Q123" s="35">
        <f>'A) Base RI'!AR123</f>
        <v>1.4</v>
      </c>
      <c r="R123" s="2">
        <f t="shared" si="8"/>
        <v>45556282.758571431</v>
      </c>
      <c r="S123" s="34">
        <f>+'A) Base RI'!AM123</f>
        <v>78.5</v>
      </c>
      <c r="T123" s="2">
        <f t="shared" si="9"/>
        <v>41563028.880000003</v>
      </c>
      <c r="U123" s="2">
        <f t="shared" si="10"/>
        <v>580334.81221110106</v>
      </c>
      <c r="V123" s="10">
        <f>+'A) Base RI'!O123</f>
        <v>328078.3</v>
      </c>
      <c r="W123" s="10">
        <f>+'A) Base RI'!P123</f>
        <v>2043555.55</v>
      </c>
      <c r="X123" s="10">
        <f>+'A) Base RI'!R123</f>
        <v>2123613.5</v>
      </c>
      <c r="Y123" s="2">
        <f t="shared" si="11"/>
        <v>4495247.3499999996</v>
      </c>
      <c r="Z123" s="10">
        <f>+'A) Base RI'!N123</f>
        <v>2467919.5</v>
      </c>
      <c r="AA123" s="10">
        <f>+'A) Base RI'!S123+'A) Base RI'!T123</f>
        <v>0</v>
      </c>
      <c r="AB123" s="10">
        <f>+'A) Base RI'!U123</f>
        <v>56100</v>
      </c>
      <c r="AC123" s="10">
        <f>+'A) Base RI'!V123</f>
        <v>71387.05</v>
      </c>
      <c r="AD123" s="10">
        <f>+'A) Base RI'!W123</f>
        <v>60799.5</v>
      </c>
      <c r="AE123" s="10">
        <f>+'A) Base RI'!Y123</f>
        <v>204277.15</v>
      </c>
      <c r="AF123" s="10">
        <f>+'A) Base RI'!Z123</f>
        <v>0</v>
      </c>
      <c r="AG123" s="10">
        <f>+'A) Base RI'!AA123</f>
        <v>984000.01</v>
      </c>
      <c r="AH123" s="10">
        <f>+'A) Base RI'!AB123</f>
        <v>9288</v>
      </c>
      <c r="AI123" s="10">
        <f>+'A) Base RI'!AC123</f>
        <v>2018150.96</v>
      </c>
      <c r="AJ123" s="10">
        <f>+'A) Base RI'!AD123</f>
        <v>0</v>
      </c>
      <c r="AK123" s="10">
        <f>+'A) Base RI'!AE123</f>
        <v>0</v>
      </c>
      <c r="AL123" s="10">
        <f>+'A) Base RI'!AF123</f>
        <v>0</v>
      </c>
      <c r="AM123" s="10">
        <f>+'A) Base RI'!AG123</f>
        <v>2319.3000000000002</v>
      </c>
      <c r="AN123" s="10">
        <f>+'A) Base RI'!AH123</f>
        <v>540152.68000000005</v>
      </c>
      <c r="AO123" s="10">
        <f>+'A) Base RI'!AI123</f>
        <v>0</v>
      </c>
      <c r="AP123" s="10">
        <f>+'A) Base RI'!AJ123</f>
        <v>0</v>
      </c>
      <c r="AQ123" s="10">
        <f>+'A) Base RI'!AK123</f>
        <v>77164.81</v>
      </c>
      <c r="AR123" s="10">
        <f>'A) Base RI'!AN123</f>
        <v>20968</v>
      </c>
    </row>
    <row r="124" spans="1:44" x14ac:dyDescent="0.25">
      <c r="A124" s="8">
        <f>'A) Base RI'!A124</f>
        <v>5592</v>
      </c>
      <c r="B124" s="33" t="str">
        <f>'A) Base RI'!B124</f>
        <v>Romanel-sur-Lausanne</v>
      </c>
      <c r="C124" s="10">
        <f>'A) Base RI'!C124+'A) Base RI'!D124</f>
        <v>6455725.1400000006</v>
      </c>
      <c r="D124" s="10">
        <f>'A) Base RI'!AO124</f>
        <v>-110203.06</v>
      </c>
      <c r="E124" s="32">
        <f>'A) Base RI'!AP124</f>
        <v>0</v>
      </c>
      <c r="F124" s="32">
        <f>'A) Base RI'!AQ124</f>
        <v>-2412.96</v>
      </c>
      <c r="G124" s="2">
        <f t="shared" si="6"/>
        <v>6343109.120000001</v>
      </c>
      <c r="H124" s="10">
        <f>+'A) Base RI'!E124</f>
        <v>0</v>
      </c>
      <c r="I124" s="10">
        <f>+'A) Base RI'!F124</f>
        <v>0</v>
      </c>
      <c r="J124" s="10">
        <f>+'A) Base RI'!G124+'A) Base RI'!H124</f>
        <v>662145.75</v>
      </c>
      <c r="K124" s="10">
        <f>+'A) Base RI'!I124</f>
        <v>29076.55</v>
      </c>
      <c r="L124" s="10">
        <f>+'A) Base RI'!J124</f>
        <v>135240.07999999999</v>
      </c>
      <c r="M124" s="10">
        <f>+'A) Base RI'!K124</f>
        <v>121971.2</v>
      </c>
      <c r="N124" s="10">
        <f>+'A) Base RI'!Q124</f>
        <v>8307.33</v>
      </c>
      <c r="O124" s="10">
        <f t="shared" si="7"/>
        <v>674844.05</v>
      </c>
      <c r="P124" s="10">
        <f>+'A) Base RI'!L124</f>
        <v>674844.05</v>
      </c>
      <c r="Q124" s="35">
        <f>'A) Base RI'!AR124</f>
        <v>1</v>
      </c>
      <c r="R124" s="2">
        <f t="shared" si="8"/>
        <v>7974694.080000001</v>
      </c>
      <c r="S124" s="34">
        <f>+'A) Base RI'!AM124</f>
        <v>70</v>
      </c>
      <c r="T124" s="2">
        <f t="shared" si="9"/>
        <v>7177878.830000001</v>
      </c>
      <c r="U124" s="2">
        <f t="shared" si="10"/>
        <v>113924.20114285716</v>
      </c>
      <c r="V124" s="10">
        <f>+'A) Base RI'!O124</f>
        <v>137615.70000000001</v>
      </c>
      <c r="W124" s="10">
        <f>+'A) Base RI'!P124</f>
        <v>150170.9</v>
      </c>
      <c r="X124" s="10">
        <f>+'A) Base RI'!R124</f>
        <v>95667.7</v>
      </c>
      <c r="Y124" s="2">
        <f t="shared" si="11"/>
        <v>383454.3</v>
      </c>
      <c r="Z124" s="10">
        <f>+'A) Base RI'!N124</f>
        <v>211296.2</v>
      </c>
      <c r="AA124" s="10">
        <f>+'A) Base RI'!S124+'A) Base RI'!T124</f>
        <v>2146</v>
      </c>
      <c r="AB124" s="10">
        <f>+'A) Base RI'!U124</f>
        <v>15675</v>
      </c>
      <c r="AC124" s="10">
        <f>+'A) Base RI'!V124</f>
        <v>0</v>
      </c>
      <c r="AD124" s="10">
        <f>+'A) Base RI'!W124</f>
        <v>0</v>
      </c>
      <c r="AE124" s="10">
        <f>+'A) Base RI'!Y124</f>
        <v>4505.99</v>
      </c>
      <c r="AF124" s="10">
        <f>+'A) Base RI'!Z124</f>
        <v>16111.94</v>
      </c>
      <c r="AG124" s="10">
        <f>+'A) Base RI'!AA124</f>
        <v>371687.38</v>
      </c>
      <c r="AH124" s="10">
        <f>+'A) Base RI'!AB124</f>
        <v>0</v>
      </c>
      <c r="AI124" s="10">
        <f>+'A) Base RI'!AC124</f>
        <v>218012.84</v>
      </c>
      <c r="AJ124" s="10">
        <f>+'A) Base RI'!AD124</f>
        <v>0</v>
      </c>
      <c r="AK124" s="10">
        <f>+'A) Base RI'!AE124</f>
        <v>0</v>
      </c>
      <c r="AL124" s="10">
        <f>+'A) Base RI'!AF124</f>
        <v>0</v>
      </c>
      <c r="AM124" s="10">
        <f>+'A) Base RI'!AG124</f>
        <v>0</v>
      </c>
      <c r="AN124" s="10">
        <f>+'A) Base RI'!AH124</f>
        <v>88658.27</v>
      </c>
      <c r="AO124" s="10">
        <f>+'A) Base RI'!AI124</f>
        <v>76432.66</v>
      </c>
      <c r="AP124" s="10">
        <f>+'A) Base RI'!AJ124</f>
        <v>76432.67</v>
      </c>
      <c r="AQ124" s="10">
        <f>+'A) Base RI'!AK124</f>
        <v>0</v>
      </c>
      <c r="AR124" s="10">
        <f>'A) Base RI'!AN124</f>
        <v>3311</v>
      </c>
    </row>
    <row r="125" spans="1:44" x14ac:dyDescent="0.25">
      <c r="A125" s="8">
        <f>'A) Base RI'!A125</f>
        <v>5601</v>
      </c>
      <c r="B125" s="33" t="str">
        <f>'A) Base RI'!B125</f>
        <v>Chexbres</v>
      </c>
      <c r="C125" s="10">
        <f>'A) Base RI'!C125+'A) Base RI'!D125</f>
        <v>6413672.04</v>
      </c>
      <c r="D125" s="10">
        <f>'A) Base RI'!AO125</f>
        <v>-94270.47</v>
      </c>
      <c r="E125" s="32">
        <f>'A) Base RI'!AP125</f>
        <v>0</v>
      </c>
      <c r="F125" s="32">
        <f>'A) Base RI'!AQ125</f>
        <v>-2328.79</v>
      </c>
      <c r="G125" s="2">
        <f t="shared" si="6"/>
        <v>6317072.7800000003</v>
      </c>
      <c r="H125" s="10">
        <f>+'A) Base RI'!E125</f>
        <v>0</v>
      </c>
      <c r="I125" s="10">
        <f>+'A) Base RI'!F125</f>
        <v>0</v>
      </c>
      <c r="J125" s="10">
        <f>+'A) Base RI'!G125+'A) Base RI'!H125</f>
        <v>108948.15</v>
      </c>
      <c r="K125" s="10">
        <f>+'A) Base RI'!I125</f>
        <v>72833.759999999995</v>
      </c>
      <c r="L125" s="10">
        <f>+'A) Base RI'!J125</f>
        <v>100725.83</v>
      </c>
      <c r="M125" s="10">
        <f>+'A) Base RI'!K125</f>
        <v>24387.4</v>
      </c>
      <c r="N125" s="10">
        <f>+'A) Base RI'!Q125</f>
        <v>15899.75</v>
      </c>
      <c r="O125" s="10">
        <f t="shared" si="7"/>
        <v>455697.15</v>
      </c>
      <c r="P125" s="10">
        <f>+'A) Base RI'!L125</f>
        <v>455697.15</v>
      </c>
      <c r="Q125" s="35">
        <f>'A) Base RI'!AR125</f>
        <v>1</v>
      </c>
      <c r="R125" s="2">
        <f t="shared" si="8"/>
        <v>7095564.8200000012</v>
      </c>
      <c r="S125" s="34">
        <f>+'A) Base RI'!AM125</f>
        <v>69</v>
      </c>
      <c r="T125" s="2">
        <f t="shared" si="9"/>
        <v>6615480.2700000005</v>
      </c>
      <c r="U125" s="2">
        <f t="shared" si="10"/>
        <v>102834.27275362321</v>
      </c>
      <c r="V125" s="10">
        <f>+'A) Base RI'!O125</f>
        <v>192264.4</v>
      </c>
      <c r="W125" s="10">
        <f>+'A) Base RI'!P125</f>
        <v>258622.6</v>
      </c>
      <c r="X125" s="10">
        <f>+'A) Base RI'!R125</f>
        <v>255919.4</v>
      </c>
      <c r="Y125" s="2">
        <f t="shared" si="11"/>
        <v>706806.4</v>
      </c>
      <c r="Z125" s="10">
        <f>+'A) Base RI'!N125</f>
        <v>46283.1</v>
      </c>
      <c r="AA125" s="10">
        <f>+'A) Base RI'!S125+'A) Base RI'!T125</f>
        <v>0</v>
      </c>
      <c r="AB125" s="10">
        <f>+'A) Base RI'!U125</f>
        <v>6562.5</v>
      </c>
      <c r="AC125" s="10">
        <f>+'A) Base RI'!V125</f>
        <v>0</v>
      </c>
      <c r="AD125" s="10">
        <f>+'A) Base RI'!W125</f>
        <v>0</v>
      </c>
      <c r="AE125" s="10">
        <f>+'A) Base RI'!Y125</f>
        <v>0</v>
      </c>
      <c r="AF125" s="10">
        <f>+'A) Base RI'!Z125</f>
        <v>11614.07</v>
      </c>
      <c r="AG125" s="10">
        <f>+'A) Base RI'!AA125</f>
        <v>273071.5</v>
      </c>
      <c r="AH125" s="10">
        <f>+'A) Base RI'!AB125</f>
        <v>256585.45</v>
      </c>
      <c r="AI125" s="10">
        <f>+'A) Base RI'!AC125</f>
        <v>130203.03</v>
      </c>
      <c r="AJ125" s="10">
        <f>+'A) Base RI'!AD125</f>
        <v>0</v>
      </c>
      <c r="AK125" s="10">
        <f>+'A) Base RI'!AE125</f>
        <v>17856.830000000002</v>
      </c>
      <c r="AL125" s="10">
        <f>+'A) Base RI'!AF125</f>
        <v>0</v>
      </c>
      <c r="AM125" s="10">
        <f>+'A) Base RI'!AG125</f>
        <v>86459.4</v>
      </c>
      <c r="AN125" s="10">
        <f>+'A) Base RI'!AH125</f>
        <v>49872.05</v>
      </c>
      <c r="AO125" s="10">
        <f>+'A) Base RI'!AI125</f>
        <v>0</v>
      </c>
      <c r="AP125" s="10">
        <f>+'A) Base RI'!AJ125</f>
        <v>0</v>
      </c>
      <c r="AQ125" s="10">
        <f>+'A) Base RI'!AK125</f>
        <v>0</v>
      </c>
      <c r="AR125" s="10">
        <f>'A) Base RI'!AN125</f>
        <v>2238</v>
      </c>
    </row>
    <row r="126" spans="1:44" x14ac:dyDescent="0.25">
      <c r="A126" s="8">
        <f>'A) Base RI'!A126</f>
        <v>5604</v>
      </c>
      <c r="B126" s="33" t="str">
        <f>'A) Base RI'!B126</f>
        <v>Forel (Lavaux)</v>
      </c>
      <c r="C126" s="10">
        <f>'A) Base RI'!C126+'A) Base RI'!D126</f>
        <v>4362664.82</v>
      </c>
      <c r="D126" s="10">
        <f>'A) Base RI'!AO126</f>
        <v>-68082.63</v>
      </c>
      <c r="E126" s="32">
        <f>'A) Base RI'!AP126</f>
        <v>0</v>
      </c>
      <c r="F126" s="32">
        <f>'A) Base RI'!AQ126</f>
        <v>-434</v>
      </c>
      <c r="G126" s="2">
        <f t="shared" si="6"/>
        <v>4294148.1900000004</v>
      </c>
      <c r="H126" s="10">
        <f>+'A) Base RI'!E126</f>
        <v>0</v>
      </c>
      <c r="I126" s="10">
        <f>+'A) Base RI'!F126</f>
        <v>0</v>
      </c>
      <c r="J126" s="10">
        <f>+'A) Base RI'!G126+'A) Base RI'!H126</f>
        <v>520724.55000000005</v>
      </c>
      <c r="K126" s="10">
        <f>+'A) Base RI'!I126</f>
        <v>28133.08</v>
      </c>
      <c r="L126" s="10">
        <f>+'A) Base RI'!J126</f>
        <v>77119.009999999995</v>
      </c>
      <c r="M126" s="10">
        <f>+'A) Base RI'!K126</f>
        <v>38411.800000000003</v>
      </c>
      <c r="N126" s="10">
        <f>+'A) Base RI'!Q126</f>
        <v>6312.7</v>
      </c>
      <c r="O126" s="10">
        <f t="shared" si="7"/>
        <v>384261.45</v>
      </c>
      <c r="P126" s="10">
        <f>+'A) Base RI'!L126</f>
        <v>384261.45</v>
      </c>
      <c r="Q126" s="35">
        <f>'A) Base RI'!AR126</f>
        <v>1</v>
      </c>
      <c r="R126" s="2">
        <f t="shared" si="8"/>
        <v>5349110.78</v>
      </c>
      <c r="S126" s="34">
        <f>+'A) Base RI'!AM126</f>
        <v>70</v>
      </c>
      <c r="T126" s="2">
        <f t="shared" si="9"/>
        <v>4926437.53</v>
      </c>
      <c r="U126" s="2">
        <f t="shared" si="10"/>
        <v>76415.868285714285</v>
      </c>
      <c r="V126" s="10">
        <f>+'A) Base RI'!O126</f>
        <v>3165.75</v>
      </c>
      <c r="W126" s="10">
        <f>+'A) Base RI'!P126</f>
        <v>226896.15</v>
      </c>
      <c r="X126" s="10">
        <f>+'A) Base RI'!R126</f>
        <v>103978</v>
      </c>
      <c r="Y126" s="2">
        <f t="shared" si="11"/>
        <v>334039.90000000002</v>
      </c>
      <c r="Z126" s="10">
        <f>+'A) Base RI'!N126</f>
        <v>109339.65</v>
      </c>
      <c r="AA126" s="10">
        <f>+'A) Base RI'!S126+'A) Base RI'!T126</f>
        <v>3248</v>
      </c>
      <c r="AB126" s="10">
        <f>+'A) Base RI'!U126</f>
        <v>22500</v>
      </c>
      <c r="AC126" s="10">
        <f>+'A) Base RI'!V126</f>
        <v>270</v>
      </c>
      <c r="AD126" s="10">
        <f>+'A) Base RI'!W126</f>
        <v>0</v>
      </c>
      <c r="AE126" s="10">
        <f>+'A) Base RI'!Y126</f>
        <v>51725.9</v>
      </c>
      <c r="AF126" s="10">
        <f>+'A) Base RI'!Z126</f>
        <v>5985.6</v>
      </c>
      <c r="AG126" s="10">
        <f>+'A) Base RI'!AA126</f>
        <v>377792.1</v>
      </c>
      <c r="AH126" s="10">
        <f>+'A) Base RI'!AB126</f>
        <v>0</v>
      </c>
      <c r="AI126" s="10">
        <f>+'A) Base RI'!AC126</f>
        <v>116403.3</v>
      </c>
      <c r="AJ126" s="10">
        <f>+'A) Base RI'!AD126</f>
        <v>68202.75</v>
      </c>
      <c r="AK126" s="10">
        <f>+'A) Base RI'!AE126</f>
        <v>6045.6</v>
      </c>
      <c r="AL126" s="10">
        <f>+'A) Base RI'!AF126</f>
        <v>0</v>
      </c>
      <c r="AM126" s="10">
        <f>+'A) Base RI'!AG126</f>
        <v>11077.25</v>
      </c>
      <c r="AN126" s="10">
        <f>+'A) Base RI'!AH126</f>
        <v>0</v>
      </c>
      <c r="AO126" s="10">
        <f>+'A) Base RI'!AI126</f>
        <v>0</v>
      </c>
      <c r="AP126" s="10">
        <f>+'A) Base RI'!AJ126</f>
        <v>0</v>
      </c>
      <c r="AQ126" s="10">
        <f>+'A) Base RI'!AK126</f>
        <v>0</v>
      </c>
      <c r="AR126" s="10">
        <f>'A) Base RI'!AN126</f>
        <v>2082</v>
      </c>
    </row>
    <row r="127" spans="1:44" x14ac:dyDescent="0.25">
      <c r="A127" s="8">
        <f>'A) Base RI'!A127</f>
        <v>5606</v>
      </c>
      <c r="B127" s="33" t="str">
        <f>'A) Base RI'!B127</f>
        <v>Lutry</v>
      </c>
      <c r="C127" s="10">
        <f>'A) Base RI'!C127+'A) Base RI'!D127</f>
        <v>38499382.780000001</v>
      </c>
      <c r="D127" s="10">
        <f>'A) Base RI'!AO127</f>
        <v>-484170.33</v>
      </c>
      <c r="E127" s="32">
        <f>'A) Base RI'!AP127</f>
        <v>0</v>
      </c>
      <c r="F127" s="32">
        <f>'A) Base RI'!AQ127</f>
        <v>-40494.660000000003</v>
      </c>
      <c r="G127" s="2">
        <f t="shared" si="6"/>
        <v>37974717.790000007</v>
      </c>
      <c r="H127" s="10">
        <f>+'A) Base RI'!E127</f>
        <v>0</v>
      </c>
      <c r="I127" s="10">
        <f>+'A) Base RI'!F127</f>
        <v>0</v>
      </c>
      <c r="J127" s="10">
        <f>+'A) Base RI'!G127+'A) Base RI'!H127</f>
        <v>2835356.0500000003</v>
      </c>
      <c r="K127" s="10">
        <f>+'A) Base RI'!I127</f>
        <v>1365123.92</v>
      </c>
      <c r="L127" s="10">
        <f>+'A) Base RI'!J127</f>
        <v>929717.18</v>
      </c>
      <c r="M127" s="10">
        <f>+'A) Base RI'!K127</f>
        <v>127717.5</v>
      </c>
      <c r="N127" s="10">
        <f>+'A) Base RI'!Q127</f>
        <v>146178.21</v>
      </c>
      <c r="O127" s="10">
        <f t="shared" si="7"/>
        <v>2896589.7857142859</v>
      </c>
      <c r="P127" s="10">
        <f>+'A) Base RI'!L127</f>
        <v>2027612.85</v>
      </c>
      <c r="Q127" s="35">
        <f>'A) Base RI'!AR127</f>
        <v>0.7</v>
      </c>
      <c r="R127" s="2">
        <f t="shared" si="8"/>
        <v>46275400.43571429</v>
      </c>
      <c r="S127" s="34">
        <f>+'A) Base RI'!AM127</f>
        <v>55.5</v>
      </c>
      <c r="T127" s="2">
        <f t="shared" si="9"/>
        <v>43251093.150000006</v>
      </c>
      <c r="U127" s="2">
        <f t="shared" si="10"/>
        <v>833790.99884169886</v>
      </c>
      <c r="V127" s="10">
        <f>+'A) Base RI'!O127</f>
        <v>2431335.0499999998</v>
      </c>
      <c r="W127" s="10">
        <f>+'A) Base RI'!P127</f>
        <v>3011601.35</v>
      </c>
      <c r="X127" s="10">
        <f>+'A) Base RI'!R127</f>
        <v>2053751.5</v>
      </c>
      <c r="Y127" s="2">
        <f t="shared" si="11"/>
        <v>7496687.9000000004</v>
      </c>
      <c r="Z127" s="10">
        <f>+'A) Base RI'!N127</f>
        <v>114627.85</v>
      </c>
      <c r="AA127" s="10">
        <f>+'A) Base RI'!S127+'A) Base RI'!T127</f>
        <v>0</v>
      </c>
      <c r="AB127" s="10">
        <f>+'A) Base RI'!U127</f>
        <v>47100</v>
      </c>
      <c r="AC127" s="10">
        <f>+'A) Base RI'!V127</f>
        <v>0</v>
      </c>
      <c r="AD127" s="10">
        <f>+'A) Base RI'!W127</f>
        <v>0</v>
      </c>
      <c r="AE127" s="10">
        <f>+'A) Base RI'!Y127</f>
        <v>1212698.3</v>
      </c>
      <c r="AF127" s="10" t="str">
        <f>+'A) Base RI'!Z127</f>
        <v/>
      </c>
      <c r="AG127" s="10">
        <f>+'A) Base RI'!AA127</f>
        <v>1293408.74</v>
      </c>
      <c r="AH127" s="10" t="str">
        <f>+'A) Base RI'!AB127</f>
        <v/>
      </c>
      <c r="AI127" s="10">
        <f>+'A) Base RI'!AC127</f>
        <v>1456085.84</v>
      </c>
      <c r="AJ127" s="10">
        <f>+'A) Base RI'!AD127</f>
        <v>837117.7</v>
      </c>
      <c r="AK127" s="10" t="str">
        <f>+'A) Base RI'!AE127</f>
        <v/>
      </c>
      <c r="AL127" s="10">
        <f>+'A) Base RI'!AF127</f>
        <v>0</v>
      </c>
      <c r="AM127" s="10">
        <f>+'A) Base RI'!AG127</f>
        <v>16571.400000000001</v>
      </c>
      <c r="AN127" s="10">
        <f>+'A) Base RI'!AH127</f>
        <v>288211.09999999998</v>
      </c>
      <c r="AO127" s="10">
        <f>+'A) Base RI'!AI127</f>
        <v>205865.1</v>
      </c>
      <c r="AP127" s="10">
        <f>+'A) Base RI'!AJ127</f>
        <v>82346.05</v>
      </c>
      <c r="AQ127" s="10">
        <f>+'A) Base RI'!AK127</f>
        <v>0</v>
      </c>
      <c r="AR127" s="10">
        <f>'A) Base RI'!AN127</f>
        <v>10285</v>
      </c>
    </row>
    <row r="128" spans="1:44" x14ac:dyDescent="0.25">
      <c r="A128" s="8">
        <f>'A) Base RI'!A128</f>
        <v>5607</v>
      </c>
      <c r="B128" s="33" t="str">
        <f>'A) Base RI'!B128</f>
        <v>Puidoux</v>
      </c>
      <c r="C128" s="10">
        <f>'A) Base RI'!C128+'A) Base RI'!D128</f>
        <v>5800770.7000000002</v>
      </c>
      <c r="D128" s="10">
        <f>'A) Base RI'!AO128</f>
        <v>-74970.100000000006</v>
      </c>
      <c r="E128" s="32">
        <f>'A) Base RI'!AP128</f>
        <v>0</v>
      </c>
      <c r="F128" s="32">
        <f>'A) Base RI'!AQ128</f>
        <v>-20484.18</v>
      </c>
      <c r="G128" s="2">
        <f t="shared" si="6"/>
        <v>5705316.4200000009</v>
      </c>
      <c r="H128" s="10">
        <f>+'A) Base RI'!E128</f>
        <v>0</v>
      </c>
      <c r="I128" s="10">
        <f>+'A) Base RI'!F128</f>
        <v>0</v>
      </c>
      <c r="J128" s="10">
        <f>+'A) Base RI'!G128+'A) Base RI'!H128</f>
        <v>1096083.75</v>
      </c>
      <c r="K128" s="10">
        <f>+'A) Base RI'!I128</f>
        <v>65.599999999999994</v>
      </c>
      <c r="L128" s="10">
        <f>+'A) Base RI'!J128</f>
        <v>204634.95</v>
      </c>
      <c r="M128" s="10">
        <f>+'A) Base RI'!K128</f>
        <v>125396.65</v>
      </c>
      <c r="N128" s="10">
        <f>+'A) Base RI'!Q128</f>
        <v>17458.849999999999</v>
      </c>
      <c r="O128" s="10">
        <f t="shared" si="7"/>
        <v>673624.82608695666</v>
      </c>
      <c r="P128" s="10">
        <f>+'A) Base RI'!L128</f>
        <v>774668.55</v>
      </c>
      <c r="Q128" s="35">
        <f>'A) Base RI'!AR128</f>
        <v>1.1499999999999999</v>
      </c>
      <c r="R128" s="2">
        <f t="shared" si="8"/>
        <v>7822581.0460869577</v>
      </c>
      <c r="S128" s="34">
        <f>+'A) Base RI'!AM128</f>
        <v>70</v>
      </c>
      <c r="T128" s="2">
        <f t="shared" si="9"/>
        <v>7023559.5700000003</v>
      </c>
      <c r="U128" s="2">
        <f t="shared" si="10"/>
        <v>111751.15780124225</v>
      </c>
      <c r="V128" s="10">
        <f>+'A) Base RI'!O128</f>
        <v>359642.1</v>
      </c>
      <c r="W128" s="10">
        <f>+'A) Base RI'!P128</f>
        <v>271782.25</v>
      </c>
      <c r="X128" s="10">
        <f>+'A) Base RI'!R128</f>
        <v>82442.850000000006</v>
      </c>
      <c r="Y128" s="2">
        <f t="shared" si="11"/>
        <v>713867.2</v>
      </c>
      <c r="Z128" s="10">
        <f>+'A) Base RI'!N128</f>
        <v>226664.6</v>
      </c>
      <c r="AA128" s="10">
        <f>+'A) Base RI'!S128+'A) Base RI'!T128</f>
        <v>0</v>
      </c>
      <c r="AB128" s="10">
        <f>+'A) Base RI'!U128</f>
        <v>19350</v>
      </c>
      <c r="AC128" s="10">
        <f>+'A) Base RI'!V128</f>
        <v>0</v>
      </c>
      <c r="AD128" s="10">
        <f>+'A) Base RI'!W128</f>
        <v>0</v>
      </c>
      <c r="AE128" s="10">
        <f>+'A) Base RI'!Y128</f>
        <v>66635</v>
      </c>
      <c r="AF128" s="10" t="str">
        <f>+'A) Base RI'!Z128</f>
        <v/>
      </c>
      <c r="AG128" s="10">
        <f>+'A) Base RI'!AA128</f>
        <v>182501.4</v>
      </c>
      <c r="AH128" s="10">
        <f>+'A) Base RI'!AB128</f>
        <v>372259.55</v>
      </c>
      <c r="AI128" s="10">
        <f>+'A) Base RI'!AC128</f>
        <v>154043.65</v>
      </c>
      <c r="AJ128" s="10">
        <f>+'A) Base RI'!AD128</f>
        <v>162860.95000000001</v>
      </c>
      <c r="AK128" s="10" t="str">
        <f>+'A) Base RI'!AE128</f>
        <v/>
      </c>
      <c r="AL128" s="10" t="str">
        <f>+'A) Base RI'!AF128</f>
        <v/>
      </c>
      <c r="AM128" s="10">
        <f>+'A) Base RI'!AG128</f>
        <v>55148.4</v>
      </c>
      <c r="AN128" s="10">
        <f>+'A) Base RI'!AH128</f>
        <v>154449.1</v>
      </c>
      <c r="AO128" s="10">
        <f>+'A) Base RI'!AI128</f>
        <v>0</v>
      </c>
      <c r="AP128" s="10">
        <f>+'A) Base RI'!AJ128</f>
        <v>0</v>
      </c>
      <c r="AQ128" s="10">
        <f>+'A) Base RI'!AK128</f>
        <v>0</v>
      </c>
      <c r="AR128" s="10">
        <f>'A) Base RI'!AN128</f>
        <v>2880</v>
      </c>
    </row>
    <row r="129" spans="1:44" x14ac:dyDescent="0.25">
      <c r="A129" s="8">
        <f>'A) Base RI'!A129</f>
        <v>5609</v>
      </c>
      <c r="B129" s="33" t="str">
        <f>'A) Base RI'!B129</f>
        <v>Rivaz</v>
      </c>
      <c r="C129" s="10">
        <f>'A) Base RI'!C129+'A) Base RI'!D129</f>
        <v>782428.25</v>
      </c>
      <c r="D129" s="10">
        <f>'A) Base RI'!AO129</f>
        <v>-15942.23</v>
      </c>
      <c r="E129" s="32">
        <f>'A) Base RI'!AP129</f>
        <v>0</v>
      </c>
      <c r="F129" s="32">
        <f>'A) Base RI'!AQ129</f>
        <v>-41.66</v>
      </c>
      <c r="G129" s="2">
        <f t="shared" si="6"/>
        <v>766444.36</v>
      </c>
      <c r="H129" s="10">
        <f>+'A) Base RI'!E129</f>
        <v>0</v>
      </c>
      <c r="I129" s="10">
        <f>+'A) Base RI'!F129</f>
        <v>0</v>
      </c>
      <c r="J129" s="10">
        <f>+'A) Base RI'!G129+'A) Base RI'!H129</f>
        <v>7097.25</v>
      </c>
      <c r="K129" s="10">
        <f>+'A) Base RI'!I129</f>
        <v>0</v>
      </c>
      <c r="L129" s="10">
        <f>+'A) Base RI'!J129</f>
        <v>28690.19</v>
      </c>
      <c r="M129" s="10">
        <f>+'A) Base RI'!K129</f>
        <v>1268.4000000000001</v>
      </c>
      <c r="N129" s="10">
        <f>+'A) Base RI'!Q129</f>
        <v>0</v>
      </c>
      <c r="O129" s="10">
        <f t="shared" si="7"/>
        <v>54950.5</v>
      </c>
      <c r="P129" s="10">
        <f>+'A) Base RI'!L129</f>
        <v>54950.5</v>
      </c>
      <c r="Q129" s="35">
        <f>'A) Base RI'!AR129</f>
        <v>1</v>
      </c>
      <c r="R129" s="2">
        <f t="shared" si="8"/>
        <v>858450.7</v>
      </c>
      <c r="S129" s="34">
        <f>+'A) Base RI'!AM129</f>
        <v>63.5</v>
      </c>
      <c r="T129" s="2">
        <f t="shared" si="9"/>
        <v>802231.79999999993</v>
      </c>
      <c r="U129" s="2">
        <f t="shared" si="10"/>
        <v>13518.908661417323</v>
      </c>
      <c r="V129" s="10">
        <f>+'A) Base RI'!O129</f>
        <v>0</v>
      </c>
      <c r="W129" s="10">
        <f>+'A) Base RI'!P129</f>
        <v>19580</v>
      </c>
      <c r="X129" s="10">
        <f>+'A) Base RI'!R129</f>
        <v>0</v>
      </c>
      <c r="Y129" s="2">
        <f t="shared" si="11"/>
        <v>19580</v>
      </c>
      <c r="Z129" s="10">
        <f>+'A) Base RI'!N129</f>
        <v>0</v>
      </c>
      <c r="AA129" s="10">
        <f>+'A) Base RI'!S129+'A) Base RI'!T129</f>
        <v>0</v>
      </c>
      <c r="AB129" s="10">
        <f>+'A) Base RI'!U129</f>
        <v>1100</v>
      </c>
      <c r="AC129" s="10">
        <f>+'A) Base RI'!V129</f>
        <v>0</v>
      </c>
      <c r="AD129" s="10">
        <f>+'A) Base RI'!W129</f>
        <v>0</v>
      </c>
      <c r="AE129" s="10">
        <f>+'A) Base RI'!Y129</f>
        <v>0</v>
      </c>
      <c r="AF129" s="10">
        <f>+'A) Base RI'!Z129</f>
        <v>660</v>
      </c>
      <c r="AG129" s="10">
        <f>+'A) Base RI'!AA129</f>
        <v>33751</v>
      </c>
      <c r="AH129" s="10">
        <f>+'A) Base RI'!AB129</f>
        <v>37173.4</v>
      </c>
      <c r="AI129" s="10">
        <f>+'A) Base RI'!AC129</f>
        <v>21493.25</v>
      </c>
      <c r="AJ129" s="10">
        <f>+'A) Base RI'!AD129</f>
        <v>0</v>
      </c>
      <c r="AK129" s="10">
        <f>+'A) Base RI'!AE129</f>
        <v>1100</v>
      </c>
      <c r="AL129" s="10">
        <f>+'A) Base RI'!AF129</f>
        <v>0</v>
      </c>
      <c r="AM129" s="10">
        <f>+'A) Base RI'!AG129</f>
        <v>8480</v>
      </c>
      <c r="AN129" s="10">
        <f>+'A) Base RI'!AH129</f>
        <v>6459.55</v>
      </c>
      <c r="AO129" s="10">
        <f>+'A) Base RI'!AI129</f>
        <v>0</v>
      </c>
      <c r="AP129" s="10">
        <f>+'A) Base RI'!AJ129</f>
        <v>0</v>
      </c>
      <c r="AQ129" s="10">
        <f>+'A) Base RI'!AK129</f>
        <v>0</v>
      </c>
      <c r="AR129" s="10">
        <f>'A) Base RI'!AN129</f>
        <v>358</v>
      </c>
    </row>
    <row r="130" spans="1:44" x14ac:dyDescent="0.25">
      <c r="A130" s="8">
        <f>'A) Base RI'!A130</f>
        <v>5610</v>
      </c>
      <c r="B130" s="33" t="str">
        <f>'A) Base RI'!B130</f>
        <v>St-Saphorin (Lavaux)</v>
      </c>
      <c r="C130" s="10">
        <f>'A) Base RI'!C130+'A) Base RI'!D130</f>
        <v>2283246.67</v>
      </c>
      <c r="D130" s="10">
        <f>'A) Base RI'!AO130</f>
        <v>-2845.55</v>
      </c>
      <c r="E130" s="32">
        <f>'A) Base RI'!AP130</f>
        <v>-906774.4</v>
      </c>
      <c r="F130" s="32">
        <f>'A) Base RI'!AQ130</f>
        <v>-870.54</v>
      </c>
      <c r="G130" s="2">
        <f t="shared" si="6"/>
        <v>1372756.1800000002</v>
      </c>
      <c r="H130" s="10">
        <f>+'A) Base RI'!E130</f>
        <v>0</v>
      </c>
      <c r="I130" s="10">
        <f>+'A) Base RI'!F130</f>
        <v>0</v>
      </c>
      <c r="J130" s="10">
        <f>+'A) Base RI'!G130+'A) Base RI'!H130</f>
        <v>6265.2</v>
      </c>
      <c r="K130" s="10">
        <f>+'A) Base RI'!I130</f>
        <v>-2463.1500000000101</v>
      </c>
      <c r="L130" s="10">
        <f>+'A) Base RI'!J130</f>
        <v>26056.06</v>
      </c>
      <c r="M130" s="10">
        <f>+'A) Base RI'!K130</f>
        <v>7065.8</v>
      </c>
      <c r="N130" s="10">
        <f>+'A) Base RI'!Q130</f>
        <v>1063.29</v>
      </c>
      <c r="O130" s="10">
        <f t="shared" si="7"/>
        <v>93841.55</v>
      </c>
      <c r="P130" s="10">
        <f>+'A) Base RI'!L130</f>
        <v>93841.55</v>
      </c>
      <c r="Q130" s="35">
        <f>'A) Base RI'!AR130</f>
        <v>1</v>
      </c>
      <c r="R130" s="2">
        <f t="shared" si="8"/>
        <v>1504584.9300000004</v>
      </c>
      <c r="S130" s="34">
        <f>+'A) Base RI'!AM130</f>
        <v>70</v>
      </c>
      <c r="T130" s="2">
        <f t="shared" si="9"/>
        <v>1403677.5800000003</v>
      </c>
      <c r="U130" s="2">
        <f t="shared" si="10"/>
        <v>21494.070428571435</v>
      </c>
      <c r="V130" s="10">
        <f>+'A) Base RI'!O130</f>
        <v>6564.4</v>
      </c>
      <c r="W130" s="10">
        <f>+'A) Base RI'!P130</f>
        <v>14069</v>
      </c>
      <c r="X130" s="10">
        <f>+'A) Base RI'!R130</f>
        <v>17289.25</v>
      </c>
      <c r="Y130" s="2">
        <f t="shared" si="11"/>
        <v>37922.65</v>
      </c>
      <c r="Z130" s="10">
        <f>+'A) Base RI'!N130</f>
        <v>0</v>
      </c>
      <c r="AA130" s="10">
        <f>+'A) Base RI'!S130+'A) Base RI'!T130</f>
        <v>0</v>
      </c>
      <c r="AB130" s="10">
        <f>+'A) Base RI'!U130</f>
        <v>4950</v>
      </c>
      <c r="AC130" s="10">
        <f>+'A) Base RI'!V130</f>
        <v>0</v>
      </c>
      <c r="AD130" s="10">
        <f>+'A) Base RI'!W130</f>
        <v>0</v>
      </c>
      <c r="AE130" s="10">
        <f>+'A) Base RI'!Y130</f>
        <v>0</v>
      </c>
      <c r="AF130" s="10">
        <f>+'A) Base RI'!Z130</f>
        <v>0</v>
      </c>
      <c r="AG130" s="10">
        <f>+'A) Base RI'!AA130</f>
        <v>59099</v>
      </c>
      <c r="AH130" s="10">
        <f>+'A) Base RI'!AB130</f>
        <v>0</v>
      </c>
      <c r="AI130" s="10">
        <f>+'A) Base RI'!AC130</f>
        <v>0</v>
      </c>
      <c r="AJ130" s="10">
        <f>+'A) Base RI'!AD130</f>
        <v>29600</v>
      </c>
      <c r="AK130" s="10">
        <f>+'A) Base RI'!AE130</f>
        <v>47910.7</v>
      </c>
      <c r="AL130" s="10">
        <f>+'A) Base RI'!AF130</f>
        <v>0</v>
      </c>
      <c r="AM130" s="10">
        <f>+'A) Base RI'!AG130</f>
        <v>0</v>
      </c>
      <c r="AN130" s="10">
        <f>+'A) Base RI'!AH130</f>
        <v>0</v>
      </c>
      <c r="AO130" s="10">
        <f>+'A) Base RI'!AI130</f>
        <v>0</v>
      </c>
      <c r="AP130" s="10">
        <f>+'A) Base RI'!AJ130</f>
        <v>0</v>
      </c>
      <c r="AQ130" s="10">
        <f>+'A) Base RI'!AK130</f>
        <v>0</v>
      </c>
      <c r="AR130" s="10">
        <f>'A) Base RI'!AN130</f>
        <v>391</v>
      </c>
    </row>
    <row r="131" spans="1:44" x14ac:dyDescent="0.25">
      <c r="A131" s="8">
        <f>'A) Base RI'!A131</f>
        <v>5611</v>
      </c>
      <c r="B131" s="33" t="str">
        <f>'A) Base RI'!B131</f>
        <v>Savigny</v>
      </c>
      <c r="C131" s="10">
        <f>'A) Base RI'!C131+'A) Base RI'!D131</f>
        <v>8320157.2999999998</v>
      </c>
      <c r="D131" s="10">
        <f>'A) Base RI'!AO131</f>
        <v>-136858.85999999999</v>
      </c>
      <c r="E131" s="32">
        <f>'A) Base RI'!AP131</f>
        <v>0</v>
      </c>
      <c r="F131" s="32">
        <f>'A) Base RI'!AQ131</f>
        <v>-2155.73</v>
      </c>
      <c r="G131" s="2">
        <f t="shared" si="6"/>
        <v>8181142.709999999</v>
      </c>
      <c r="H131" s="10">
        <f>+'A) Base RI'!E131</f>
        <v>0</v>
      </c>
      <c r="I131" s="10">
        <f>+'A) Base RI'!F131</f>
        <v>0</v>
      </c>
      <c r="J131" s="10">
        <f>+'A) Base RI'!G131+'A) Base RI'!H131</f>
        <v>459849.25</v>
      </c>
      <c r="K131" s="10">
        <f>+'A) Base RI'!I131</f>
        <v>49142.5</v>
      </c>
      <c r="L131" s="10">
        <f>+'A) Base RI'!J131</f>
        <v>139098.85</v>
      </c>
      <c r="M131" s="10">
        <f>+'A) Base RI'!K131</f>
        <v>25088.65</v>
      </c>
      <c r="N131" s="10">
        <f>+'A) Base RI'!Q131</f>
        <v>8701.4599999999991</v>
      </c>
      <c r="O131" s="10">
        <f t="shared" si="7"/>
        <v>641554.41666666674</v>
      </c>
      <c r="P131" s="10">
        <f>+'A) Base RI'!L131</f>
        <v>769865.3</v>
      </c>
      <c r="Q131" s="35">
        <f>'A) Base RI'!AR131</f>
        <v>1.2</v>
      </c>
      <c r="R131" s="2">
        <f t="shared" si="8"/>
        <v>9504577.836666666</v>
      </c>
      <c r="S131" s="34">
        <f>+'A) Base RI'!AM131</f>
        <v>69</v>
      </c>
      <c r="T131" s="2">
        <f t="shared" si="9"/>
        <v>8837934.7699999996</v>
      </c>
      <c r="U131" s="2">
        <f t="shared" si="10"/>
        <v>137747.50487922705</v>
      </c>
      <c r="V131" s="10">
        <f>+'A) Base RI'!O131</f>
        <v>1085711.8</v>
      </c>
      <c r="W131" s="10">
        <f>+'A) Base RI'!P131</f>
        <v>299437.45</v>
      </c>
      <c r="X131" s="10">
        <f>+'A) Base RI'!R131</f>
        <v>205682</v>
      </c>
      <c r="Y131" s="2">
        <f t="shared" si="11"/>
        <v>1590831.25</v>
      </c>
      <c r="Z131" s="10">
        <f>+'A) Base RI'!N131</f>
        <v>152991.25</v>
      </c>
      <c r="AA131" s="10">
        <f>+'A) Base RI'!S131+'A) Base RI'!T131</f>
        <v>17673.349999999999</v>
      </c>
      <c r="AB131" s="10">
        <f>+'A) Base RI'!U131</f>
        <v>21000</v>
      </c>
      <c r="AC131" s="10">
        <f>+'A) Base RI'!V131</f>
        <v>5906.7</v>
      </c>
      <c r="AD131" s="10">
        <f>+'A) Base RI'!W131</f>
        <v>0</v>
      </c>
      <c r="AE131" s="10">
        <f>+'A) Base RI'!Y131</f>
        <v>9930.61</v>
      </c>
      <c r="AF131" s="10">
        <f>+'A) Base RI'!Z131</f>
        <v>8477.7999999999993</v>
      </c>
      <c r="AG131" s="10">
        <f>+'A) Base RI'!AA131</f>
        <v>0</v>
      </c>
      <c r="AH131" s="10">
        <f>+'A) Base RI'!AB131</f>
        <v>0</v>
      </c>
      <c r="AI131" s="10">
        <f>+'A) Base RI'!AC131</f>
        <v>320555.88</v>
      </c>
      <c r="AJ131" s="10">
        <f>+'A) Base RI'!AD131</f>
        <v>6631.01</v>
      </c>
      <c r="AK131" s="10">
        <f>+'A) Base RI'!AE131</f>
        <v>2828.5</v>
      </c>
      <c r="AL131" s="10">
        <f>+'A) Base RI'!AF131</f>
        <v>0</v>
      </c>
      <c r="AM131" s="10">
        <f>+'A) Base RI'!AG131</f>
        <v>0</v>
      </c>
      <c r="AN131" s="10">
        <f>+'A) Base RI'!AH131</f>
        <v>0</v>
      </c>
      <c r="AO131" s="10">
        <f>+'A) Base RI'!AI131</f>
        <v>0</v>
      </c>
      <c r="AP131" s="10">
        <f>+'A) Base RI'!AJ131</f>
        <v>0</v>
      </c>
      <c r="AQ131" s="10">
        <f>+'A) Base RI'!AK131</f>
        <v>0</v>
      </c>
      <c r="AR131" s="10">
        <f>'A) Base RI'!AN131</f>
        <v>3353</v>
      </c>
    </row>
    <row r="132" spans="1:44" x14ac:dyDescent="0.25">
      <c r="A132" s="8">
        <f>'A) Base RI'!A132</f>
        <v>5613</v>
      </c>
      <c r="B132" s="33" t="str">
        <f>'A) Base RI'!B132</f>
        <v>Bourg-en-Lavaux</v>
      </c>
      <c r="C132" s="10">
        <f>'A) Base RI'!C132+'A) Base RI'!D132</f>
        <v>15935213.469999999</v>
      </c>
      <c r="D132" s="10">
        <f>'A) Base RI'!AO132</f>
        <v>-289203.40000000002</v>
      </c>
      <c r="E132" s="32">
        <f>'A) Base RI'!AP132</f>
        <v>0</v>
      </c>
      <c r="F132" s="32">
        <f>'A) Base RI'!AQ132</f>
        <v>-8321.73</v>
      </c>
      <c r="G132" s="2">
        <f t="shared" si="6"/>
        <v>15637688.339999998</v>
      </c>
      <c r="H132" s="10">
        <f>+'A) Base RI'!E132</f>
        <v>0</v>
      </c>
      <c r="I132" s="10">
        <f>+'A) Base RI'!F132</f>
        <v>0</v>
      </c>
      <c r="J132" s="10">
        <f>+'A) Base RI'!G132+'A) Base RI'!H132</f>
        <v>197982.4</v>
      </c>
      <c r="K132" s="10">
        <f>+'A) Base RI'!I132</f>
        <v>278712.84999999998</v>
      </c>
      <c r="L132" s="10">
        <f>+'A) Base RI'!J132</f>
        <v>411516.68</v>
      </c>
      <c r="M132" s="10">
        <f>+'A) Base RI'!K132</f>
        <v>28193.1</v>
      </c>
      <c r="N132" s="10">
        <f>+'A) Base RI'!Q132</f>
        <v>2632.23</v>
      </c>
      <c r="O132" s="10">
        <f t="shared" si="7"/>
        <v>1376758.4000000001</v>
      </c>
      <c r="P132" s="10">
        <f>+'A) Base RI'!L132</f>
        <v>2065137.6</v>
      </c>
      <c r="Q132" s="35">
        <f>'A) Base RI'!AR132</f>
        <v>1.5</v>
      </c>
      <c r="R132" s="2">
        <f t="shared" si="8"/>
        <v>17933483.999999996</v>
      </c>
      <c r="S132" s="34">
        <f>+'A) Base RI'!AM132</f>
        <v>61</v>
      </c>
      <c r="T132" s="2">
        <f t="shared" si="9"/>
        <v>16528532.499999998</v>
      </c>
      <c r="U132" s="2">
        <f t="shared" si="10"/>
        <v>293991.54098360648</v>
      </c>
      <c r="V132" s="10">
        <f>+'A) Base RI'!O132</f>
        <v>433812.8</v>
      </c>
      <c r="W132" s="10">
        <f>+'A) Base RI'!P132</f>
        <v>767572.65</v>
      </c>
      <c r="X132" s="10">
        <f>+'A) Base RI'!R132</f>
        <v>964241.35</v>
      </c>
      <c r="Y132" s="2">
        <f t="shared" si="11"/>
        <v>2165626.7999999998</v>
      </c>
      <c r="Z132" s="10">
        <f>+'A) Base RI'!N132</f>
        <v>27565.8</v>
      </c>
      <c r="AA132" s="10">
        <f>+'A) Base RI'!S132+'A) Base RI'!T132</f>
        <v>0</v>
      </c>
      <c r="AB132" s="10">
        <f>+'A) Base RI'!U132</f>
        <v>24200</v>
      </c>
      <c r="AC132" s="10">
        <f>+'A) Base RI'!V132</f>
        <v>0</v>
      </c>
      <c r="AD132" s="10">
        <f>+'A) Base RI'!W132</f>
        <v>0</v>
      </c>
      <c r="AE132" s="10">
        <f>+'A) Base RI'!Y132</f>
        <v>16842.78</v>
      </c>
      <c r="AF132" s="10" t="str">
        <f>+'A) Base RI'!Z132</f>
        <v/>
      </c>
      <c r="AG132" s="10">
        <f>+'A) Base RI'!AA132</f>
        <v>659014.36</v>
      </c>
      <c r="AH132" s="10" t="str">
        <f>+'A) Base RI'!AB132</f>
        <v/>
      </c>
      <c r="AI132" s="10">
        <f>+'A) Base RI'!AC132</f>
        <v>355490.25</v>
      </c>
      <c r="AJ132" s="10">
        <f>+'A) Base RI'!AD132</f>
        <v>142308.29</v>
      </c>
      <c r="AK132" s="10" t="str">
        <f>+'A) Base RI'!AE132</f>
        <v/>
      </c>
      <c r="AL132" s="10" t="str">
        <f>+'A) Base RI'!AF132</f>
        <v/>
      </c>
      <c r="AM132" s="10">
        <f>+'A) Base RI'!AG132</f>
        <v>146350.9</v>
      </c>
      <c r="AN132" s="10">
        <f>+'A) Base RI'!AH132</f>
        <v>173706.5</v>
      </c>
      <c r="AO132" s="10">
        <f>+'A) Base RI'!AI132</f>
        <v>0</v>
      </c>
      <c r="AP132" s="10">
        <f>+'A) Base RI'!AJ132</f>
        <v>0</v>
      </c>
      <c r="AQ132" s="10">
        <f>+'A) Base RI'!AK132</f>
        <v>0</v>
      </c>
      <c r="AR132" s="10">
        <f>'A) Base RI'!AN132</f>
        <v>5367</v>
      </c>
    </row>
    <row r="133" spans="1:44" x14ac:dyDescent="0.25">
      <c r="A133" s="8">
        <f>'A) Base RI'!A133</f>
        <v>5621</v>
      </c>
      <c r="B133" s="33" t="str">
        <f>'A) Base RI'!B133</f>
        <v>Aclens</v>
      </c>
      <c r="C133" s="10">
        <f>'A) Base RI'!C133+'A) Base RI'!D133</f>
        <v>1346470.78</v>
      </c>
      <c r="D133" s="10">
        <f>'A) Base RI'!AO133</f>
        <v>-51717.16</v>
      </c>
      <c r="E133" s="32">
        <f>'A) Base RI'!AP133</f>
        <v>0</v>
      </c>
      <c r="F133" s="32">
        <f>'A) Base RI'!AQ133</f>
        <v>-16.71</v>
      </c>
      <c r="G133" s="2">
        <f t="shared" si="6"/>
        <v>1294736.9100000001</v>
      </c>
      <c r="H133" s="10">
        <f>+'A) Base RI'!E133</f>
        <v>0</v>
      </c>
      <c r="I133" s="10">
        <f>+'A) Base RI'!F133</f>
        <v>0</v>
      </c>
      <c r="J133" s="10">
        <f>+'A) Base RI'!G133+'A) Base RI'!H133</f>
        <v>790568.39999999991</v>
      </c>
      <c r="K133" s="10">
        <f>+'A) Base RI'!I133</f>
        <v>0</v>
      </c>
      <c r="L133" s="10">
        <f>+'A) Base RI'!J133</f>
        <v>70297.41</v>
      </c>
      <c r="M133" s="10">
        <f>+'A) Base RI'!K133</f>
        <v>15614.15</v>
      </c>
      <c r="N133" s="10">
        <f>+'A) Base RI'!Q133</f>
        <v>1879.28</v>
      </c>
      <c r="O133" s="10">
        <f t="shared" si="7"/>
        <v>281778.04545454541</v>
      </c>
      <c r="P133" s="10">
        <f>+'A) Base RI'!L133</f>
        <v>309955.84999999998</v>
      </c>
      <c r="Q133" s="35">
        <f>'A) Base RI'!AR133</f>
        <v>1.1000000000000001</v>
      </c>
      <c r="R133" s="2">
        <f t="shared" si="8"/>
        <v>2454874.1954545453</v>
      </c>
      <c r="S133" s="34">
        <f>+'A) Base RI'!AM133</f>
        <v>62</v>
      </c>
      <c r="T133" s="2">
        <f t="shared" si="9"/>
        <v>2157482</v>
      </c>
      <c r="U133" s="2">
        <f t="shared" si="10"/>
        <v>39594.745087976538</v>
      </c>
      <c r="V133" s="10">
        <f>+'A) Base RI'!O133</f>
        <v>269761.5</v>
      </c>
      <c r="W133" s="10">
        <f>+'A) Base RI'!P133</f>
        <v>36952.85</v>
      </c>
      <c r="X133" s="10">
        <f>+'A) Base RI'!R133</f>
        <v>64359.5</v>
      </c>
      <c r="Y133" s="2">
        <f t="shared" si="11"/>
        <v>371073.85</v>
      </c>
      <c r="Z133" s="10">
        <f>+'A) Base RI'!N133</f>
        <v>216714.35</v>
      </c>
      <c r="AA133" s="10">
        <f>+'A) Base RI'!S133+'A) Base RI'!T133</f>
        <v>1414.9</v>
      </c>
      <c r="AB133" s="10">
        <f>+'A) Base RI'!U133</f>
        <v>2800</v>
      </c>
      <c r="AC133" s="10">
        <f>+'A) Base RI'!V133</f>
        <v>0</v>
      </c>
      <c r="AD133" s="10">
        <f>+'A) Base RI'!W133</f>
        <v>0</v>
      </c>
      <c r="AE133" s="10">
        <f>+'A) Base RI'!Y133</f>
        <v>13669.3</v>
      </c>
      <c r="AF133" s="10">
        <f>+'A) Base RI'!Z133</f>
        <v>0</v>
      </c>
      <c r="AG133" s="10">
        <f>+'A) Base RI'!AA133</f>
        <v>197463.75</v>
      </c>
      <c r="AH133" s="10">
        <f>+'A) Base RI'!AB133</f>
        <v>0</v>
      </c>
      <c r="AI133" s="10">
        <f>+'A) Base RI'!AC133</f>
        <v>44081.65</v>
      </c>
      <c r="AJ133" s="10">
        <f>+'A) Base RI'!AD133</f>
        <v>13669.3</v>
      </c>
      <c r="AK133" s="10">
        <f>+'A) Base RI'!AE133</f>
        <v>0</v>
      </c>
      <c r="AL133" s="10">
        <f>+'A) Base RI'!AF133</f>
        <v>0</v>
      </c>
      <c r="AM133" s="10">
        <f>+'A) Base RI'!AG133</f>
        <v>0</v>
      </c>
      <c r="AN133" s="10">
        <f>+'A) Base RI'!AH133</f>
        <v>109669.25</v>
      </c>
      <c r="AO133" s="10">
        <f>+'A) Base RI'!AI133</f>
        <v>0</v>
      </c>
      <c r="AP133" s="10">
        <f>+'A) Base RI'!AJ133</f>
        <v>0</v>
      </c>
      <c r="AQ133" s="10">
        <f>+'A) Base RI'!AK133</f>
        <v>0</v>
      </c>
      <c r="AR133" s="10">
        <f>'A) Base RI'!AN133</f>
        <v>535</v>
      </c>
    </row>
    <row r="134" spans="1:44" x14ac:dyDescent="0.25">
      <c r="A134" s="8">
        <f>'A) Base RI'!A134</f>
        <v>5622</v>
      </c>
      <c r="B134" s="33" t="str">
        <f>'A) Base RI'!B134</f>
        <v>Bremblens</v>
      </c>
      <c r="C134" s="10">
        <f>'A) Base RI'!C134+'A) Base RI'!D134</f>
        <v>1595778.51</v>
      </c>
      <c r="D134" s="10">
        <f>'A) Base RI'!AO134</f>
        <v>-8919.76</v>
      </c>
      <c r="E134" s="32">
        <f>'A) Base RI'!AP134</f>
        <v>0</v>
      </c>
      <c r="F134" s="32">
        <f>'A) Base RI'!AQ134</f>
        <v>-67.260000000000005</v>
      </c>
      <c r="G134" s="2">
        <f t="shared" si="6"/>
        <v>1586791.49</v>
      </c>
      <c r="H134" s="10">
        <f>+'A) Base RI'!E134</f>
        <v>0</v>
      </c>
      <c r="I134" s="10">
        <f>+'A) Base RI'!F134</f>
        <v>0</v>
      </c>
      <c r="J134" s="10">
        <f>+'A) Base RI'!G134+'A) Base RI'!H134</f>
        <v>-47496.049999999996</v>
      </c>
      <c r="K134" s="10">
        <f>+'A) Base RI'!I134</f>
        <v>0</v>
      </c>
      <c r="L134" s="10">
        <f>+'A) Base RI'!J134</f>
        <v>-16188.79</v>
      </c>
      <c r="M134" s="10">
        <f>+'A) Base RI'!K134</f>
        <v>5357</v>
      </c>
      <c r="N134" s="10">
        <f>+'A) Base RI'!Q134</f>
        <v>5642.52</v>
      </c>
      <c r="O134" s="10">
        <f t="shared" si="7"/>
        <v>139012.4</v>
      </c>
      <c r="P134" s="10">
        <f>+'A) Base RI'!L134</f>
        <v>139012.4</v>
      </c>
      <c r="Q134" s="35">
        <f>'A) Base RI'!AR134</f>
        <v>1</v>
      </c>
      <c r="R134" s="2">
        <f t="shared" si="8"/>
        <v>1673118.5699999998</v>
      </c>
      <c r="S134" s="34">
        <f>+'A) Base RI'!AM134</f>
        <v>66</v>
      </c>
      <c r="T134" s="2">
        <f t="shared" si="9"/>
        <v>1528749.17</v>
      </c>
      <c r="U134" s="2">
        <f t="shared" si="10"/>
        <v>25350.281363636361</v>
      </c>
      <c r="V134" s="10">
        <f>+'A) Base RI'!O134</f>
        <v>0</v>
      </c>
      <c r="W134" s="10">
        <f>+'A) Base RI'!P134</f>
        <v>147249.1</v>
      </c>
      <c r="X134" s="10">
        <f>+'A) Base RI'!R134</f>
        <v>104349.6</v>
      </c>
      <c r="Y134" s="2">
        <f t="shared" si="11"/>
        <v>251598.7</v>
      </c>
      <c r="Z134" s="10">
        <f>+'A) Base RI'!N134</f>
        <v>22635.8</v>
      </c>
      <c r="AA134" s="10">
        <f>+'A) Base RI'!S134+'A) Base RI'!T134</f>
        <v>0</v>
      </c>
      <c r="AB134" s="10">
        <f>+'A) Base RI'!U134</f>
        <v>2160</v>
      </c>
      <c r="AC134" s="10">
        <f>+'A) Base RI'!V134</f>
        <v>0</v>
      </c>
      <c r="AD134" s="10">
        <f>+'A) Base RI'!W134</f>
        <v>0</v>
      </c>
      <c r="AE134" s="10">
        <f>+'A) Base RI'!Y134</f>
        <v>62724.5</v>
      </c>
      <c r="AF134" s="10" t="str">
        <f>+'A) Base RI'!Z134</f>
        <v/>
      </c>
      <c r="AG134" s="10">
        <f>+'A) Base RI'!AA134</f>
        <v>187285.35</v>
      </c>
      <c r="AH134" s="10" t="str">
        <f>+'A) Base RI'!AB134</f>
        <v/>
      </c>
      <c r="AI134" s="10">
        <f>+'A) Base RI'!AC134</f>
        <v>70465.5</v>
      </c>
      <c r="AJ134" s="10">
        <f>+'A) Base RI'!AD134</f>
        <v>101720</v>
      </c>
      <c r="AK134" s="10" t="str">
        <f>+'A) Base RI'!AE134</f>
        <v/>
      </c>
      <c r="AL134" s="10" t="str">
        <f>+'A) Base RI'!AF134</f>
        <v/>
      </c>
      <c r="AM134" s="10" t="str">
        <f>+'A) Base RI'!AG134</f>
        <v/>
      </c>
      <c r="AN134" s="10">
        <f>+'A) Base RI'!AH134</f>
        <v>0</v>
      </c>
      <c r="AO134" s="10">
        <f>+'A) Base RI'!AI134</f>
        <v>0</v>
      </c>
      <c r="AP134" s="10">
        <f>+'A) Base RI'!AJ134</f>
        <v>0</v>
      </c>
      <c r="AQ134" s="10">
        <f>+'A) Base RI'!AK134</f>
        <v>0</v>
      </c>
      <c r="AR134" s="10">
        <f>'A) Base RI'!AN134</f>
        <v>548</v>
      </c>
    </row>
    <row r="135" spans="1:44" x14ac:dyDescent="0.25">
      <c r="A135" s="8">
        <f>'A) Base RI'!A135</f>
        <v>5623</v>
      </c>
      <c r="B135" s="33" t="str">
        <f>'A) Base RI'!B135</f>
        <v>Buchillon</v>
      </c>
      <c r="C135" s="10">
        <f>'A) Base RI'!C135+'A) Base RI'!D135</f>
        <v>5529113.4700000007</v>
      </c>
      <c r="D135" s="10">
        <f>'A) Base RI'!AO135</f>
        <v>-3950.78</v>
      </c>
      <c r="E135" s="32">
        <f>'A) Base RI'!AP135</f>
        <v>0</v>
      </c>
      <c r="F135" s="32">
        <f>'A) Base RI'!AQ135</f>
        <v>-19195.86</v>
      </c>
      <c r="G135" s="2">
        <f t="shared" si="6"/>
        <v>5505966.8300000001</v>
      </c>
      <c r="H135" s="10">
        <f>+'A) Base RI'!E135</f>
        <v>0</v>
      </c>
      <c r="I135" s="10">
        <f>+'A) Base RI'!F135</f>
        <v>0</v>
      </c>
      <c r="J135" s="10">
        <f>+'A) Base RI'!G135+'A) Base RI'!H135</f>
        <v>244076.09999999998</v>
      </c>
      <c r="K135" s="10">
        <f>+'A) Base RI'!I135</f>
        <v>172396.45</v>
      </c>
      <c r="L135" s="10">
        <f>+'A) Base RI'!J135</f>
        <v>8984.08</v>
      </c>
      <c r="M135" s="10">
        <f>+'A) Base RI'!K135</f>
        <v>3141.7</v>
      </c>
      <c r="N135" s="10">
        <f>+'A) Base RI'!Q135</f>
        <v>1038.72</v>
      </c>
      <c r="O135" s="10">
        <f t="shared" si="7"/>
        <v>336348.6</v>
      </c>
      <c r="P135" s="10">
        <f>+'A) Base RI'!L135</f>
        <v>336348.6</v>
      </c>
      <c r="Q135" s="35">
        <f>'A) Base RI'!AR135</f>
        <v>1</v>
      </c>
      <c r="R135" s="2">
        <f t="shared" si="8"/>
        <v>6271952.4799999995</v>
      </c>
      <c r="S135" s="34">
        <f>+'A) Base RI'!AM135</f>
        <v>53</v>
      </c>
      <c r="T135" s="2">
        <f t="shared" si="9"/>
        <v>5932462.1799999997</v>
      </c>
      <c r="U135" s="2">
        <f t="shared" si="10"/>
        <v>118338.72603773585</v>
      </c>
      <c r="V135" s="10">
        <f>+'A) Base RI'!O135</f>
        <v>103319.7</v>
      </c>
      <c r="W135" s="10">
        <f>+'A) Base RI'!P135</f>
        <v>134400.9</v>
      </c>
      <c r="X135" s="10">
        <f>+'A) Base RI'!R135</f>
        <v>32810.1</v>
      </c>
      <c r="Y135" s="2">
        <f t="shared" si="11"/>
        <v>270530.69999999995</v>
      </c>
      <c r="Z135" s="10">
        <f>+'A) Base RI'!N135</f>
        <v>2113.4499999999998</v>
      </c>
      <c r="AA135" s="10">
        <f>+'A) Base RI'!S135+'A) Base RI'!T135</f>
        <v>700</v>
      </c>
      <c r="AB135" s="10">
        <f>+'A) Base RI'!U135</f>
        <v>1512.5</v>
      </c>
      <c r="AC135" s="10">
        <f>+'A) Base RI'!V135</f>
        <v>0</v>
      </c>
      <c r="AD135" s="10">
        <f>+'A) Base RI'!W135</f>
        <v>0</v>
      </c>
      <c r="AE135" s="10">
        <f>+'A) Base RI'!Y135</f>
        <v>5325.7</v>
      </c>
      <c r="AF135" s="10">
        <f>+'A) Base RI'!Z135</f>
        <v>0</v>
      </c>
      <c r="AG135" s="10">
        <f>+'A) Base RI'!AA135</f>
        <v>140635.4</v>
      </c>
      <c r="AH135" s="10">
        <f>+'A) Base RI'!AB135</f>
        <v>0</v>
      </c>
      <c r="AI135" s="10">
        <f>+'A) Base RI'!AC135</f>
        <v>59633.1</v>
      </c>
      <c r="AJ135" s="10">
        <f>+'A) Base RI'!AD135</f>
        <v>1693.3</v>
      </c>
      <c r="AK135" s="10">
        <f>+'A) Base RI'!AE135</f>
        <v>0</v>
      </c>
      <c r="AL135" s="10">
        <f>+'A) Base RI'!AF135</f>
        <v>0</v>
      </c>
      <c r="AM135" s="10">
        <f>+'A) Base RI'!AG135</f>
        <v>0</v>
      </c>
      <c r="AN135" s="10">
        <f>+'A) Base RI'!AH135</f>
        <v>0</v>
      </c>
      <c r="AO135" s="10">
        <f>+'A) Base RI'!AI135</f>
        <v>0</v>
      </c>
      <c r="AP135" s="10">
        <f>+'A) Base RI'!AJ135</f>
        <v>0</v>
      </c>
      <c r="AQ135" s="10">
        <f>+'A) Base RI'!AK135</f>
        <v>0</v>
      </c>
      <c r="AR135" s="10">
        <f>'A) Base RI'!AN135</f>
        <v>650</v>
      </c>
    </row>
    <row r="136" spans="1:44" x14ac:dyDescent="0.25">
      <c r="A136" s="8">
        <f>'A) Base RI'!A136</f>
        <v>5624</v>
      </c>
      <c r="B136" s="33" t="str">
        <f>'A) Base RI'!B136</f>
        <v>Bussigny</v>
      </c>
      <c r="C136" s="10">
        <f>'A) Base RI'!C136+'A) Base RI'!D136</f>
        <v>14440096.25</v>
      </c>
      <c r="D136" s="10">
        <f>'A) Base RI'!AO136</f>
        <v>-321660.27</v>
      </c>
      <c r="E136" s="32">
        <f>'A) Base RI'!AP136</f>
        <v>0</v>
      </c>
      <c r="F136" s="32">
        <f>'A) Base RI'!AQ136</f>
        <v>0</v>
      </c>
      <c r="G136" s="2">
        <f t="shared" ref="G136:G199" si="12">SUM(C136:F136)</f>
        <v>14118435.98</v>
      </c>
      <c r="H136" s="10">
        <f>+'A) Base RI'!E136</f>
        <v>0</v>
      </c>
      <c r="I136" s="10">
        <f>+'A) Base RI'!F136</f>
        <v>0</v>
      </c>
      <c r="J136" s="10">
        <f>+'A) Base RI'!G136+'A) Base RI'!H136</f>
        <v>6939647.1299999999</v>
      </c>
      <c r="K136" s="10">
        <f>+'A) Base RI'!I136</f>
        <v>0</v>
      </c>
      <c r="L136" s="10">
        <f>+'A) Base RI'!J136</f>
        <v>746259.86</v>
      </c>
      <c r="M136" s="10">
        <f>+'A) Base RI'!K136</f>
        <v>440469.85</v>
      </c>
      <c r="N136" s="10">
        <f>+'A) Base RI'!Q136</f>
        <v>55808.66</v>
      </c>
      <c r="O136" s="10">
        <f t="shared" ref="O136:O199" si="13">(P136/Q136)*1</f>
        <v>1877785.08</v>
      </c>
      <c r="P136" s="10">
        <f>+'A) Base RI'!L136</f>
        <v>2347231.35</v>
      </c>
      <c r="Q136" s="35">
        <f>'A) Base RI'!AR136</f>
        <v>1.25</v>
      </c>
      <c r="R136" s="2">
        <f t="shared" ref="R136:R199" si="14">SUM(G136:O136)</f>
        <v>24178406.560000002</v>
      </c>
      <c r="S136" s="34">
        <f>+'A) Base RI'!AM136</f>
        <v>63</v>
      </c>
      <c r="T136" s="2">
        <f t="shared" ref="T136:T199" si="15">(G136+H136+J136+K136+L136+N136)</f>
        <v>21860151.629999999</v>
      </c>
      <c r="U136" s="2">
        <f t="shared" ref="U136:U199" si="16">R136/S136</f>
        <v>383784.23111111118</v>
      </c>
      <c r="V136" s="10">
        <f>+'A) Base RI'!O136</f>
        <v>150118.70000000001</v>
      </c>
      <c r="W136" s="10">
        <f>+'A) Base RI'!P136</f>
        <v>1221353.6000000001</v>
      </c>
      <c r="X136" s="10">
        <f>+'A) Base RI'!R136</f>
        <v>1041326.9</v>
      </c>
      <c r="Y136" s="2">
        <f t="shared" ref="Y136:Y199" si="17">SUM(V136:X136)</f>
        <v>2412799.2000000002</v>
      </c>
      <c r="Z136" s="10">
        <f>+'A) Base RI'!N136</f>
        <v>1436741.85</v>
      </c>
      <c r="AA136" s="10">
        <f>+'A) Base RI'!S136+'A) Base RI'!T136</f>
        <v>28069.5</v>
      </c>
      <c r="AB136" s="10">
        <f>+'A) Base RI'!U136</f>
        <v>31680</v>
      </c>
      <c r="AC136" s="10">
        <f>+'A) Base RI'!V136</f>
        <v>0</v>
      </c>
      <c r="AD136" s="10">
        <f>+'A) Base RI'!W136</f>
        <v>0</v>
      </c>
      <c r="AE136" s="10">
        <f>+'A) Base RI'!Y136</f>
        <v>2194076</v>
      </c>
      <c r="AF136" s="10">
        <f>+'A) Base RI'!Z136</f>
        <v>0</v>
      </c>
      <c r="AG136" s="10">
        <f>+'A) Base RI'!AA136</f>
        <v>1715921.71</v>
      </c>
      <c r="AH136" s="10">
        <f>+'A) Base RI'!AB136</f>
        <v>0</v>
      </c>
      <c r="AI136" s="10">
        <f>+'A) Base RI'!AC136</f>
        <v>996152.18</v>
      </c>
      <c r="AJ136" s="10">
        <f>+'A) Base RI'!AD136</f>
        <v>1355987.8</v>
      </c>
      <c r="AK136" s="10">
        <f>+'A) Base RI'!AE136</f>
        <v>0</v>
      </c>
      <c r="AL136" s="10">
        <f>+'A) Base RI'!AF136</f>
        <v>0</v>
      </c>
      <c r="AM136" s="10">
        <f>+'A) Base RI'!AG136</f>
        <v>319049</v>
      </c>
      <c r="AN136" s="10">
        <f>+'A) Base RI'!AH136</f>
        <v>491094.47</v>
      </c>
      <c r="AO136" s="10">
        <f>+'A) Base RI'!AI136</f>
        <v>0</v>
      </c>
      <c r="AP136" s="10">
        <f>+'A) Base RI'!AJ136</f>
        <v>0</v>
      </c>
      <c r="AQ136" s="10">
        <f>+'A) Base RI'!AK136</f>
        <v>491083.26</v>
      </c>
      <c r="AR136" s="10">
        <f>'A) Base RI'!AN136</f>
        <v>8759</v>
      </c>
    </row>
    <row r="137" spans="1:44" x14ac:dyDescent="0.25">
      <c r="A137" s="8">
        <f>'A) Base RI'!A137</f>
        <v>5625</v>
      </c>
      <c r="B137" s="33" t="str">
        <f>'A) Base RI'!B137</f>
        <v>Bussy-Chardonney</v>
      </c>
      <c r="C137" s="10">
        <f>'A) Base RI'!C137+'A) Base RI'!D137</f>
        <v>907965.64</v>
      </c>
      <c r="D137" s="10">
        <f>'A) Base RI'!AO137</f>
        <v>-8556.2900000000009</v>
      </c>
      <c r="E137" s="32">
        <f>'A) Base RI'!AP137</f>
        <v>0</v>
      </c>
      <c r="F137" s="32">
        <f>'A) Base RI'!AQ137</f>
        <v>0</v>
      </c>
      <c r="G137" s="2">
        <f t="shared" si="12"/>
        <v>899409.35</v>
      </c>
      <c r="H137" s="10">
        <f>+'A) Base RI'!E137</f>
        <v>0</v>
      </c>
      <c r="I137" s="10">
        <f>+'A) Base RI'!F137</f>
        <v>0</v>
      </c>
      <c r="J137" s="10">
        <f>+'A) Base RI'!G137+'A) Base RI'!H137</f>
        <v>24969.3</v>
      </c>
      <c r="K137" s="10">
        <f>+'A) Base RI'!I137</f>
        <v>49537.55</v>
      </c>
      <c r="L137" s="10">
        <f>+'A) Base RI'!J137</f>
        <v>-19036.05</v>
      </c>
      <c r="M137" s="10">
        <f>+'A) Base RI'!K137</f>
        <v>7737</v>
      </c>
      <c r="N137" s="10">
        <f>+'A) Base RI'!Q137</f>
        <v>0</v>
      </c>
      <c r="O137" s="10">
        <f t="shared" si="13"/>
        <v>91658.208333333343</v>
      </c>
      <c r="P137" s="10">
        <f>+'A) Base RI'!L137</f>
        <v>109989.85</v>
      </c>
      <c r="Q137" s="35">
        <f>'A) Base RI'!AR137</f>
        <v>1.2</v>
      </c>
      <c r="R137" s="2">
        <f t="shared" si="14"/>
        <v>1054275.3583333334</v>
      </c>
      <c r="S137" s="34">
        <f>+'A) Base RI'!AM137</f>
        <v>78</v>
      </c>
      <c r="T137" s="2">
        <f t="shared" si="15"/>
        <v>954880.15</v>
      </c>
      <c r="U137" s="2">
        <f t="shared" si="16"/>
        <v>13516.350747863249</v>
      </c>
      <c r="V137" s="10">
        <f>+'A) Base RI'!O137</f>
        <v>0</v>
      </c>
      <c r="W137" s="10">
        <f>+'A) Base RI'!P137</f>
        <v>81248.3</v>
      </c>
      <c r="X137" s="10">
        <f>+'A) Base RI'!R137</f>
        <v>50382.55</v>
      </c>
      <c r="Y137" s="2">
        <f t="shared" si="17"/>
        <v>131630.85</v>
      </c>
      <c r="Z137" s="10">
        <f>+'A) Base RI'!N137</f>
        <v>0</v>
      </c>
      <c r="AA137" s="10">
        <f>+'A) Base RI'!S137+'A) Base RI'!T137</f>
        <v>6004.95</v>
      </c>
      <c r="AB137" s="10">
        <f>+'A) Base RI'!U137</f>
        <v>796.65</v>
      </c>
      <c r="AC137" s="10">
        <f>+'A) Base RI'!V137</f>
        <v>0</v>
      </c>
      <c r="AD137" s="10">
        <f>+'A) Base RI'!W137</f>
        <v>0</v>
      </c>
      <c r="AE137" s="10">
        <f>+'A) Base RI'!Y137</f>
        <v>0</v>
      </c>
      <c r="AF137" s="10">
        <f>+'A) Base RI'!Z137</f>
        <v>0</v>
      </c>
      <c r="AG137" s="10">
        <f>+'A) Base RI'!AA137</f>
        <v>91926.399999999994</v>
      </c>
      <c r="AH137" s="10">
        <f>+'A) Base RI'!AB137</f>
        <v>0</v>
      </c>
      <c r="AI137" s="10">
        <f>+'A) Base RI'!AC137</f>
        <v>35049.199999999997</v>
      </c>
      <c r="AJ137" s="10">
        <f>+'A) Base RI'!AD137</f>
        <v>0</v>
      </c>
      <c r="AK137" s="10">
        <f>+'A) Base RI'!AE137</f>
        <v>0</v>
      </c>
      <c r="AL137" s="10">
        <f>+'A) Base RI'!AF137</f>
        <v>0</v>
      </c>
      <c r="AM137" s="10">
        <f>+'A) Base RI'!AG137</f>
        <v>0</v>
      </c>
      <c r="AN137" s="10">
        <f>+'A) Base RI'!AH137</f>
        <v>0</v>
      </c>
      <c r="AO137" s="10">
        <f>+'A) Base RI'!AI137</f>
        <v>0</v>
      </c>
      <c r="AP137" s="10">
        <f>+'A) Base RI'!AJ137</f>
        <v>0</v>
      </c>
      <c r="AQ137" s="10">
        <f>+'A) Base RI'!AK137</f>
        <v>0</v>
      </c>
      <c r="AR137" s="10">
        <f>'A) Base RI'!AN137</f>
        <v>376</v>
      </c>
    </row>
    <row r="138" spans="1:44" x14ac:dyDescent="0.25">
      <c r="A138" s="8">
        <f>'A) Base RI'!A138</f>
        <v>5627</v>
      </c>
      <c r="B138" s="33" t="str">
        <f>'A) Base RI'!B138</f>
        <v>Chavannes-près-Renens</v>
      </c>
      <c r="C138" s="10">
        <f>'A) Base RI'!C138+'A) Base RI'!D138</f>
        <v>10454827.49</v>
      </c>
      <c r="D138" s="10">
        <f>'A) Base RI'!AO138</f>
        <v>-393848.73</v>
      </c>
      <c r="E138" s="32">
        <f>'A) Base RI'!AP138</f>
        <v>0</v>
      </c>
      <c r="F138" s="32">
        <f>'A) Base RI'!AQ138</f>
        <v>-144.16</v>
      </c>
      <c r="G138" s="2">
        <f t="shared" si="12"/>
        <v>10060834.6</v>
      </c>
      <c r="H138" s="10">
        <f>+'A) Base RI'!E138</f>
        <v>0</v>
      </c>
      <c r="I138" s="10">
        <f>+'A) Base RI'!F138</f>
        <v>0</v>
      </c>
      <c r="J138" s="10">
        <f>+'A) Base RI'!G138+'A) Base RI'!H138</f>
        <v>2178977.35</v>
      </c>
      <c r="K138" s="10">
        <f>+'A) Base RI'!I138</f>
        <v>0</v>
      </c>
      <c r="L138" s="10">
        <f>+'A) Base RI'!J138</f>
        <v>721488.67</v>
      </c>
      <c r="M138" s="10">
        <f>+'A) Base RI'!K138</f>
        <v>330766.25</v>
      </c>
      <c r="N138" s="10">
        <f>+'A) Base RI'!Q138</f>
        <v>116989.72</v>
      </c>
      <c r="O138" s="10">
        <f t="shared" si="13"/>
        <v>981302.1333333333</v>
      </c>
      <c r="P138" s="10">
        <f>+'A) Base RI'!L138</f>
        <v>1471953.2</v>
      </c>
      <c r="Q138" s="35">
        <f>'A) Base RI'!AR138</f>
        <v>1.5</v>
      </c>
      <c r="R138" s="2">
        <f t="shared" si="14"/>
        <v>14390358.723333333</v>
      </c>
      <c r="S138" s="34">
        <f>+'A) Base RI'!AM138</f>
        <v>79</v>
      </c>
      <c r="T138" s="2">
        <f t="shared" si="15"/>
        <v>13078290.34</v>
      </c>
      <c r="U138" s="2">
        <f t="shared" si="16"/>
        <v>182156.43953586498</v>
      </c>
      <c r="V138" s="10">
        <f>+'A) Base RI'!O138</f>
        <v>10168.799999999999</v>
      </c>
      <c r="W138" s="10">
        <f>+'A) Base RI'!P138</f>
        <v>948362.35</v>
      </c>
      <c r="X138" s="10">
        <f>+'A) Base RI'!R138</f>
        <v>88797.2</v>
      </c>
      <c r="Y138" s="2">
        <f t="shared" si="17"/>
        <v>1047328.35</v>
      </c>
      <c r="Z138" s="10">
        <f>+'A) Base RI'!N138</f>
        <v>405212</v>
      </c>
      <c r="AA138" s="10">
        <f>+'A) Base RI'!S138+'A) Base RI'!T138</f>
        <v>61290.5</v>
      </c>
      <c r="AB138" s="10">
        <f>+'A) Base RI'!U138</f>
        <v>31500</v>
      </c>
      <c r="AC138" s="10">
        <f>+'A) Base RI'!V138</f>
        <v>0</v>
      </c>
      <c r="AD138" s="10">
        <f>+'A) Base RI'!W138</f>
        <v>891.8</v>
      </c>
      <c r="AE138" s="10">
        <f>+'A) Base RI'!Y138</f>
        <v>269802.95</v>
      </c>
      <c r="AF138" s="10">
        <f>+'A) Base RI'!Z138</f>
        <v>0</v>
      </c>
      <c r="AG138" s="10">
        <f>+'A) Base RI'!AA138</f>
        <v>586965.80000000005</v>
      </c>
      <c r="AH138" s="10">
        <f>+'A) Base RI'!AB138</f>
        <v>0</v>
      </c>
      <c r="AI138" s="10">
        <f>+'A) Base RI'!AC138</f>
        <v>358435.7</v>
      </c>
      <c r="AJ138" s="10">
        <f>+'A) Base RI'!AD138</f>
        <v>0</v>
      </c>
      <c r="AK138" s="10">
        <f>+'A) Base RI'!AE138</f>
        <v>0</v>
      </c>
      <c r="AL138" s="10">
        <f>+'A) Base RI'!AF138</f>
        <v>0</v>
      </c>
      <c r="AM138" s="10">
        <f>+'A) Base RI'!AG138</f>
        <v>29343.97</v>
      </c>
      <c r="AN138" s="10">
        <f>+'A) Base RI'!AH138</f>
        <v>0</v>
      </c>
      <c r="AO138" s="10">
        <f>+'A) Base RI'!AI138</f>
        <v>0</v>
      </c>
      <c r="AP138" s="10">
        <f>+'A) Base RI'!AJ138</f>
        <v>0</v>
      </c>
      <c r="AQ138" s="10">
        <f>+'A) Base RI'!AK138</f>
        <v>0</v>
      </c>
      <c r="AR138" s="10">
        <f>'A) Base RI'!AN138</f>
        <v>7741</v>
      </c>
    </row>
    <row r="139" spans="1:44" x14ac:dyDescent="0.25">
      <c r="A139" s="8">
        <f>'A) Base RI'!A139</f>
        <v>5628</v>
      </c>
      <c r="B139" s="33" t="str">
        <f>'A) Base RI'!B139</f>
        <v>Chigny</v>
      </c>
      <c r="C139" s="10">
        <f>'A) Base RI'!C139+'A) Base RI'!D139</f>
        <v>1524487.22</v>
      </c>
      <c r="D139" s="10">
        <f>'A) Base RI'!AO139</f>
        <v>-7210.51</v>
      </c>
      <c r="E139" s="32">
        <f>'A) Base RI'!AP139</f>
        <v>0</v>
      </c>
      <c r="F139" s="32">
        <f>'A) Base RI'!AQ139</f>
        <v>0</v>
      </c>
      <c r="G139" s="2">
        <f t="shared" si="12"/>
        <v>1517276.71</v>
      </c>
      <c r="H139" s="10">
        <f>+'A) Base RI'!E139</f>
        <v>0</v>
      </c>
      <c r="I139" s="10">
        <f>+'A) Base RI'!F139</f>
        <v>0</v>
      </c>
      <c r="J139" s="10">
        <f>+'A) Base RI'!G139+'A) Base RI'!H139</f>
        <v>2755.25</v>
      </c>
      <c r="K139" s="10">
        <f>+'A) Base RI'!I139</f>
        <v>0</v>
      </c>
      <c r="L139" s="10">
        <f>+'A) Base RI'!J139</f>
        <v>74034.39</v>
      </c>
      <c r="M139" s="10">
        <f>+'A) Base RI'!K139</f>
        <v>859.5</v>
      </c>
      <c r="N139" s="10">
        <f>+'A) Base RI'!Q139</f>
        <v>0</v>
      </c>
      <c r="O139" s="10">
        <f t="shared" si="13"/>
        <v>87712.7</v>
      </c>
      <c r="P139" s="10">
        <f>+'A) Base RI'!L139</f>
        <v>87712.7</v>
      </c>
      <c r="Q139" s="35">
        <f>'A) Base RI'!AR139</f>
        <v>1</v>
      </c>
      <c r="R139" s="2">
        <f t="shared" si="14"/>
        <v>1682638.5499999998</v>
      </c>
      <c r="S139" s="34">
        <f>+'A) Base RI'!AM139</f>
        <v>62</v>
      </c>
      <c r="T139" s="2">
        <f t="shared" si="15"/>
        <v>1594066.3499999999</v>
      </c>
      <c r="U139" s="2">
        <f t="shared" si="16"/>
        <v>27139.331451612899</v>
      </c>
      <c r="V139" s="10">
        <f>+'A) Base RI'!O139</f>
        <v>0</v>
      </c>
      <c r="W139" s="10">
        <f>+'A) Base RI'!P139</f>
        <v>41155.550000000003</v>
      </c>
      <c r="X139" s="10">
        <f>+'A) Base RI'!R139</f>
        <v>109828.3</v>
      </c>
      <c r="Y139" s="2">
        <f t="shared" si="17"/>
        <v>150983.85</v>
      </c>
      <c r="Z139" s="10">
        <f>+'A) Base RI'!N139</f>
        <v>26499.05</v>
      </c>
      <c r="AA139" s="10">
        <f>+'A) Base RI'!S139+'A) Base RI'!T139</f>
        <v>0</v>
      </c>
      <c r="AB139" s="10">
        <f>+'A) Base RI'!U139</f>
        <v>0</v>
      </c>
      <c r="AC139" s="10">
        <f>+'A) Base RI'!V139</f>
        <v>0</v>
      </c>
      <c r="AD139" s="10">
        <f>+'A) Base RI'!W139</f>
        <v>0</v>
      </c>
      <c r="AE139" s="10">
        <f>+'A) Base RI'!Y139</f>
        <v>118500</v>
      </c>
      <c r="AF139" s="10">
        <f>+'A) Base RI'!Z139</f>
        <v>0</v>
      </c>
      <c r="AG139" s="10">
        <f>+'A) Base RI'!AA139</f>
        <v>70998.149999999994</v>
      </c>
      <c r="AH139" s="10">
        <f>+'A) Base RI'!AB139</f>
        <v>0</v>
      </c>
      <c r="AI139" s="10">
        <f>+'A) Base RI'!AC139</f>
        <v>25825.15</v>
      </c>
      <c r="AJ139" s="10">
        <f>+'A) Base RI'!AD139</f>
        <v>0</v>
      </c>
      <c r="AK139" s="10">
        <f>+'A) Base RI'!AE139</f>
        <v>0</v>
      </c>
      <c r="AL139" s="10">
        <f>+'A) Base RI'!AF139</f>
        <v>0</v>
      </c>
      <c r="AM139" s="10">
        <f>+'A) Base RI'!AG139</f>
        <v>0</v>
      </c>
      <c r="AN139" s="10">
        <f>+'A) Base RI'!AH139</f>
        <v>9004.6</v>
      </c>
      <c r="AO139" s="10">
        <f>+'A) Base RI'!AI139</f>
        <v>0</v>
      </c>
      <c r="AP139" s="10">
        <f>+'A) Base RI'!AJ139</f>
        <v>0</v>
      </c>
      <c r="AQ139" s="10">
        <f>+'A) Base RI'!AK139</f>
        <v>0</v>
      </c>
      <c r="AR139" s="10">
        <f>'A) Base RI'!AN139</f>
        <v>358</v>
      </c>
    </row>
    <row r="140" spans="1:44" x14ac:dyDescent="0.25">
      <c r="A140" s="8">
        <f>'A) Base RI'!A140</f>
        <v>5629</v>
      </c>
      <c r="B140" s="33" t="str">
        <f>'A) Base RI'!B140</f>
        <v>Clarmont</v>
      </c>
      <c r="C140" s="10">
        <f>'A) Base RI'!C140+'A) Base RI'!D140</f>
        <v>470925.8</v>
      </c>
      <c r="D140" s="10">
        <f>'A) Base RI'!AO140</f>
        <v>-775.78</v>
      </c>
      <c r="E140" s="32">
        <f>'A) Base RI'!AP140</f>
        <v>0</v>
      </c>
      <c r="F140" s="32">
        <f>'A) Base RI'!AQ140</f>
        <v>0</v>
      </c>
      <c r="G140" s="2">
        <f t="shared" si="12"/>
        <v>470150.01999999996</v>
      </c>
      <c r="H140" s="10">
        <f>+'A) Base RI'!E140</f>
        <v>0</v>
      </c>
      <c r="I140" s="10">
        <f>+'A) Base RI'!F140</f>
        <v>0</v>
      </c>
      <c r="J140" s="10">
        <f>+'A) Base RI'!G140+'A) Base RI'!H140</f>
        <v>8355.5</v>
      </c>
      <c r="K140" s="10">
        <f>+'A) Base RI'!I140</f>
        <v>0</v>
      </c>
      <c r="L140" s="10">
        <f>+'A) Base RI'!J140</f>
        <v>12063.23</v>
      </c>
      <c r="M140" s="10">
        <f>+'A) Base RI'!K140</f>
        <v>-3366.95</v>
      </c>
      <c r="N140" s="10">
        <f>+'A) Base RI'!Q140</f>
        <v>0</v>
      </c>
      <c r="O140" s="10">
        <f t="shared" si="13"/>
        <v>34805.1</v>
      </c>
      <c r="P140" s="10">
        <f>+'A) Base RI'!L140</f>
        <v>34805.1</v>
      </c>
      <c r="Q140" s="35">
        <f>'A) Base RI'!AR140</f>
        <v>1</v>
      </c>
      <c r="R140" s="2">
        <f t="shared" si="14"/>
        <v>522006.89999999991</v>
      </c>
      <c r="S140" s="34">
        <f>+'A) Base RI'!AM140</f>
        <v>75</v>
      </c>
      <c r="T140" s="2">
        <f t="shared" si="15"/>
        <v>490568.74999999994</v>
      </c>
      <c r="U140" s="2">
        <f t="shared" si="16"/>
        <v>6960.0919999999987</v>
      </c>
      <c r="V140" s="10">
        <f>+'A) Base RI'!O140</f>
        <v>0</v>
      </c>
      <c r="W140" s="10">
        <f>+'A) Base RI'!P140</f>
        <v>48317.5</v>
      </c>
      <c r="X140" s="10">
        <f>+'A) Base RI'!R140</f>
        <v>11646.4</v>
      </c>
      <c r="Y140" s="2">
        <f t="shared" si="17"/>
        <v>59963.9</v>
      </c>
      <c r="Z140" s="10">
        <f>+'A) Base RI'!N140</f>
        <v>0</v>
      </c>
      <c r="AA140" s="10">
        <f>+'A) Base RI'!S140+'A) Base RI'!T140</f>
        <v>0</v>
      </c>
      <c r="AB140" s="10">
        <f>+'A) Base RI'!U140</f>
        <v>775</v>
      </c>
      <c r="AC140" s="10">
        <f>+'A) Base RI'!V140</f>
        <v>0</v>
      </c>
      <c r="AD140" s="10">
        <f>+'A) Base RI'!W140</f>
        <v>0</v>
      </c>
      <c r="AE140" s="10">
        <f>+'A) Base RI'!Y140</f>
        <v>51560</v>
      </c>
      <c r="AF140" s="10">
        <f>+'A) Base RI'!Z140</f>
        <v>0</v>
      </c>
      <c r="AG140" s="10">
        <f>+'A) Base RI'!AA140</f>
        <v>40275.800000000003</v>
      </c>
      <c r="AH140" s="10">
        <f>+'A) Base RI'!AB140</f>
        <v>0</v>
      </c>
      <c r="AI140" s="10">
        <f>+'A) Base RI'!AC140</f>
        <v>15597.1</v>
      </c>
      <c r="AJ140" s="10">
        <f>+'A) Base RI'!AD140</f>
        <v>49065</v>
      </c>
      <c r="AK140" s="10">
        <f>+'A) Base RI'!AE140</f>
        <v>0</v>
      </c>
      <c r="AL140" s="10">
        <f>+'A) Base RI'!AF140</f>
        <v>0</v>
      </c>
      <c r="AM140" s="10">
        <f>+'A) Base RI'!AG140</f>
        <v>0</v>
      </c>
      <c r="AN140" s="10">
        <f>+'A) Base RI'!AH140</f>
        <v>0</v>
      </c>
      <c r="AO140" s="10">
        <f>+'A) Base RI'!AI140</f>
        <v>0</v>
      </c>
      <c r="AP140" s="10">
        <f>+'A) Base RI'!AJ140</f>
        <v>0</v>
      </c>
      <c r="AQ140" s="10">
        <f>+'A) Base RI'!AK140</f>
        <v>0</v>
      </c>
      <c r="AR140" s="10">
        <f>'A) Base RI'!AN140</f>
        <v>190</v>
      </c>
    </row>
    <row r="141" spans="1:44" x14ac:dyDescent="0.25">
      <c r="A141" s="8">
        <f>'A) Base RI'!A141</f>
        <v>5631</v>
      </c>
      <c r="B141" s="33" t="str">
        <f>'A) Base RI'!B141</f>
        <v>Denens</v>
      </c>
      <c r="C141" s="10">
        <f>'A) Base RI'!C141+'A) Base RI'!D141</f>
        <v>2775003.93</v>
      </c>
      <c r="D141" s="10">
        <f>'A) Base RI'!AO141</f>
        <v>-22390.71</v>
      </c>
      <c r="E141" s="32">
        <f>'A) Base RI'!AP141</f>
        <v>0</v>
      </c>
      <c r="F141" s="32">
        <f>'A) Base RI'!AQ141</f>
        <v>-6769.18</v>
      </c>
      <c r="G141" s="2">
        <f t="shared" si="12"/>
        <v>2745844.04</v>
      </c>
      <c r="H141" s="10">
        <f>+'A) Base RI'!E141</f>
        <v>0</v>
      </c>
      <c r="I141" s="10">
        <f>+'A) Base RI'!F141</f>
        <v>0</v>
      </c>
      <c r="J141" s="10">
        <f>+'A) Base RI'!G141+'A) Base RI'!H141</f>
        <v>15123.25</v>
      </c>
      <c r="K141" s="10">
        <f>+'A) Base RI'!I141</f>
        <v>72375.5</v>
      </c>
      <c r="L141" s="10">
        <f>+'A) Base RI'!J141</f>
        <v>33866.53</v>
      </c>
      <c r="M141" s="10">
        <f>+'A) Base RI'!K141</f>
        <v>3627.4</v>
      </c>
      <c r="N141" s="10">
        <f>+'A) Base RI'!Q141</f>
        <v>3058.48</v>
      </c>
      <c r="O141" s="10">
        <f t="shared" si="13"/>
        <v>199730.45</v>
      </c>
      <c r="P141" s="10">
        <f>+'A) Base RI'!L141</f>
        <v>199730.45</v>
      </c>
      <c r="Q141" s="35">
        <f>'A) Base RI'!AR141</f>
        <v>1</v>
      </c>
      <c r="R141" s="2">
        <f t="shared" si="14"/>
        <v>3073625.65</v>
      </c>
      <c r="S141" s="34">
        <f>+'A) Base RI'!AM141</f>
        <v>70</v>
      </c>
      <c r="T141" s="2">
        <f t="shared" si="15"/>
        <v>2870267.8</v>
      </c>
      <c r="U141" s="2">
        <f t="shared" si="16"/>
        <v>43908.937857142853</v>
      </c>
      <c r="V141" s="10">
        <f>+'A) Base RI'!O141</f>
        <v>109428.9</v>
      </c>
      <c r="W141" s="10">
        <f>+'A) Base RI'!P141</f>
        <v>110929.5</v>
      </c>
      <c r="X141" s="10">
        <f>+'A) Base RI'!R141</f>
        <v>0</v>
      </c>
      <c r="Y141" s="2">
        <f t="shared" si="17"/>
        <v>220358.39999999999</v>
      </c>
      <c r="Z141" s="10">
        <f>+'A) Base RI'!N141</f>
        <v>0</v>
      </c>
      <c r="AA141" s="10">
        <f>+'A) Base RI'!S141+'A) Base RI'!T141</f>
        <v>0</v>
      </c>
      <c r="AB141" s="10">
        <f>+'A) Base RI'!U141</f>
        <v>1737.5</v>
      </c>
      <c r="AC141" s="10">
        <f>+'A) Base RI'!V141</f>
        <v>0</v>
      </c>
      <c r="AD141" s="10">
        <f>+'A) Base RI'!W141</f>
        <v>0</v>
      </c>
      <c r="AE141" s="10">
        <f>+'A) Base RI'!Y141</f>
        <v>1390.7</v>
      </c>
      <c r="AF141" s="10">
        <f>+'A) Base RI'!Z141</f>
        <v>0</v>
      </c>
      <c r="AG141" s="10">
        <f>+'A) Base RI'!AA141</f>
        <v>132684.20000000001</v>
      </c>
      <c r="AH141" s="10">
        <f>+'A) Base RI'!AB141</f>
        <v>0</v>
      </c>
      <c r="AI141" s="10">
        <f>+'A) Base RI'!AC141</f>
        <v>48756.25</v>
      </c>
      <c r="AJ141" s="10">
        <f>+'A) Base RI'!AD141</f>
        <v>0</v>
      </c>
      <c r="AK141" s="10">
        <f>+'A) Base RI'!AE141</f>
        <v>0</v>
      </c>
      <c r="AL141" s="10">
        <f>+'A) Base RI'!AF141</f>
        <v>0</v>
      </c>
      <c r="AM141" s="10">
        <f>+'A) Base RI'!AG141</f>
        <v>0</v>
      </c>
      <c r="AN141" s="10">
        <f>+'A) Base RI'!AH141</f>
        <v>0</v>
      </c>
      <c r="AO141" s="10">
        <f>+'A) Base RI'!AI141</f>
        <v>0</v>
      </c>
      <c r="AP141" s="10">
        <f>+'A) Base RI'!AJ141</f>
        <v>0</v>
      </c>
      <c r="AQ141" s="10">
        <f>+'A) Base RI'!AK141</f>
        <v>0</v>
      </c>
      <c r="AR141" s="10">
        <f>'A) Base RI'!AN141</f>
        <v>747</v>
      </c>
    </row>
    <row r="142" spans="1:44" x14ac:dyDescent="0.25">
      <c r="A142" s="8">
        <f>'A) Base RI'!A142</f>
        <v>5632</v>
      </c>
      <c r="B142" s="33" t="str">
        <f>'A) Base RI'!B142</f>
        <v>Denges</v>
      </c>
      <c r="C142" s="10">
        <f>'A) Base RI'!C142+'A) Base RI'!D142</f>
        <v>3619717.42</v>
      </c>
      <c r="D142" s="10">
        <f>'A) Base RI'!AO142</f>
        <v>-43827.67</v>
      </c>
      <c r="E142" s="32">
        <f>'A) Base RI'!AP142</f>
        <v>0</v>
      </c>
      <c r="F142" s="32">
        <f>'A) Base RI'!AQ142</f>
        <v>-326.20999999999998</v>
      </c>
      <c r="G142" s="2">
        <f t="shared" si="12"/>
        <v>3575563.54</v>
      </c>
      <c r="H142" s="10">
        <f>+'A) Base RI'!E142</f>
        <v>0</v>
      </c>
      <c r="I142" s="10">
        <f>+'A) Base RI'!F142</f>
        <v>0</v>
      </c>
      <c r="J142" s="10">
        <f>+'A) Base RI'!G142+'A) Base RI'!H142</f>
        <v>208335.5</v>
      </c>
      <c r="K142" s="10">
        <f>+'A) Base RI'!I142</f>
        <v>0</v>
      </c>
      <c r="L142" s="10">
        <f>+'A) Base RI'!J142</f>
        <v>215618.73</v>
      </c>
      <c r="M142" s="10">
        <f>+'A) Base RI'!K142</f>
        <v>-74047.149999999994</v>
      </c>
      <c r="N142" s="10">
        <f>+'A) Base RI'!Q142</f>
        <v>16539.38</v>
      </c>
      <c r="O142" s="10">
        <f t="shared" si="13"/>
        <v>336622.1</v>
      </c>
      <c r="P142" s="10">
        <f>+'A) Base RI'!L142</f>
        <v>336622.1</v>
      </c>
      <c r="Q142" s="35">
        <f>'A) Base RI'!AR142</f>
        <v>1</v>
      </c>
      <c r="R142" s="2">
        <f t="shared" si="14"/>
        <v>4278632.0999999996</v>
      </c>
      <c r="S142" s="34">
        <f>+'A) Base RI'!AM142</f>
        <v>62</v>
      </c>
      <c r="T142" s="2">
        <f t="shared" si="15"/>
        <v>4016057.15</v>
      </c>
      <c r="U142" s="2">
        <f t="shared" si="16"/>
        <v>69010.195161290321</v>
      </c>
      <c r="V142" s="10">
        <f>+'A) Base RI'!O142</f>
        <v>-961</v>
      </c>
      <c r="W142" s="10">
        <f>+'A) Base RI'!P142</f>
        <v>406553.45</v>
      </c>
      <c r="X142" s="10">
        <f>+'A) Base RI'!R142</f>
        <v>63205.3</v>
      </c>
      <c r="Y142" s="2">
        <f t="shared" si="17"/>
        <v>468797.75</v>
      </c>
      <c r="Z142" s="10">
        <f>+'A) Base RI'!N142</f>
        <v>73867.05</v>
      </c>
      <c r="AA142" s="10">
        <f>+'A) Base RI'!S142+'A) Base RI'!T142</f>
        <v>550</v>
      </c>
      <c r="AB142" s="10">
        <f>+'A) Base RI'!U142</f>
        <v>4425</v>
      </c>
      <c r="AC142" s="10">
        <f>+'A) Base RI'!V142</f>
        <v>0</v>
      </c>
      <c r="AD142" s="10">
        <f>+'A) Base RI'!W142</f>
        <v>0</v>
      </c>
      <c r="AE142" s="10">
        <f>+'A) Base RI'!Y142</f>
        <v>15281.7</v>
      </c>
      <c r="AF142" s="10">
        <f>+'A) Base RI'!Z142</f>
        <v>0</v>
      </c>
      <c r="AG142" s="10">
        <f>+'A) Base RI'!AA142</f>
        <v>225471.55</v>
      </c>
      <c r="AH142" s="10">
        <f>+'A) Base RI'!AB142</f>
        <v>68211.75</v>
      </c>
      <c r="AI142" s="10">
        <f>+'A) Base RI'!AC142</f>
        <v>110925</v>
      </c>
      <c r="AJ142" s="10">
        <f>+'A) Base RI'!AD142</f>
        <v>0</v>
      </c>
      <c r="AK142" s="10">
        <f>+'A) Base RI'!AE142</f>
        <v>0</v>
      </c>
      <c r="AL142" s="10">
        <f>+'A) Base RI'!AF142</f>
        <v>0</v>
      </c>
      <c r="AM142" s="10">
        <f>+'A) Base RI'!AG142</f>
        <v>0</v>
      </c>
      <c r="AN142" s="10">
        <f>+'A) Base RI'!AH142</f>
        <v>52544.3</v>
      </c>
      <c r="AO142" s="10">
        <f>+'A) Base RI'!AI142</f>
        <v>0</v>
      </c>
      <c r="AP142" s="10">
        <f>+'A) Base RI'!AJ142</f>
        <v>0</v>
      </c>
      <c r="AQ142" s="10">
        <f>+'A) Base RI'!AK142</f>
        <v>0</v>
      </c>
      <c r="AR142" s="10">
        <f>'A) Base RI'!AN142</f>
        <v>1610</v>
      </c>
    </row>
    <row r="143" spans="1:44" x14ac:dyDescent="0.25">
      <c r="A143" s="8">
        <f>'A) Base RI'!A143</f>
        <v>5633</v>
      </c>
      <c r="B143" s="33" t="str">
        <f>'A) Base RI'!B143</f>
        <v>Echandens</v>
      </c>
      <c r="C143" s="10">
        <f>'A) Base RI'!C143+'A) Base RI'!D143</f>
        <v>7225182.8499999996</v>
      </c>
      <c r="D143" s="10">
        <f>'A) Base RI'!AO143</f>
        <v>-100590.22</v>
      </c>
      <c r="E143" s="32">
        <f>'A) Base RI'!AP143</f>
        <v>0</v>
      </c>
      <c r="F143" s="32">
        <f>'A) Base RI'!AQ143</f>
        <v>0</v>
      </c>
      <c r="G143" s="2">
        <f t="shared" si="12"/>
        <v>7124592.6299999999</v>
      </c>
      <c r="H143" s="10">
        <f>+'A) Base RI'!E143</f>
        <v>0</v>
      </c>
      <c r="I143" s="10">
        <f>+'A) Base RI'!F143</f>
        <v>0</v>
      </c>
      <c r="J143" s="10">
        <f>+'A) Base RI'!G143+'A) Base RI'!H143</f>
        <v>637385.26</v>
      </c>
      <c r="K143" s="10">
        <f>+'A) Base RI'!I143</f>
        <v>0</v>
      </c>
      <c r="L143" s="10">
        <f>+'A) Base RI'!J143</f>
        <v>217439.81</v>
      </c>
      <c r="M143" s="10">
        <f>+'A) Base RI'!K143</f>
        <v>23551.35</v>
      </c>
      <c r="N143" s="10">
        <f>+'A) Base RI'!Q143</f>
        <v>3139.94</v>
      </c>
      <c r="O143" s="10">
        <f t="shared" si="13"/>
        <v>610573.4</v>
      </c>
      <c r="P143" s="10">
        <f>+'A) Base RI'!L143</f>
        <v>610573.4</v>
      </c>
      <c r="Q143" s="35">
        <f>'A) Base RI'!AR143</f>
        <v>1</v>
      </c>
      <c r="R143" s="2">
        <f t="shared" si="14"/>
        <v>8616682.3899999987</v>
      </c>
      <c r="S143" s="34">
        <f>+'A) Base RI'!AM143</f>
        <v>62</v>
      </c>
      <c r="T143" s="2">
        <f t="shared" si="15"/>
        <v>7982557.6399999997</v>
      </c>
      <c r="U143" s="2">
        <f t="shared" si="16"/>
        <v>138978.74822580643</v>
      </c>
      <c r="V143" s="10">
        <f>+'A) Base RI'!O143</f>
        <v>13819.8</v>
      </c>
      <c r="W143" s="10">
        <f>+'A) Base RI'!P143</f>
        <v>201601.65</v>
      </c>
      <c r="X143" s="10">
        <f>+'A) Base RI'!R143</f>
        <v>50168.74</v>
      </c>
      <c r="Y143" s="2">
        <f t="shared" si="17"/>
        <v>265590.19</v>
      </c>
      <c r="Z143" s="10">
        <f>+'A) Base RI'!N143</f>
        <v>224978.2</v>
      </c>
      <c r="AA143" s="10">
        <f>+'A) Base RI'!S143+'A) Base RI'!T143</f>
        <v>9960</v>
      </c>
      <c r="AB143" s="10">
        <f>+'A) Base RI'!U143</f>
        <v>9447</v>
      </c>
      <c r="AC143" s="10">
        <f>+'A) Base RI'!V143</f>
        <v>0</v>
      </c>
      <c r="AD143" s="10">
        <f>+'A) Base RI'!W143</f>
        <v>0</v>
      </c>
      <c r="AE143" s="10">
        <f>+'A) Base RI'!Y143</f>
        <v>14182.48</v>
      </c>
      <c r="AF143" s="10">
        <f>+'A) Base RI'!Z143</f>
        <v>0</v>
      </c>
      <c r="AG143" s="10">
        <f>+'A) Base RI'!AA143</f>
        <v>472595.49</v>
      </c>
      <c r="AH143" s="10">
        <f>+'A) Base RI'!AB143</f>
        <v>0</v>
      </c>
      <c r="AI143" s="10">
        <f>+'A) Base RI'!AC143</f>
        <v>170093.84</v>
      </c>
      <c r="AJ143" s="10">
        <f>+'A) Base RI'!AD143</f>
        <v>0</v>
      </c>
      <c r="AK143" s="10">
        <f>+'A) Base RI'!AE143</f>
        <v>0</v>
      </c>
      <c r="AL143" s="10">
        <f>+'A) Base RI'!AF143</f>
        <v>0</v>
      </c>
      <c r="AM143" s="10">
        <f>+'A) Base RI'!AG143</f>
        <v>0</v>
      </c>
      <c r="AN143" s="10">
        <f>+'A) Base RI'!AH143</f>
        <v>0</v>
      </c>
      <c r="AO143" s="10">
        <f>+'A) Base RI'!AI143</f>
        <v>0</v>
      </c>
      <c r="AP143" s="10">
        <f>+'A) Base RI'!AJ143</f>
        <v>0</v>
      </c>
      <c r="AQ143" s="10">
        <f>+'A) Base RI'!AK143</f>
        <v>0</v>
      </c>
      <c r="AR143" s="10">
        <f>'A) Base RI'!AN143</f>
        <v>2789</v>
      </c>
    </row>
    <row r="144" spans="1:44" x14ac:dyDescent="0.25">
      <c r="A144" s="8">
        <f>'A) Base RI'!A144</f>
        <v>5634</v>
      </c>
      <c r="B144" s="33" t="str">
        <f>'A) Base RI'!B144</f>
        <v>Echichens</v>
      </c>
      <c r="C144" s="10">
        <f>'A) Base RI'!C144+'A) Base RI'!D144</f>
        <v>10846721.02</v>
      </c>
      <c r="D144" s="10">
        <f>'A) Base RI'!AO144</f>
        <v>-27148.32</v>
      </c>
      <c r="E144" s="32">
        <f>'A) Base RI'!AP144</f>
        <v>0</v>
      </c>
      <c r="F144" s="32">
        <f>'A) Base RI'!AQ144</f>
        <v>-1552.98</v>
      </c>
      <c r="G144" s="2">
        <f t="shared" si="12"/>
        <v>10818019.719999999</v>
      </c>
      <c r="H144" s="10">
        <f>+'A) Base RI'!E144</f>
        <v>0</v>
      </c>
      <c r="I144" s="10">
        <f>+'A) Base RI'!F144</f>
        <v>0</v>
      </c>
      <c r="J144" s="10">
        <f>+'A) Base RI'!G144+'A) Base RI'!H144</f>
        <v>115082.6</v>
      </c>
      <c r="K144" s="10">
        <f>+'A) Base RI'!I144</f>
        <v>91478.55</v>
      </c>
      <c r="L144" s="10">
        <f>+'A) Base RI'!J144</f>
        <v>138112.54999999999</v>
      </c>
      <c r="M144" s="10">
        <f>+'A) Base RI'!K144</f>
        <v>19369.55</v>
      </c>
      <c r="N144" s="10">
        <f>+'A) Base RI'!Q144</f>
        <v>7614.14</v>
      </c>
      <c r="O144" s="10">
        <f t="shared" si="13"/>
        <v>596610.80000000005</v>
      </c>
      <c r="P144" s="10">
        <f>+'A) Base RI'!L144</f>
        <v>596610.80000000005</v>
      </c>
      <c r="Q144" s="35">
        <f>'A) Base RI'!AR144</f>
        <v>1</v>
      </c>
      <c r="R144" s="2">
        <f t="shared" si="14"/>
        <v>11786287.910000002</v>
      </c>
      <c r="S144" s="34">
        <f>+'A) Base RI'!AM144</f>
        <v>68</v>
      </c>
      <c r="T144" s="2">
        <f t="shared" si="15"/>
        <v>11170307.560000001</v>
      </c>
      <c r="U144" s="2">
        <f t="shared" si="16"/>
        <v>173327.76338235298</v>
      </c>
      <c r="V144" s="10">
        <f>+'A) Base RI'!O144</f>
        <v>273399.90000000002</v>
      </c>
      <c r="W144" s="10">
        <f>+'A) Base RI'!P144</f>
        <v>421631.95</v>
      </c>
      <c r="X144" s="10">
        <f>+'A) Base RI'!R144</f>
        <v>283723.59999999998</v>
      </c>
      <c r="Y144" s="2">
        <f t="shared" si="17"/>
        <v>978755.45000000007</v>
      </c>
      <c r="Z144" s="10">
        <f>+'A) Base RI'!N144</f>
        <v>36676.85</v>
      </c>
      <c r="AA144" s="10">
        <f>+'A) Base RI'!S144+'A) Base RI'!T144</f>
        <v>1912.7</v>
      </c>
      <c r="AB144" s="10">
        <f>+'A) Base RI'!U144</f>
        <v>7375</v>
      </c>
      <c r="AC144" s="10">
        <f>+'A) Base RI'!V144</f>
        <v>0</v>
      </c>
      <c r="AD144" s="10">
        <f>+'A) Base RI'!W144</f>
        <v>0</v>
      </c>
      <c r="AE144" s="10">
        <f>+'A) Base RI'!Y144</f>
        <v>79430.5</v>
      </c>
      <c r="AF144" s="10">
        <f>+'A) Base RI'!Z144</f>
        <v>0</v>
      </c>
      <c r="AG144" s="10">
        <f>+'A) Base RI'!AA144</f>
        <v>583453.19999999995</v>
      </c>
      <c r="AH144" s="10">
        <f>+'A) Base RI'!AB144</f>
        <v>0</v>
      </c>
      <c r="AI144" s="10">
        <f>+'A) Base RI'!AC144</f>
        <v>193629.3</v>
      </c>
      <c r="AJ144" s="10">
        <f>+'A) Base RI'!AD144</f>
        <v>6345.05</v>
      </c>
      <c r="AK144" s="10">
        <f>+'A) Base RI'!AE144</f>
        <v>0</v>
      </c>
      <c r="AL144" s="10">
        <f>+'A) Base RI'!AF144</f>
        <v>0</v>
      </c>
      <c r="AM144" s="10">
        <f>+'A) Base RI'!AG144</f>
        <v>0</v>
      </c>
      <c r="AN144" s="10">
        <f>+'A) Base RI'!AH144</f>
        <v>0</v>
      </c>
      <c r="AO144" s="10">
        <f>+'A) Base RI'!AI144</f>
        <v>0</v>
      </c>
      <c r="AP144" s="10">
        <f>+'A) Base RI'!AJ144</f>
        <v>0</v>
      </c>
      <c r="AQ144" s="10">
        <f>+'A) Base RI'!AK144</f>
        <v>0</v>
      </c>
      <c r="AR144" s="10">
        <f>'A) Base RI'!AN144</f>
        <v>3050</v>
      </c>
    </row>
    <row r="145" spans="1:44" x14ac:dyDescent="0.25">
      <c r="A145" s="8">
        <f>'A) Base RI'!A145</f>
        <v>5635</v>
      </c>
      <c r="B145" s="33" t="str">
        <f>'A) Base RI'!B145</f>
        <v>Ecublens</v>
      </c>
      <c r="C145" s="10">
        <f>'A) Base RI'!C145+'A) Base RI'!D145</f>
        <v>20693246.23</v>
      </c>
      <c r="D145" s="10">
        <f>'A) Base RI'!AO145</f>
        <v>-1626401.57</v>
      </c>
      <c r="E145" s="32">
        <f>'A) Base RI'!AP145</f>
        <v>0</v>
      </c>
      <c r="F145" s="32">
        <f>'A) Base RI'!AQ145</f>
        <v>-14777.81</v>
      </c>
      <c r="G145" s="2">
        <f t="shared" si="12"/>
        <v>19052066.850000001</v>
      </c>
      <c r="H145" s="10">
        <f>+'A) Base RI'!E145</f>
        <v>0</v>
      </c>
      <c r="I145" s="10">
        <f>+'A) Base RI'!F145</f>
        <v>0</v>
      </c>
      <c r="J145" s="10">
        <f>+'A) Base RI'!G145+'A) Base RI'!H145</f>
        <v>3799786.35</v>
      </c>
      <c r="K145" s="10">
        <f>+'A) Base RI'!I145</f>
        <v>0</v>
      </c>
      <c r="L145" s="10">
        <f>+'A) Base RI'!J145</f>
        <v>1713930.23</v>
      </c>
      <c r="M145" s="10">
        <f>+'A) Base RI'!K145</f>
        <v>442102.35</v>
      </c>
      <c r="N145" s="10">
        <f>+'A) Base RI'!Q145</f>
        <v>669347.78</v>
      </c>
      <c r="O145" s="10">
        <f t="shared" si="13"/>
        <v>2297569.041666667</v>
      </c>
      <c r="P145" s="10">
        <f>+'A) Base RI'!L145</f>
        <v>2757082.85</v>
      </c>
      <c r="Q145" s="35">
        <f>'A) Base RI'!AR145</f>
        <v>1.2</v>
      </c>
      <c r="R145" s="2">
        <f t="shared" si="14"/>
        <v>27974802.601666674</v>
      </c>
      <c r="S145" s="34">
        <f>+'A) Base RI'!AM145</f>
        <v>64</v>
      </c>
      <c r="T145" s="2">
        <f t="shared" si="15"/>
        <v>25235131.210000005</v>
      </c>
      <c r="U145" s="2">
        <f t="shared" si="16"/>
        <v>437106.29065104178</v>
      </c>
      <c r="V145" s="10">
        <f>+'A) Base RI'!O145</f>
        <v>418222.2</v>
      </c>
      <c r="W145" s="10">
        <f>+'A) Base RI'!P145</f>
        <v>411660.05</v>
      </c>
      <c r="X145" s="10">
        <f>+'A) Base RI'!R145</f>
        <v>402836.25</v>
      </c>
      <c r="Y145" s="2">
        <f t="shared" si="17"/>
        <v>1232718.5</v>
      </c>
      <c r="Z145" s="10">
        <f>+'A) Base RI'!N145</f>
        <v>2525188.4</v>
      </c>
      <c r="AA145" s="10">
        <f>+'A) Base RI'!S145+'A) Base RI'!T145</f>
        <v>67115.95</v>
      </c>
      <c r="AB145" s="10">
        <f>+'A) Base RI'!U145</f>
        <v>44900</v>
      </c>
      <c r="AC145" s="10">
        <f>+'A) Base RI'!V145</f>
        <v>148387.45000000001</v>
      </c>
      <c r="AD145" s="10">
        <f>+'A) Base RI'!W145</f>
        <v>0</v>
      </c>
      <c r="AE145" s="10">
        <f>+'A) Base RI'!Y145</f>
        <v>9820</v>
      </c>
      <c r="AF145" s="10" t="str">
        <f>+'A) Base RI'!Z145</f>
        <v/>
      </c>
      <c r="AG145" s="10">
        <f>+'A) Base RI'!AA145</f>
        <v>1412050.04</v>
      </c>
      <c r="AH145" s="10" t="str">
        <f>+'A) Base RI'!AB145</f>
        <v/>
      </c>
      <c r="AI145" s="10">
        <f>+'A) Base RI'!AC145</f>
        <v>1242691.55</v>
      </c>
      <c r="AJ145" s="10" t="str">
        <f>+'A) Base RI'!AD145</f>
        <v/>
      </c>
      <c r="AK145" s="10" t="str">
        <f>+'A) Base RI'!AE145</f>
        <v/>
      </c>
      <c r="AL145" s="10" t="str">
        <f>+'A) Base RI'!AF145</f>
        <v/>
      </c>
      <c r="AM145" s="10">
        <f>+'A) Base RI'!AG145</f>
        <v>476784</v>
      </c>
      <c r="AN145" s="10">
        <f>+'A) Base RI'!AH145</f>
        <v>1121544.1499999999</v>
      </c>
      <c r="AO145" s="10">
        <f>+'A) Base RI'!AI145</f>
        <v>400551.4</v>
      </c>
      <c r="AP145" s="10">
        <f>+'A) Base RI'!AJ145</f>
        <v>0</v>
      </c>
      <c r="AQ145" s="10">
        <f>+'A) Base RI'!AK145</f>
        <v>160220.6</v>
      </c>
      <c r="AR145" s="10">
        <f>'A) Base RI'!AN145</f>
        <v>12939</v>
      </c>
    </row>
    <row r="146" spans="1:44" x14ac:dyDescent="0.25">
      <c r="A146" s="8">
        <f>'A) Base RI'!A146</f>
        <v>5636</v>
      </c>
      <c r="B146" s="33" t="str">
        <f>'A) Base RI'!B146</f>
        <v>Etoy</v>
      </c>
      <c r="C146" s="10">
        <f>'A) Base RI'!C146+'A) Base RI'!D146</f>
        <v>6762526.1200000001</v>
      </c>
      <c r="D146" s="10">
        <f>'A) Base RI'!AO146</f>
        <v>-64750.33</v>
      </c>
      <c r="E146" s="32">
        <f>'A) Base RI'!AP146</f>
        <v>-37638.5</v>
      </c>
      <c r="F146" s="32">
        <f>'A) Base RI'!AQ146</f>
        <v>-968.43</v>
      </c>
      <c r="G146" s="2">
        <f t="shared" si="12"/>
        <v>6659168.8600000003</v>
      </c>
      <c r="H146" s="10">
        <f>+'A) Base RI'!E146</f>
        <v>0</v>
      </c>
      <c r="I146" s="10">
        <f>+'A) Base RI'!F146</f>
        <v>0</v>
      </c>
      <c r="J146" s="10">
        <f>+'A) Base RI'!G146+'A) Base RI'!H146</f>
        <v>2689239.75</v>
      </c>
      <c r="K146" s="10">
        <f>+'A) Base RI'!I146</f>
        <v>-6421.6</v>
      </c>
      <c r="L146" s="10">
        <f>+'A) Base RI'!J146</f>
        <v>610638.53</v>
      </c>
      <c r="M146" s="10">
        <f>+'A) Base RI'!K146</f>
        <v>226954.7</v>
      </c>
      <c r="N146" s="10">
        <f>+'A) Base RI'!Q146</f>
        <v>7459.88</v>
      </c>
      <c r="O146" s="10">
        <f t="shared" si="13"/>
        <v>1273147.3500000001</v>
      </c>
      <c r="P146" s="10">
        <f>+'A) Base RI'!L146</f>
        <v>1273147.3500000001</v>
      </c>
      <c r="Q146" s="35">
        <f>'A) Base RI'!AR146</f>
        <v>1</v>
      </c>
      <c r="R146" s="2">
        <f t="shared" si="14"/>
        <v>11460187.469999999</v>
      </c>
      <c r="S146" s="34">
        <f>+'A) Base RI'!AM146</f>
        <v>61</v>
      </c>
      <c r="T146" s="2">
        <f t="shared" si="15"/>
        <v>9960085.4199999999</v>
      </c>
      <c r="U146" s="2">
        <f t="shared" si="16"/>
        <v>187871.92573770491</v>
      </c>
      <c r="V146" s="10">
        <f>+'A) Base RI'!O146</f>
        <v>-181972.6</v>
      </c>
      <c r="W146" s="10">
        <f>+'A) Base RI'!P146</f>
        <v>1530810.65</v>
      </c>
      <c r="X146" s="10">
        <f>+'A) Base RI'!R146</f>
        <v>414787.15</v>
      </c>
      <c r="Y146" s="2">
        <f t="shared" si="17"/>
        <v>1763625.1999999997</v>
      </c>
      <c r="Z146" s="10">
        <f>+'A) Base RI'!N146</f>
        <v>567263.44999999995</v>
      </c>
      <c r="AA146" s="10">
        <f>+'A) Base RI'!S146+'A) Base RI'!T146</f>
        <v>36650.800000000003</v>
      </c>
      <c r="AB146" s="10">
        <f>+'A) Base RI'!U146</f>
        <v>7200</v>
      </c>
      <c r="AC146" s="10">
        <f>+'A) Base RI'!V146</f>
        <v>0</v>
      </c>
      <c r="AD146" s="10">
        <f>+'A) Base RI'!W146</f>
        <v>0</v>
      </c>
      <c r="AE146" s="10">
        <f>+'A) Base RI'!Y146</f>
        <v>253456.65</v>
      </c>
      <c r="AF146" s="10">
        <f>+'A) Base RI'!Z146</f>
        <v>575467.85</v>
      </c>
      <c r="AG146" s="10">
        <f>+'A) Base RI'!AA146</f>
        <v>0</v>
      </c>
      <c r="AH146" s="10" t="str">
        <f>+'A) Base RI'!AB146</f>
        <v/>
      </c>
      <c r="AI146" s="10">
        <f>+'A) Base RI'!AC146</f>
        <v>119435.85</v>
      </c>
      <c r="AJ146" s="10">
        <f>+'A) Base RI'!AD146</f>
        <v>340133.1</v>
      </c>
      <c r="AK146" s="10" t="str">
        <f>+'A) Base RI'!AE146</f>
        <v/>
      </c>
      <c r="AL146" s="10" t="str">
        <f>+'A) Base RI'!AF146</f>
        <v/>
      </c>
      <c r="AM146" s="10" t="str">
        <f>+'A) Base RI'!AG146</f>
        <v/>
      </c>
      <c r="AN146" s="10">
        <f>+'A) Base RI'!AH146</f>
        <v>167810.8</v>
      </c>
      <c r="AO146" s="10">
        <f>+'A) Base RI'!AI146</f>
        <v>0</v>
      </c>
      <c r="AP146" s="10">
        <f>+'A) Base RI'!AJ146</f>
        <v>0</v>
      </c>
      <c r="AQ146" s="10">
        <f>+'A) Base RI'!AK146</f>
        <v>0</v>
      </c>
      <c r="AR146" s="10">
        <f>'A) Base RI'!AN146</f>
        <v>2905</v>
      </c>
    </row>
    <row r="147" spans="1:44" x14ac:dyDescent="0.25">
      <c r="A147" s="8">
        <f>'A) Base RI'!A147</f>
        <v>5637</v>
      </c>
      <c r="B147" s="33" t="str">
        <f>'A) Base RI'!B147</f>
        <v>Lavigny</v>
      </c>
      <c r="C147" s="10">
        <f>'A) Base RI'!C147+'A) Base RI'!D147</f>
        <v>2419487.34</v>
      </c>
      <c r="D147" s="10">
        <f>'A) Base RI'!AO147</f>
        <v>-28405.82</v>
      </c>
      <c r="E147" s="32">
        <f>'A) Base RI'!AP147</f>
        <v>0</v>
      </c>
      <c r="F147" s="32">
        <f>'A) Base RI'!AQ147</f>
        <v>-186.53</v>
      </c>
      <c r="G147" s="2">
        <f t="shared" si="12"/>
        <v>2390894.9900000002</v>
      </c>
      <c r="H147" s="10">
        <f>+'A) Base RI'!E147</f>
        <v>0</v>
      </c>
      <c r="I147" s="10">
        <f>+'A) Base RI'!F147</f>
        <v>0</v>
      </c>
      <c r="J147" s="10">
        <f>+'A) Base RI'!G147+'A) Base RI'!H147</f>
        <v>54104.299999999996</v>
      </c>
      <c r="K147" s="10">
        <f>+'A) Base RI'!I147</f>
        <v>0</v>
      </c>
      <c r="L147" s="10">
        <f>+'A) Base RI'!J147</f>
        <v>32808.68</v>
      </c>
      <c r="M147" s="10">
        <f>+'A) Base RI'!K147</f>
        <v>5470.65</v>
      </c>
      <c r="N147" s="10">
        <f>+'A) Base RI'!Q147</f>
        <v>596.30999999999995</v>
      </c>
      <c r="O147" s="10">
        <f t="shared" si="13"/>
        <v>187472.93333333335</v>
      </c>
      <c r="P147" s="10">
        <f>+'A) Base RI'!L147</f>
        <v>281209.40000000002</v>
      </c>
      <c r="Q147" s="35">
        <f>'A) Base RI'!AR147</f>
        <v>1.5</v>
      </c>
      <c r="R147" s="2">
        <f t="shared" si="14"/>
        <v>2671347.8633333333</v>
      </c>
      <c r="S147" s="34">
        <f>+'A) Base RI'!AM147</f>
        <v>74.5</v>
      </c>
      <c r="T147" s="2">
        <f t="shared" si="15"/>
        <v>2478404.2800000003</v>
      </c>
      <c r="U147" s="2">
        <f t="shared" si="16"/>
        <v>35857.018299776282</v>
      </c>
      <c r="V147" s="10">
        <f>+'A) Base RI'!O147</f>
        <v>5758.1</v>
      </c>
      <c r="W147" s="10">
        <f>+'A) Base RI'!P147</f>
        <v>70010.25</v>
      </c>
      <c r="X147" s="10">
        <f>+'A) Base RI'!R147</f>
        <v>62744.55</v>
      </c>
      <c r="Y147" s="2">
        <f t="shared" si="17"/>
        <v>138512.90000000002</v>
      </c>
      <c r="Z147" s="10">
        <f>+'A) Base RI'!N147</f>
        <v>222794.7</v>
      </c>
      <c r="AA147" s="10">
        <f>+'A) Base RI'!S147+'A) Base RI'!T147</f>
        <v>1178.7</v>
      </c>
      <c r="AB147" s="10">
        <f>+'A) Base RI'!U147</f>
        <v>3360</v>
      </c>
      <c r="AC147" s="10">
        <f>+'A) Base RI'!V147</f>
        <v>0</v>
      </c>
      <c r="AD147" s="10">
        <f>+'A) Base RI'!W147</f>
        <v>0</v>
      </c>
      <c r="AE147" s="10">
        <f>+'A) Base RI'!Y147</f>
        <v>13806.55</v>
      </c>
      <c r="AF147" s="10">
        <f>+'A) Base RI'!Z147</f>
        <v>0</v>
      </c>
      <c r="AG147" s="10">
        <f>+'A) Base RI'!AA147</f>
        <v>181276.2</v>
      </c>
      <c r="AH147" s="10">
        <f>+'A) Base RI'!AB147</f>
        <v>0</v>
      </c>
      <c r="AI147" s="10">
        <f>+'A) Base RI'!AC147</f>
        <v>103954.7</v>
      </c>
      <c r="AJ147" s="10">
        <f>+'A) Base RI'!AD147</f>
        <v>14607.3</v>
      </c>
      <c r="AK147" s="10">
        <f>+'A) Base RI'!AE147</f>
        <v>0</v>
      </c>
      <c r="AL147" s="10">
        <f>+'A) Base RI'!AF147</f>
        <v>0</v>
      </c>
      <c r="AM147" s="10">
        <f>+'A) Base RI'!AG147</f>
        <v>0</v>
      </c>
      <c r="AN147" s="10">
        <f>+'A) Base RI'!AH147</f>
        <v>39453.949999999997</v>
      </c>
      <c r="AO147" s="10">
        <f>+'A) Base RI'!AI147</f>
        <v>0</v>
      </c>
      <c r="AP147" s="10">
        <f>+'A) Base RI'!AJ147</f>
        <v>0</v>
      </c>
      <c r="AQ147" s="10">
        <f>+'A) Base RI'!AK147</f>
        <v>0</v>
      </c>
      <c r="AR147" s="10">
        <f>'A) Base RI'!AN147</f>
        <v>999</v>
      </c>
    </row>
    <row r="148" spans="1:44" x14ac:dyDescent="0.25">
      <c r="A148" s="8">
        <f>'A) Base RI'!A148</f>
        <v>5638</v>
      </c>
      <c r="B148" s="33" t="str">
        <f>'A) Base RI'!B148</f>
        <v>Lonay</v>
      </c>
      <c r="C148" s="10">
        <f>'A) Base RI'!C148+'A) Base RI'!D148</f>
        <v>6742714.3399999999</v>
      </c>
      <c r="D148" s="10">
        <f>'A) Base RI'!AO148</f>
        <v>-142088.24</v>
      </c>
      <c r="E148" s="32">
        <f>'A) Base RI'!AP148</f>
        <v>0</v>
      </c>
      <c r="F148" s="32">
        <f>'A) Base RI'!AQ148</f>
        <v>-1258.58</v>
      </c>
      <c r="G148" s="2">
        <f t="shared" si="12"/>
        <v>6599367.5199999996</v>
      </c>
      <c r="H148" s="10">
        <f>+'A) Base RI'!E148</f>
        <v>0</v>
      </c>
      <c r="I148" s="10">
        <f>+'A) Base RI'!F148</f>
        <v>0</v>
      </c>
      <c r="J148" s="10">
        <f>+'A) Base RI'!G148+'A) Base RI'!H148</f>
        <v>1588344.6500000001</v>
      </c>
      <c r="K148" s="10">
        <f>+'A) Base RI'!I148</f>
        <v>225384.35</v>
      </c>
      <c r="L148" s="10">
        <f>+'A) Base RI'!J148</f>
        <v>149354.20000000001</v>
      </c>
      <c r="M148" s="10">
        <f>+'A) Base RI'!K148</f>
        <v>36732.400000000001</v>
      </c>
      <c r="N148" s="10">
        <f>+'A) Base RI'!Q148</f>
        <v>18911.27</v>
      </c>
      <c r="O148" s="10">
        <f t="shared" si="13"/>
        <v>631786.6</v>
      </c>
      <c r="P148" s="10">
        <f>+'A) Base RI'!L148</f>
        <v>631786.6</v>
      </c>
      <c r="Q148" s="35">
        <f>'A) Base RI'!AR148</f>
        <v>1</v>
      </c>
      <c r="R148" s="2">
        <f t="shared" si="14"/>
        <v>9249880.9899999984</v>
      </c>
      <c r="S148" s="34">
        <f>+'A) Base RI'!AM148</f>
        <v>55</v>
      </c>
      <c r="T148" s="2">
        <f t="shared" si="15"/>
        <v>8581361.9899999984</v>
      </c>
      <c r="U148" s="2">
        <f t="shared" si="16"/>
        <v>168179.65436363633</v>
      </c>
      <c r="V148" s="10">
        <f>+'A) Base RI'!O148</f>
        <v>1560571.3</v>
      </c>
      <c r="W148" s="10">
        <f>+'A) Base RI'!P148</f>
        <v>500825.9</v>
      </c>
      <c r="X148" s="10">
        <f>+'A) Base RI'!R148</f>
        <v>300446.09999999998</v>
      </c>
      <c r="Y148" s="2">
        <f t="shared" si="17"/>
        <v>2361843.3000000003</v>
      </c>
      <c r="Z148" s="10">
        <f>+'A) Base RI'!N148</f>
        <v>215283.05</v>
      </c>
      <c r="AA148" s="10">
        <f>+'A) Base RI'!S148+'A) Base RI'!T148</f>
        <v>9154.0499999999993</v>
      </c>
      <c r="AB148" s="10">
        <f>+'A) Base RI'!U148</f>
        <v>15150</v>
      </c>
      <c r="AC148" s="10">
        <f>+'A) Base RI'!V148</f>
        <v>0</v>
      </c>
      <c r="AD148" s="10">
        <f>+'A) Base RI'!W148</f>
        <v>0</v>
      </c>
      <c r="AE148" s="10">
        <f>+'A) Base RI'!Y148</f>
        <v>4500</v>
      </c>
      <c r="AF148" s="10">
        <f>+'A) Base RI'!Z148</f>
        <v>0</v>
      </c>
      <c r="AG148" s="10">
        <f>+'A) Base RI'!AA148</f>
        <v>494236</v>
      </c>
      <c r="AH148" s="10">
        <f>+'A) Base RI'!AB148</f>
        <v>0</v>
      </c>
      <c r="AI148" s="10">
        <f>+'A) Base RI'!AC148</f>
        <v>293068</v>
      </c>
      <c r="AJ148" s="10">
        <f>+'A) Base RI'!AD148</f>
        <v>0</v>
      </c>
      <c r="AK148" s="10">
        <f>+'A) Base RI'!AE148</f>
        <v>0</v>
      </c>
      <c r="AL148" s="10">
        <f>+'A) Base RI'!AF148</f>
        <v>0</v>
      </c>
      <c r="AM148" s="10">
        <f>+'A) Base RI'!AG148</f>
        <v>0</v>
      </c>
      <c r="AN148" s="10">
        <f>+'A) Base RI'!AH148</f>
        <v>0</v>
      </c>
      <c r="AO148" s="10">
        <f>+'A) Base RI'!AI148</f>
        <v>0</v>
      </c>
      <c r="AP148" s="10">
        <f>+'A) Base RI'!AJ148</f>
        <v>0</v>
      </c>
      <c r="AQ148" s="10">
        <f>+'A) Base RI'!AK148</f>
        <v>0</v>
      </c>
      <c r="AR148" s="10">
        <f>'A) Base RI'!AN148</f>
        <v>2593</v>
      </c>
    </row>
    <row r="149" spans="1:44" x14ac:dyDescent="0.25">
      <c r="A149" s="8">
        <f>'A) Base RI'!A149</f>
        <v>5639</v>
      </c>
      <c r="B149" s="33" t="str">
        <f>'A) Base RI'!B149</f>
        <v>Lully</v>
      </c>
      <c r="C149" s="10">
        <f>'A) Base RI'!C149+'A) Base RI'!D149</f>
        <v>2382750.33</v>
      </c>
      <c r="D149" s="10">
        <f>'A) Base RI'!AO149</f>
        <v>-13263.69</v>
      </c>
      <c r="E149" s="32">
        <f>'A) Base RI'!AP149</f>
        <v>0</v>
      </c>
      <c r="F149" s="32">
        <f>'A) Base RI'!AQ149</f>
        <v>0</v>
      </c>
      <c r="G149" s="2">
        <f t="shared" si="12"/>
        <v>2369486.64</v>
      </c>
      <c r="H149" s="10">
        <f>+'A) Base RI'!E149</f>
        <v>0</v>
      </c>
      <c r="I149" s="10">
        <f>+'A) Base RI'!F149</f>
        <v>0</v>
      </c>
      <c r="J149" s="10">
        <f>+'A) Base RI'!G149+'A) Base RI'!H149</f>
        <v>275362</v>
      </c>
      <c r="K149" s="10">
        <f>+'A) Base RI'!I149</f>
        <v>0</v>
      </c>
      <c r="L149" s="10">
        <f>+'A) Base RI'!J149</f>
        <v>7882.32</v>
      </c>
      <c r="M149" s="10">
        <f>+'A) Base RI'!K149</f>
        <v>5943.85</v>
      </c>
      <c r="N149" s="10">
        <f>+'A) Base RI'!Q149</f>
        <v>0</v>
      </c>
      <c r="O149" s="10">
        <f t="shared" si="13"/>
        <v>193762.91999999998</v>
      </c>
      <c r="P149" s="10">
        <f>+'A) Base RI'!L149</f>
        <v>242203.65</v>
      </c>
      <c r="Q149" s="35">
        <f>'A) Base RI'!AR149</f>
        <v>1.25</v>
      </c>
      <c r="R149" s="2">
        <f t="shared" si="14"/>
        <v>2852437.73</v>
      </c>
      <c r="S149" s="34">
        <f>+'A) Base RI'!AM149</f>
        <v>61</v>
      </c>
      <c r="T149" s="2">
        <f t="shared" si="15"/>
        <v>2652730.96</v>
      </c>
      <c r="U149" s="2">
        <f t="shared" si="16"/>
        <v>46761.274262295083</v>
      </c>
      <c r="V149" s="10">
        <f>+'A) Base RI'!O149</f>
        <v>7603.1</v>
      </c>
      <c r="W149" s="10">
        <f>+'A) Base RI'!P149</f>
        <v>90302.25</v>
      </c>
      <c r="X149" s="10">
        <f>+'A) Base RI'!R149</f>
        <v>100765.6</v>
      </c>
      <c r="Y149" s="2">
        <f t="shared" si="17"/>
        <v>198670.95</v>
      </c>
      <c r="Z149" s="10">
        <f>+'A) Base RI'!N149</f>
        <v>12986.35</v>
      </c>
      <c r="AA149" s="10">
        <f>+'A) Base RI'!S149+'A) Base RI'!T149</f>
        <v>97.25</v>
      </c>
      <c r="AB149" s="10">
        <f>+'A) Base RI'!U149</f>
        <v>2520</v>
      </c>
      <c r="AC149" s="10">
        <f>+'A) Base RI'!V149</f>
        <v>0</v>
      </c>
      <c r="AD149" s="10">
        <f>+'A) Base RI'!W149</f>
        <v>0</v>
      </c>
      <c r="AE149" s="10">
        <f>+'A) Base RI'!Y149</f>
        <v>29428.85</v>
      </c>
      <c r="AF149" s="10">
        <f>+'A) Base RI'!Z149</f>
        <v>0</v>
      </c>
      <c r="AG149" s="10">
        <f>+'A) Base RI'!AA149</f>
        <v>112893.6</v>
      </c>
      <c r="AH149" s="10">
        <f>+'A) Base RI'!AB149</f>
        <v>0</v>
      </c>
      <c r="AI149" s="10">
        <f>+'A) Base RI'!AC149</f>
        <v>66229.25</v>
      </c>
      <c r="AJ149" s="10">
        <f>+'A) Base RI'!AD149</f>
        <v>0</v>
      </c>
      <c r="AK149" s="10">
        <f>+'A) Base RI'!AE149</f>
        <v>0</v>
      </c>
      <c r="AL149" s="10">
        <f>+'A) Base RI'!AF149</f>
        <v>0</v>
      </c>
      <c r="AM149" s="10">
        <f>+'A) Base RI'!AG149</f>
        <v>0</v>
      </c>
      <c r="AN149" s="10">
        <f>+'A) Base RI'!AH149</f>
        <v>0</v>
      </c>
      <c r="AO149" s="10">
        <f>+'A) Base RI'!AI149</f>
        <v>0</v>
      </c>
      <c r="AP149" s="10">
        <f>+'A) Base RI'!AJ149</f>
        <v>0</v>
      </c>
      <c r="AQ149" s="10">
        <f>+'A) Base RI'!AK149</f>
        <v>0</v>
      </c>
      <c r="AR149" s="10">
        <f>'A) Base RI'!AN149</f>
        <v>790</v>
      </c>
    </row>
    <row r="150" spans="1:44" x14ac:dyDescent="0.25">
      <c r="A150" s="8">
        <f>'A) Base RI'!A150</f>
        <v>5640</v>
      </c>
      <c r="B150" s="33" t="str">
        <f>'A) Base RI'!B150</f>
        <v>Lussy-sur-Morges</v>
      </c>
      <c r="C150" s="10">
        <f>'A) Base RI'!C150+'A) Base RI'!D150</f>
        <v>3203496.55</v>
      </c>
      <c r="D150" s="10">
        <f>'A) Base RI'!AO150</f>
        <v>-4864.45</v>
      </c>
      <c r="E150" s="32">
        <f>'A) Base RI'!AP150</f>
        <v>0</v>
      </c>
      <c r="F150" s="32">
        <f>'A) Base RI'!AQ150</f>
        <v>-3127.93</v>
      </c>
      <c r="G150" s="2">
        <f t="shared" si="12"/>
        <v>3195504.1699999995</v>
      </c>
      <c r="H150" s="10">
        <f>+'A) Base RI'!E150</f>
        <v>0</v>
      </c>
      <c r="I150" s="10">
        <f>+'A) Base RI'!F150</f>
        <v>0</v>
      </c>
      <c r="J150" s="10">
        <f>+'A) Base RI'!G150+'A) Base RI'!H150</f>
        <v>-13613.65</v>
      </c>
      <c r="K150" s="10">
        <f>+'A) Base RI'!I150</f>
        <v>113236.15</v>
      </c>
      <c r="L150" s="10">
        <f>+'A) Base RI'!J150</f>
        <v>11138.93</v>
      </c>
      <c r="M150" s="10">
        <f>+'A) Base RI'!K150</f>
        <v>4735.55</v>
      </c>
      <c r="N150" s="10">
        <f>+'A) Base RI'!Q150</f>
        <v>0</v>
      </c>
      <c r="O150" s="10">
        <f t="shared" si="13"/>
        <v>188872.65</v>
      </c>
      <c r="P150" s="10">
        <f>+'A) Base RI'!L150</f>
        <v>188872.65</v>
      </c>
      <c r="Q150" s="35">
        <f>'A) Base RI'!AR150</f>
        <v>1</v>
      </c>
      <c r="R150" s="2">
        <f t="shared" si="14"/>
        <v>3499873.7999999993</v>
      </c>
      <c r="S150" s="34">
        <f>+'A) Base RI'!AM150</f>
        <v>66</v>
      </c>
      <c r="T150" s="2">
        <f t="shared" si="15"/>
        <v>3306265.5999999996</v>
      </c>
      <c r="U150" s="2">
        <f t="shared" si="16"/>
        <v>53028.3909090909</v>
      </c>
      <c r="V150" s="10">
        <f>+'A) Base RI'!O150</f>
        <v>133563.5</v>
      </c>
      <c r="W150" s="10">
        <f>+'A) Base RI'!P150</f>
        <v>125353.1</v>
      </c>
      <c r="X150" s="10">
        <f>+'A) Base RI'!R150</f>
        <v>66303.149999999994</v>
      </c>
      <c r="Y150" s="2">
        <f t="shared" si="17"/>
        <v>325219.75</v>
      </c>
      <c r="Z150" s="10">
        <f>+'A) Base RI'!N150</f>
        <v>18606.95</v>
      </c>
      <c r="AA150" s="10">
        <f>+'A) Base RI'!S150+'A) Base RI'!T150</f>
        <v>0</v>
      </c>
      <c r="AB150" s="10">
        <f>+'A) Base RI'!U150</f>
        <v>3500</v>
      </c>
      <c r="AC150" s="10">
        <f>+'A) Base RI'!V150</f>
        <v>0</v>
      </c>
      <c r="AD150" s="10">
        <f>+'A) Base RI'!W150</f>
        <v>0</v>
      </c>
      <c r="AE150" s="10">
        <f>+'A) Base RI'!Y150</f>
        <v>44013.5</v>
      </c>
      <c r="AF150" s="10" t="str">
        <f>+'A) Base RI'!Z150</f>
        <v/>
      </c>
      <c r="AG150" s="10">
        <f>+'A) Base RI'!AA150</f>
        <v>68899.7</v>
      </c>
      <c r="AH150" s="10" t="str">
        <f>+'A) Base RI'!AB150</f>
        <v/>
      </c>
      <c r="AI150" s="10">
        <f>+'A) Base RI'!AC150</f>
        <v>39936</v>
      </c>
      <c r="AJ150" s="10" t="str">
        <f>+'A) Base RI'!AD150</f>
        <v/>
      </c>
      <c r="AK150" s="10" t="str">
        <f>+'A) Base RI'!AE150</f>
        <v/>
      </c>
      <c r="AL150" s="10" t="str">
        <f>+'A) Base RI'!AF150</f>
        <v/>
      </c>
      <c r="AM150" s="10" t="str">
        <f>+'A) Base RI'!AG150</f>
        <v/>
      </c>
      <c r="AN150" s="10">
        <f>+'A) Base RI'!AH150</f>
        <v>0</v>
      </c>
      <c r="AO150" s="10">
        <f>+'A) Base RI'!AI150</f>
        <v>0</v>
      </c>
      <c r="AP150" s="10">
        <f>+'A) Base RI'!AJ150</f>
        <v>0</v>
      </c>
      <c r="AQ150" s="10">
        <f>+'A) Base RI'!AK150</f>
        <v>0</v>
      </c>
      <c r="AR150" s="10">
        <f>'A) Base RI'!AN150</f>
        <v>687</v>
      </c>
    </row>
    <row r="151" spans="1:44" x14ac:dyDescent="0.25">
      <c r="A151" s="8">
        <f>'A) Base RI'!A151</f>
        <v>5642</v>
      </c>
      <c r="B151" s="33" t="str">
        <f>'A) Base RI'!B151</f>
        <v>Morges</v>
      </c>
      <c r="C151" s="10">
        <f>'A) Base RI'!C151+'A) Base RI'!D151</f>
        <v>41250093.57</v>
      </c>
      <c r="D151" s="10">
        <f>'A) Base RI'!AO151</f>
        <v>-540768.64</v>
      </c>
      <c r="E151" s="32">
        <f>'A) Base RI'!AP151</f>
        <v>0</v>
      </c>
      <c r="F151" s="32">
        <f>'A) Base RI'!AQ151</f>
        <v>-18138.919999999998</v>
      </c>
      <c r="G151" s="2">
        <f t="shared" si="12"/>
        <v>40691186.009999998</v>
      </c>
      <c r="H151" s="10">
        <f>+'A) Base RI'!E151</f>
        <v>0</v>
      </c>
      <c r="I151" s="10">
        <f>+'A) Base RI'!F151</f>
        <v>0</v>
      </c>
      <c r="J151" s="10">
        <f>+'A) Base RI'!G151+'A) Base RI'!H151</f>
        <v>5595899.7000000002</v>
      </c>
      <c r="K151" s="10">
        <f>+'A) Base RI'!I151</f>
        <v>604468.26</v>
      </c>
      <c r="L151" s="10">
        <f>+'A) Base RI'!J151</f>
        <v>1431185.21</v>
      </c>
      <c r="M151" s="10">
        <f>+'A) Base RI'!K151</f>
        <v>468773.55</v>
      </c>
      <c r="N151" s="10">
        <f>+'A) Base RI'!Q151</f>
        <v>82660.7</v>
      </c>
      <c r="O151" s="10">
        <f t="shared" si="13"/>
        <v>3132574.3</v>
      </c>
      <c r="P151" s="10">
        <f>+'A) Base RI'!L151</f>
        <v>3132574.3</v>
      </c>
      <c r="Q151" s="35">
        <f>'A) Base RI'!AR151</f>
        <v>1</v>
      </c>
      <c r="R151" s="2">
        <f t="shared" si="14"/>
        <v>52006747.729999997</v>
      </c>
      <c r="S151" s="34">
        <f>+'A) Base RI'!AM151</f>
        <v>68.5</v>
      </c>
      <c r="T151" s="2">
        <f t="shared" si="15"/>
        <v>48405399.880000003</v>
      </c>
      <c r="U151" s="2">
        <f t="shared" si="16"/>
        <v>759222.5945985401</v>
      </c>
      <c r="V151" s="10">
        <f>+'A) Base RI'!O151</f>
        <v>2366669.2999999998</v>
      </c>
      <c r="W151" s="10">
        <f>+'A) Base RI'!P151</f>
        <v>1795662.85</v>
      </c>
      <c r="X151" s="10">
        <f>+'A) Base RI'!R151</f>
        <v>2406947.0499999998</v>
      </c>
      <c r="Y151" s="2">
        <f t="shared" si="17"/>
        <v>6569279.1999999993</v>
      </c>
      <c r="Z151" s="10">
        <f>+'A) Base RI'!N151</f>
        <v>1405238.4</v>
      </c>
      <c r="AA151" s="10">
        <f>+'A) Base RI'!S151+'A) Base RI'!T151</f>
        <v>85151.55</v>
      </c>
      <c r="AB151" s="10">
        <f>+'A) Base RI'!U151</f>
        <v>46560</v>
      </c>
      <c r="AC151" s="10">
        <f>+'A) Base RI'!V151</f>
        <v>0</v>
      </c>
      <c r="AD151" s="10">
        <f>+'A) Base RI'!W151</f>
        <v>3419550</v>
      </c>
      <c r="AE151" s="10">
        <f>+'A) Base RI'!Y151</f>
        <v>314269.45</v>
      </c>
      <c r="AF151" s="10">
        <f>+'A) Base RI'!Z151</f>
        <v>0</v>
      </c>
      <c r="AG151" s="10">
        <f>+'A) Base RI'!AA151</f>
        <v>4404675</v>
      </c>
      <c r="AH151" s="10">
        <f>+'A) Base RI'!AB151</f>
        <v>0</v>
      </c>
      <c r="AI151" s="10">
        <f>+'A) Base RI'!AC151</f>
        <v>1070821.97</v>
      </c>
      <c r="AJ151" s="10">
        <f>+'A) Base RI'!AD151</f>
        <v>766006.66</v>
      </c>
      <c r="AK151" s="10">
        <f>+'A) Base RI'!AE151</f>
        <v>0</v>
      </c>
      <c r="AL151" s="10">
        <f>+'A) Base RI'!AF151</f>
        <v>0</v>
      </c>
      <c r="AM151" s="10">
        <f>+'A) Base RI'!AG151</f>
        <v>221255.5</v>
      </c>
      <c r="AN151" s="10">
        <f>+'A) Base RI'!AH151</f>
        <v>0</v>
      </c>
      <c r="AO151" s="10">
        <f>+'A) Base RI'!AI151</f>
        <v>0</v>
      </c>
      <c r="AP151" s="10">
        <f>+'A) Base RI'!AJ151</f>
        <v>0</v>
      </c>
      <c r="AQ151" s="10">
        <f>+'A) Base RI'!AK151</f>
        <v>0</v>
      </c>
      <c r="AR151" s="10">
        <f>'A) Base RI'!AN151</f>
        <v>15725</v>
      </c>
    </row>
    <row r="152" spans="1:44" x14ac:dyDescent="0.25">
      <c r="A152" s="8">
        <f>'A) Base RI'!A152</f>
        <v>5643</v>
      </c>
      <c r="B152" s="33" t="str">
        <f>'A) Base RI'!B152</f>
        <v>Préverenges</v>
      </c>
      <c r="C152" s="10">
        <f>'A) Base RI'!C152+'A) Base RI'!D152</f>
        <v>14241381.630000001</v>
      </c>
      <c r="D152" s="10">
        <f>'A) Base RI'!AO152</f>
        <v>-162802.89000000001</v>
      </c>
      <c r="E152" s="32">
        <f>'A) Base RI'!AP152</f>
        <v>0</v>
      </c>
      <c r="F152" s="32">
        <f>'A) Base RI'!AQ152</f>
        <v>-5165.0200000000004</v>
      </c>
      <c r="G152" s="2">
        <f t="shared" si="12"/>
        <v>14073413.720000001</v>
      </c>
      <c r="H152" s="10">
        <f>+'A) Base RI'!E152</f>
        <v>0</v>
      </c>
      <c r="I152" s="10">
        <f>+'A) Base RI'!F152</f>
        <v>0</v>
      </c>
      <c r="J152" s="10">
        <f>+'A) Base RI'!G152+'A) Base RI'!H152</f>
        <v>586565.70000000007</v>
      </c>
      <c r="K152" s="10">
        <f>+'A) Base RI'!I152</f>
        <v>351745.75</v>
      </c>
      <c r="L152" s="10">
        <f>+'A) Base RI'!J152</f>
        <v>399868.24</v>
      </c>
      <c r="M152" s="10">
        <f>+'A) Base RI'!K152</f>
        <v>117739.75</v>
      </c>
      <c r="N152" s="10">
        <f>+'A) Base RI'!Q152</f>
        <v>17812.11</v>
      </c>
      <c r="O152" s="10">
        <f t="shared" si="13"/>
        <v>1096286.05</v>
      </c>
      <c r="P152" s="10">
        <f>+'A) Base RI'!L152</f>
        <v>1096286.05</v>
      </c>
      <c r="Q152" s="35">
        <f>'A) Base RI'!AR152</f>
        <v>1</v>
      </c>
      <c r="R152" s="2">
        <f t="shared" si="14"/>
        <v>16643431.32</v>
      </c>
      <c r="S152" s="34">
        <f>+'A) Base RI'!AM152</f>
        <v>64</v>
      </c>
      <c r="T152" s="2">
        <f t="shared" si="15"/>
        <v>15429405.52</v>
      </c>
      <c r="U152" s="2">
        <f t="shared" si="16"/>
        <v>260053.614375</v>
      </c>
      <c r="V152" s="10">
        <f>+'A) Base RI'!O152</f>
        <v>22241.9</v>
      </c>
      <c r="W152" s="10">
        <f>+'A) Base RI'!P152</f>
        <v>286824.65000000002</v>
      </c>
      <c r="X152" s="10">
        <f>+'A) Base RI'!R152</f>
        <v>121437.6</v>
      </c>
      <c r="Y152" s="2">
        <f t="shared" si="17"/>
        <v>430504.15</v>
      </c>
      <c r="Z152" s="10">
        <f>+'A) Base RI'!N152</f>
        <v>178198.39999999999</v>
      </c>
      <c r="AA152" s="10">
        <f>+'A) Base RI'!S152+'A) Base RI'!T152</f>
        <v>3837.25</v>
      </c>
      <c r="AB152" s="10">
        <f>+'A) Base RI'!U152</f>
        <v>18270</v>
      </c>
      <c r="AC152" s="10">
        <f>+'A) Base RI'!V152</f>
        <v>0</v>
      </c>
      <c r="AD152" s="10">
        <f>+'A) Base RI'!W152</f>
        <v>0</v>
      </c>
      <c r="AE152" s="10">
        <f>+'A) Base RI'!Y152</f>
        <v>20964.25</v>
      </c>
      <c r="AF152" s="10" t="str">
        <f>+'A) Base RI'!Z152</f>
        <v/>
      </c>
      <c r="AG152" s="10">
        <f>+'A) Base RI'!AA152</f>
        <v>886344.78</v>
      </c>
      <c r="AH152" s="10" t="str">
        <f>+'A) Base RI'!AB152</f>
        <v/>
      </c>
      <c r="AI152" s="10">
        <f>+'A) Base RI'!AC152</f>
        <v>388108.35</v>
      </c>
      <c r="AJ152" s="10" t="str">
        <f>+'A) Base RI'!AD152</f>
        <v/>
      </c>
      <c r="AK152" s="10" t="str">
        <f>+'A) Base RI'!AE152</f>
        <v/>
      </c>
      <c r="AL152" s="10" t="str">
        <f>+'A) Base RI'!AF152</f>
        <v/>
      </c>
      <c r="AM152" s="10" t="str">
        <f>+'A) Base RI'!AG152</f>
        <v/>
      </c>
      <c r="AN152" s="10">
        <f>+'A) Base RI'!AH152</f>
        <v>118880.65</v>
      </c>
      <c r="AO152" s="10">
        <f>+'A) Base RI'!AI152</f>
        <v>0</v>
      </c>
      <c r="AP152" s="10">
        <f>+'A) Base RI'!AJ152</f>
        <v>0</v>
      </c>
      <c r="AQ152" s="10">
        <f>+'A) Base RI'!AK152</f>
        <v>0</v>
      </c>
      <c r="AR152" s="10">
        <f>'A) Base RI'!AN152</f>
        <v>5298</v>
      </c>
    </row>
    <row r="153" spans="1:44" x14ac:dyDescent="0.25">
      <c r="A153" s="8">
        <f>'A) Base RI'!A153</f>
        <v>5644</v>
      </c>
      <c r="B153" s="33" t="str">
        <f>'A) Base RI'!B153</f>
        <v>Reverolle</v>
      </c>
      <c r="C153" s="10">
        <f>'A) Base RI'!C153+'A) Base RI'!D153</f>
        <v>929273.3</v>
      </c>
      <c r="D153" s="10">
        <f>'A) Base RI'!AO153</f>
        <v>-23121.09</v>
      </c>
      <c r="E153" s="32">
        <f>'A) Base RI'!AP153</f>
        <v>0</v>
      </c>
      <c r="F153" s="32">
        <f>'A) Base RI'!AQ153</f>
        <v>-75.83</v>
      </c>
      <c r="G153" s="2">
        <f t="shared" si="12"/>
        <v>906076.38000000012</v>
      </c>
      <c r="H153" s="10">
        <f>+'A) Base RI'!E153</f>
        <v>0</v>
      </c>
      <c r="I153" s="10">
        <f>+'A) Base RI'!F153</f>
        <v>0</v>
      </c>
      <c r="J153" s="10">
        <f>+'A) Base RI'!G153+'A) Base RI'!H153</f>
        <v>-9881.9500000000007</v>
      </c>
      <c r="K153" s="10">
        <f>+'A) Base RI'!I153</f>
        <v>0</v>
      </c>
      <c r="L153" s="10">
        <f>+'A) Base RI'!J153</f>
        <v>20184.61</v>
      </c>
      <c r="M153" s="10">
        <f>+'A) Base RI'!K153</f>
        <v>0</v>
      </c>
      <c r="N153" s="10">
        <f>+'A) Base RI'!Q153</f>
        <v>20681.240000000002</v>
      </c>
      <c r="O153" s="10">
        <f t="shared" si="13"/>
        <v>76902.45</v>
      </c>
      <c r="P153" s="10">
        <f>+'A) Base RI'!L153</f>
        <v>76902.45</v>
      </c>
      <c r="Q153" s="35">
        <f>'A) Base RI'!AR153</f>
        <v>1</v>
      </c>
      <c r="R153" s="2">
        <f t="shared" si="14"/>
        <v>1013962.7300000001</v>
      </c>
      <c r="S153" s="34">
        <f>+'A) Base RI'!AM153</f>
        <v>76</v>
      </c>
      <c r="T153" s="2">
        <f t="shared" si="15"/>
        <v>937060.28000000014</v>
      </c>
      <c r="U153" s="2">
        <f t="shared" si="16"/>
        <v>13341.614868421055</v>
      </c>
      <c r="V153" s="10">
        <f>+'A) Base RI'!O153</f>
        <v>0</v>
      </c>
      <c r="W153" s="10">
        <f>+'A) Base RI'!P153</f>
        <v>46387</v>
      </c>
      <c r="X153" s="10">
        <f>+'A) Base RI'!R153</f>
        <v>37549.15</v>
      </c>
      <c r="Y153" s="2">
        <f t="shared" si="17"/>
        <v>83936.15</v>
      </c>
      <c r="Z153" s="10">
        <f>+'A) Base RI'!N153</f>
        <v>4010.65</v>
      </c>
      <c r="AA153" s="10">
        <f>+'A) Base RI'!S153+'A) Base RI'!T153</f>
        <v>600</v>
      </c>
      <c r="AB153" s="10">
        <f>+'A) Base RI'!U153</f>
        <v>3150</v>
      </c>
      <c r="AC153" s="10">
        <f>+'A) Base RI'!V153</f>
        <v>0</v>
      </c>
      <c r="AD153" s="10">
        <f>+'A) Base RI'!W153</f>
        <v>0</v>
      </c>
      <c r="AE153" s="10">
        <f>+'A) Base RI'!Y153</f>
        <v>10645</v>
      </c>
      <c r="AF153" s="10" t="str">
        <f>+'A) Base RI'!Z153</f>
        <v/>
      </c>
      <c r="AG153" s="10">
        <f>+'A) Base RI'!AA153</f>
        <v>63568.399999999994</v>
      </c>
      <c r="AH153" s="10" t="str">
        <f>+'A) Base RI'!AB153</f>
        <v/>
      </c>
      <c r="AI153" s="10">
        <f>+'A) Base RI'!AC153</f>
        <v>35480</v>
      </c>
      <c r="AJ153" s="10">
        <f>+'A) Base RI'!AD153</f>
        <v>7370</v>
      </c>
      <c r="AK153" s="10" t="str">
        <f>+'A) Base RI'!AE153</f>
        <v/>
      </c>
      <c r="AL153" s="10" t="str">
        <f>+'A) Base RI'!AF153</f>
        <v/>
      </c>
      <c r="AM153" s="10" t="str">
        <f>+'A) Base RI'!AG153</f>
        <v/>
      </c>
      <c r="AN153" s="10">
        <f>+'A) Base RI'!AH153</f>
        <v>6723.4</v>
      </c>
      <c r="AO153" s="10">
        <f>+'A) Base RI'!AI153</f>
        <v>0</v>
      </c>
      <c r="AP153" s="10">
        <f>+'A) Base RI'!AJ153</f>
        <v>0</v>
      </c>
      <c r="AQ153" s="10">
        <f>+'A) Base RI'!AK153</f>
        <v>0</v>
      </c>
      <c r="AR153" s="10">
        <f>'A) Base RI'!AN153</f>
        <v>399</v>
      </c>
    </row>
    <row r="154" spans="1:44" x14ac:dyDescent="0.25">
      <c r="A154" s="8">
        <f>'A) Base RI'!A154</f>
        <v>5645</v>
      </c>
      <c r="B154" s="33" t="str">
        <f>'A) Base RI'!B154</f>
        <v>Romanel-sur-Morges</v>
      </c>
      <c r="C154" s="10">
        <f>'A) Base RI'!C154+'A) Base RI'!D154</f>
        <v>1216739.1800000002</v>
      </c>
      <c r="D154" s="10">
        <f>'A) Base RI'!AO154</f>
        <v>-19000.88</v>
      </c>
      <c r="E154" s="32">
        <f>'A) Base RI'!AP154</f>
        <v>0</v>
      </c>
      <c r="F154" s="32">
        <f>'A) Base RI'!AQ154</f>
        <v>-127.16</v>
      </c>
      <c r="G154" s="2">
        <f t="shared" si="12"/>
        <v>1197611.1400000004</v>
      </c>
      <c r="H154" s="10">
        <f>+'A) Base RI'!E154</f>
        <v>0</v>
      </c>
      <c r="I154" s="10">
        <f>+'A) Base RI'!F154</f>
        <v>0</v>
      </c>
      <c r="J154" s="10">
        <f>+'A) Base RI'!G154+'A) Base RI'!H154</f>
        <v>80689.25</v>
      </c>
      <c r="K154" s="10">
        <f>+'A) Base RI'!I154</f>
        <v>0</v>
      </c>
      <c r="L154" s="10">
        <f>+'A) Base RI'!J154</f>
        <v>44967.199999999997</v>
      </c>
      <c r="M154" s="10">
        <f>+'A) Base RI'!K154</f>
        <v>21819.599999999999</v>
      </c>
      <c r="N154" s="10">
        <f>+'A) Base RI'!Q154</f>
        <v>0</v>
      </c>
      <c r="O154" s="10">
        <f t="shared" si="13"/>
        <v>145294.125</v>
      </c>
      <c r="P154" s="10">
        <f>+'A) Base RI'!L154</f>
        <v>116235.3</v>
      </c>
      <c r="Q154" s="35">
        <f>'A) Base RI'!AR154</f>
        <v>0.8</v>
      </c>
      <c r="R154" s="2">
        <f t="shared" si="14"/>
        <v>1490381.3150000004</v>
      </c>
      <c r="S154" s="34">
        <f>+'A) Base RI'!AM154</f>
        <v>56</v>
      </c>
      <c r="T154" s="2">
        <f t="shared" si="15"/>
        <v>1323267.5900000003</v>
      </c>
      <c r="U154" s="2">
        <f t="shared" si="16"/>
        <v>26613.952053571436</v>
      </c>
      <c r="V154" s="10">
        <f>+'A) Base RI'!O154</f>
        <v>27329</v>
      </c>
      <c r="W154" s="10">
        <f>+'A) Base RI'!P154</f>
        <v>44370.8</v>
      </c>
      <c r="X154" s="10">
        <f>+'A) Base RI'!R154</f>
        <v>46970.5</v>
      </c>
      <c r="Y154" s="2">
        <f t="shared" si="17"/>
        <v>118670.3</v>
      </c>
      <c r="Z154" s="10">
        <f>+'A) Base RI'!N154</f>
        <v>48717.45</v>
      </c>
      <c r="AA154" s="10">
        <f>+'A) Base RI'!S154+'A) Base RI'!T154</f>
        <v>75</v>
      </c>
      <c r="AB154" s="10">
        <f>+'A) Base RI'!U154</f>
        <v>950</v>
      </c>
      <c r="AC154" s="10">
        <f>+'A) Base RI'!V154</f>
        <v>0</v>
      </c>
      <c r="AD154" s="10">
        <f>+'A) Base RI'!W154</f>
        <v>0</v>
      </c>
      <c r="AE154" s="10">
        <f>+'A) Base RI'!Y154</f>
        <v>-6506.55</v>
      </c>
      <c r="AF154" s="10">
        <f>+'A) Base RI'!Z154</f>
        <v>0</v>
      </c>
      <c r="AG154" s="10">
        <f>+'A) Base RI'!AA154</f>
        <v>113082.85</v>
      </c>
      <c r="AH154" s="10">
        <f>+'A) Base RI'!AB154</f>
        <v>0</v>
      </c>
      <c r="AI154" s="10">
        <f>+'A) Base RI'!AC154</f>
        <v>54057.7</v>
      </c>
      <c r="AJ154" s="10">
        <f>+'A) Base RI'!AD154</f>
        <v>7200</v>
      </c>
      <c r="AK154" s="10">
        <f>+'A) Base RI'!AE154</f>
        <v>0</v>
      </c>
      <c r="AL154" s="10">
        <f>+'A) Base RI'!AF154</f>
        <v>0</v>
      </c>
      <c r="AM154" s="10">
        <f>+'A) Base RI'!AG154</f>
        <v>0</v>
      </c>
      <c r="AN154" s="10">
        <f>+'A) Base RI'!AH154</f>
        <v>28367.95</v>
      </c>
      <c r="AO154" s="10">
        <f>+'A) Base RI'!AI154</f>
        <v>0</v>
      </c>
      <c r="AP154" s="10">
        <f>+'A) Base RI'!AJ154</f>
        <v>0</v>
      </c>
      <c r="AQ154" s="10">
        <f>+'A) Base RI'!AK154</f>
        <v>0</v>
      </c>
      <c r="AR154" s="10">
        <f>'A) Base RI'!AN154</f>
        <v>458</v>
      </c>
    </row>
    <row r="155" spans="1:44" x14ac:dyDescent="0.25">
      <c r="A155" s="8">
        <f>'A) Base RI'!A155</f>
        <v>5646</v>
      </c>
      <c r="B155" s="33" t="str">
        <f>'A) Base RI'!B155</f>
        <v>Saint-Prex</v>
      </c>
      <c r="C155" s="10">
        <f>'A) Base RI'!C155+'A) Base RI'!D155</f>
        <v>14944412.869999999</v>
      </c>
      <c r="D155" s="10">
        <f>'A) Base RI'!AO155</f>
        <v>-216268.95</v>
      </c>
      <c r="E155" s="32">
        <f>'A) Base RI'!AP155</f>
        <v>0</v>
      </c>
      <c r="F155" s="32">
        <f>'A) Base RI'!AQ155</f>
        <v>-10697.82</v>
      </c>
      <c r="G155" s="2">
        <f t="shared" si="12"/>
        <v>14717446.1</v>
      </c>
      <c r="H155" s="10">
        <f>+'A) Base RI'!E155</f>
        <v>0</v>
      </c>
      <c r="I155" s="10">
        <f>+'A) Base RI'!F155</f>
        <v>0</v>
      </c>
      <c r="J155" s="10">
        <f>+'A) Base RI'!G155+'A) Base RI'!H155</f>
        <v>9858816.1500000004</v>
      </c>
      <c r="K155" s="10">
        <f>+'A) Base RI'!I155</f>
        <v>903162.14</v>
      </c>
      <c r="L155" s="10">
        <f>+'A) Base RI'!J155</f>
        <v>546212.4</v>
      </c>
      <c r="M155" s="10">
        <f>+'A) Base RI'!K155</f>
        <v>156565.54999999999</v>
      </c>
      <c r="N155" s="10">
        <f>+'A) Base RI'!Q155</f>
        <v>18240.03</v>
      </c>
      <c r="O155" s="10">
        <f t="shared" si="13"/>
        <v>1569202.3</v>
      </c>
      <c r="P155" s="10">
        <f>+'A) Base RI'!L155</f>
        <v>1569202.3</v>
      </c>
      <c r="Q155" s="35">
        <f>'A) Base RI'!AR155</f>
        <v>1</v>
      </c>
      <c r="R155" s="2">
        <f t="shared" si="14"/>
        <v>27769644.670000002</v>
      </c>
      <c r="S155" s="34">
        <f>+'A) Base RI'!AM155</f>
        <v>55</v>
      </c>
      <c r="T155" s="2">
        <f t="shared" si="15"/>
        <v>26043876.82</v>
      </c>
      <c r="U155" s="2">
        <f t="shared" si="16"/>
        <v>504902.63036363642</v>
      </c>
      <c r="V155" s="10">
        <f>+'A) Base RI'!O155</f>
        <v>317865.90000000002</v>
      </c>
      <c r="W155" s="10">
        <f>+'A) Base RI'!P155</f>
        <v>799728.8</v>
      </c>
      <c r="X155" s="10">
        <f>+'A) Base RI'!R155</f>
        <v>223156.6</v>
      </c>
      <c r="Y155" s="2">
        <f t="shared" si="17"/>
        <v>1340751.3000000003</v>
      </c>
      <c r="Z155" s="10">
        <f>+'A) Base RI'!N155</f>
        <v>621335.85</v>
      </c>
      <c r="AA155" s="10">
        <f>+'A) Base RI'!S155+'A) Base RI'!T155</f>
        <v>21608.9</v>
      </c>
      <c r="AB155" s="10">
        <f>+'A) Base RI'!U155</f>
        <v>47700</v>
      </c>
      <c r="AC155" s="10">
        <f>+'A) Base RI'!V155</f>
        <v>294</v>
      </c>
      <c r="AD155" s="10">
        <f>+'A) Base RI'!W155</f>
        <v>0</v>
      </c>
      <c r="AE155" s="10">
        <f>+'A) Base RI'!Y155</f>
        <v>199019.75</v>
      </c>
      <c r="AF155" s="10">
        <f>+'A) Base RI'!Z155</f>
        <v>0</v>
      </c>
      <c r="AG155" s="10">
        <f>+'A) Base RI'!AA155</f>
        <v>896181.64</v>
      </c>
      <c r="AH155" s="10">
        <f>+'A) Base RI'!AB155</f>
        <v>0</v>
      </c>
      <c r="AI155" s="10">
        <f>+'A) Base RI'!AC155</f>
        <v>500035.85</v>
      </c>
      <c r="AJ155" s="10">
        <f>+'A) Base RI'!AD155</f>
        <v>122700.65</v>
      </c>
      <c r="AK155" s="10">
        <f>+'A) Base RI'!AE155</f>
        <v>0</v>
      </c>
      <c r="AL155" s="10">
        <f>+'A) Base RI'!AF155</f>
        <v>0</v>
      </c>
      <c r="AM155" s="10">
        <f>+'A) Base RI'!AG155</f>
        <v>0</v>
      </c>
      <c r="AN155" s="10">
        <f>+'A) Base RI'!AH155</f>
        <v>0</v>
      </c>
      <c r="AO155" s="10">
        <f>+'A) Base RI'!AI155</f>
        <v>0</v>
      </c>
      <c r="AP155" s="10">
        <f>+'A) Base RI'!AJ155</f>
        <v>0</v>
      </c>
      <c r="AQ155" s="10">
        <f>+'A) Base RI'!AK155</f>
        <v>0</v>
      </c>
      <c r="AR155" s="10">
        <f>'A) Base RI'!AN155</f>
        <v>5684</v>
      </c>
    </row>
    <row r="156" spans="1:44" x14ac:dyDescent="0.25">
      <c r="A156" s="8">
        <f>'A) Base RI'!A156</f>
        <v>5648</v>
      </c>
      <c r="B156" s="33" t="str">
        <f>'A) Base RI'!B156</f>
        <v>Saint-Sulpice</v>
      </c>
      <c r="C156" s="10">
        <f>'A) Base RI'!C156+'A) Base RI'!D156</f>
        <v>11914532.52</v>
      </c>
      <c r="D156" s="10">
        <f>'A) Base RI'!AO156</f>
        <v>-71840.14</v>
      </c>
      <c r="E156" s="32">
        <f>'A) Base RI'!AP156</f>
        <v>0</v>
      </c>
      <c r="F156" s="32">
        <f>'A) Base RI'!AQ156</f>
        <v>-12775.6</v>
      </c>
      <c r="G156" s="2">
        <f t="shared" si="12"/>
        <v>11829916.779999999</v>
      </c>
      <c r="H156" s="10">
        <f>+'A) Base RI'!E156</f>
        <v>0</v>
      </c>
      <c r="I156" s="10">
        <f>+'A) Base RI'!F156</f>
        <v>0</v>
      </c>
      <c r="J156" s="10">
        <f>+'A) Base RI'!G156+'A) Base RI'!H156</f>
        <v>636857.75</v>
      </c>
      <c r="K156" s="10">
        <f>+'A) Base RI'!I156</f>
        <v>577106.03</v>
      </c>
      <c r="L156" s="10">
        <f>+'A) Base RI'!J156</f>
        <v>634696.84</v>
      </c>
      <c r="M156" s="10">
        <f>+'A) Base RI'!K156</f>
        <v>155548.4</v>
      </c>
      <c r="N156" s="10">
        <f>+'A) Base RI'!Q156</f>
        <v>42296.68</v>
      </c>
      <c r="O156" s="10">
        <f t="shared" si="13"/>
        <v>1264265.0874999999</v>
      </c>
      <c r="P156" s="10">
        <f>+'A) Base RI'!L156</f>
        <v>1011412.07</v>
      </c>
      <c r="Q156" s="35">
        <f>'A) Base RI'!AR156</f>
        <v>0.8</v>
      </c>
      <c r="R156" s="2">
        <f t="shared" si="14"/>
        <v>15140687.567499999</v>
      </c>
      <c r="S156" s="34">
        <f>+'A) Base RI'!AM156</f>
        <v>55</v>
      </c>
      <c r="T156" s="2">
        <f t="shared" si="15"/>
        <v>13720874.079999998</v>
      </c>
      <c r="U156" s="2">
        <f t="shared" si="16"/>
        <v>275285.22849999997</v>
      </c>
      <c r="V156" s="10">
        <f>+'A) Base RI'!O156</f>
        <v>265387.5</v>
      </c>
      <c r="W156" s="10">
        <f>+'A) Base RI'!P156</f>
        <v>1457862.3</v>
      </c>
      <c r="X156" s="10">
        <f>+'A) Base RI'!R156</f>
        <v>943815.5</v>
      </c>
      <c r="Y156" s="2">
        <f t="shared" si="17"/>
        <v>2667065.2999999998</v>
      </c>
      <c r="Z156" s="10">
        <f>+'A) Base RI'!N156</f>
        <v>62390.35</v>
      </c>
      <c r="AA156" s="10">
        <f>+'A) Base RI'!S156+'A) Base RI'!T156</f>
        <v>805.6</v>
      </c>
      <c r="AB156" s="10">
        <f>+'A) Base RI'!U156</f>
        <v>20350</v>
      </c>
      <c r="AC156" s="10">
        <f>+'A) Base RI'!V156</f>
        <v>0</v>
      </c>
      <c r="AD156" s="10">
        <f>+'A) Base RI'!W156</f>
        <v>0</v>
      </c>
      <c r="AE156" s="10">
        <f>+'A) Base RI'!Y156</f>
        <v>238139.07</v>
      </c>
      <c r="AF156" s="10" t="str">
        <f>+'A) Base RI'!Z156</f>
        <v/>
      </c>
      <c r="AG156" s="10">
        <f>+'A) Base RI'!AA156</f>
        <v>1039372.21</v>
      </c>
      <c r="AH156" s="10" t="str">
        <f>+'A) Base RI'!AB156</f>
        <v/>
      </c>
      <c r="AI156" s="10">
        <f>+'A) Base RI'!AC156</f>
        <v>320724.18</v>
      </c>
      <c r="AJ156" s="10" t="str">
        <f>+'A) Base RI'!AD156</f>
        <v/>
      </c>
      <c r="AK156" s="10" t="str">
        <f>+'A) Base RI'!AE156</f>
        <v/>
      </c>
      <c r="AL156" s="10" t="str">
        <f>+'A) Base RI'!AF156</f>
        <v/>
      </c>
      <c r="AM156" s="10">
        <f>+'A) Base RI'!AG156</f>
        <v>263032.8</v>
      </c>
      <c r="AN156" s="10">
        <f>+'A) Base RI'!AH156</f>
        <v>146119.14000000001</v>
      </c>
      <c r="AO156" s="10">
        <f>+'A) Base RI'!AI156</f>
        <v>0</v>
      </c>
      <c r="AP156" s="10">
        <f>+'A) Base RI'!AJ156</f>
        <v>0</v>
      </c>
      <c r="AQ156" s="10">
        <f>+'A) Base RI'!AK156</f>
        <v>0</v>
      </c>
      <c r="AR156" s="10">
        <f>'A) Base RI'!AN156</f>
        <v>4669</v>
      </c>
    </row>
    <row r="157" spans="1:44" x14ac:dyDescent="0.25">
      <c r="A157" s="8">
        <f>'A) Base RI'!A157</f>
        <v>5649</v>
      </c>
      <c r="B157" s="33" t="str">
        <f>'A) Base RI'!B157</f>
        <v>Tolochenaz</v>
      </c>
      <c r="C157" s="10">
        <f>'A) Base RI'!C157+'A) Base RI'!D157</f>
        <v>4200937.1399999997</v>
      </c>
      <c r="D157" s="10">
        <f>'A) Base RI'!AO157</f>
        <v>-71064.91</v>
      </c>
      <c r="E157" s="32">
        <f>'A) Base RI'!AP157</f>
        <v>0</v>
      </c>
      <c r="F157" s="32">
        <f>'A) Base RI'!AQ157</f>
        <v>-1186.93</v>
      </c>
      <c r="G157" s="2">
        <f t="shared" si="12"/>
        <v>4128685.2999999993</v>
      </c>
      <c r="H157" s="10">
        <f>+'A) Base RI'!E157</f>
        <v>0</v>
      </c>
      <c r="I157" s="10">
        <f>+'A) Base RI'!F157</f>
        <v>0</v>
      </c>
      <c r="J157" s="10">
        <f>+'A) Base RI'!G157+'A) Base RI'!H157</f>
        <v>3384872.25</v>
      </c>
      <c r="K157" s="10">
        <f>+'A) Base RI'!I157</f>
        <v>116030.65</v>
      </c>
      <c r="L157" s="10">
        <f>+'A) Base RI'!J157</f>
        <v>495024.2</v>
      </c>
      <c r="M157" s="10">
        <f>+'A) Base RI'!K157</f>
        <v>56402.1</v>
      </c>
      <c r="N157" s="10">
        <f>+'A) Base RI'!Q157</f>
        <v>11994.64</v>
      </c>
      <c r="O157" s="10">
        <f t="shared" si="13"/>
        <v>545028.69999999995</v>
      </c>
      <c r="P157" s="10">
        <f>+'A) Base RI'!L157</f>
        <v>545028.69999999995</v>
      </c>
      <c r="Q157" s="35">
        <f>'A) Base RI'!AR157</f>
        <v>1</v>
      </c>
      <c r="R157" s="2">
        <f t="shared" si="14"/>
        <v>8738037.839999998</v>
      </c>
      <c r="S157" s="34">
        <f>+'A) Base RI'!AM157</f>
        <v>65</v>
      </c>
      <c r="T157" s="2">
        <f t="shared" si="15"/>
        <v>8136607.0399999991</v>
      </c>
      <c r="U157" s="2">
        <f t="shared" si="16"/>
        <v>134431.35138461535</v>
      </c>
      <c r="V157" s="10">
        <f>+'A) Base RI'!O157</f>
        <v>26312.1</v>
      </c>
      <c r="W157" s="10">
        <f>+'A) Base RI'!P157</f>
        <v>52481</v>
      </c>
      <c r="X157" s="10">
        <f>+'A) Base RI'!R157</f>
        <v>59017.55</v>
      </c>
      <c r="Y157" s="2">
        <f t="shared" si="17"/>
        <v>137810.65000000002</v>
      </c>
      <c r="Z157" s="10">
        <f>+'A) Base RI'!N157</f>
        <v>294828.34999999998</v>
      </c>
      <c r="AA157" s="10">
        <f>+'A) Base RI'!S157+'A) Base RI'!T157</f>
        <v>2518.35</v>
      </c>
      <c r="AB157" s="10">
        <f>+'A) Base RI'!U157</f>
        <v>3840</v>
      </c>
      <c r="AC157" s="10">
        <f>+'A) Base RI'!V157</f>
        <v>0</v>
      </c>
      <c r="AD157" s="10">
        <f>+'A) Base RI'!W157</f>
        <v>0</v>
      </c>
      <c r="AE157" s="10">
        <f>+'A) Base RI'!Y157</f>
        <v>93188.3</v>
      </c>
      <c r="AF157" s="10">
        <f>+'A) Base RI'!Z157</f>
        <v>0</v>
      </c>
      <c r="AG157" s="10">
        <f>+'A) Base RI'!AA157</f>
        <v>477611.15</v>
      </c>
      <c r="AH157" s="10">
        <f>+'A) Base RI'!AB157</f>
        <v>0</v>
      </c>
      <c r="AI157" s="10">
        <f>+'A) Base RI'!AC157</f>
        <v>101000.3</v>
      </c>
      <c r="AJ157" s="10">
        <f>+'A) Base RI'!AD157</f>
        <v>0</v>
      </c>
      <c r="AK157" s="10">
        <f>+'A) Base RI'!AE157</f>
        <v>0</v>
      </c>
      <c r="AL157" s="10">
        <f>+'A) Base RI'!AF157</f>
        <v>0</v>
      </c>
      <c r="AM157" s="10">
        <f>+'A) Base RI'!AG157</f>
        <v>0</v>
      </c>
      <c r="AN157" s="10">
        <f>+'A) Base RI'!AH157</f>
        <v>128780.55</v>
      </c>
      <c r="AO157" s="10">
        <f>+'A) Base RI'!AI157</f>
        <v>0</v>
      </c>
      <c r="AP157" s="10">
        <f>+'A) Base RI'!AJ157</f>
        <v>0</v>
      </c>
      <c r="AQ157" s="10">
        <f>+'A) Base RI'!AK157</f>
        <v>0</v>
      </c>
      <c r="AR157" s="10">
        <f>'A) Base RI'!AN157</f>
        <v>1933</v>
      </c>
    </row>
    <row r="158" spans="1:44" x14ac:dyDescent="0.25">
      <c r="A158" s="8">
        <f>'A) Base RI'!A158</f>
        <v>5650</v>
      </c>
      <c r="B158" s="33" t="str">
        <f>'A) Base RI'!B158</f>
        <v>Vaux-sur-Morges</v>
      </c>
      <c r="C158" s="10">
        <f>'A) Base RI'!C158+'A) Base RI'!D158</f>
        <v>10322884.359999999</v>
      </c>
      <c r="D158" s="10">
        <f>'A) Base RI'!AO158</f>
        <v>-8.42</v>
      </c>
      <c r="E158" s="32">
        <f>'A) Base RI'!AP158</f>
        <v>0</v>
      </c>
      <c r="F158" s="32">
        <f>'A) Base RI'!AQ158</f>
        <v>0</v>
      </c>
      <c r="G158" s="2">
        <f t="shared" si="12"/>
        <v>10322875.939999999</v>
      </c>
      <c r="H158" s="10">
        <f>+'A) Base RI'!E158</f>
        <v>0</v>
      </c>
      <c r="I158" s="10">
        <f>+'A) Base RI'!F158</f>
        <v>0</v>
      </c>
      <c r="J158" s="10">
        <f>+'A) Base RI'!G158+'A) Base RI'!H158</f>
        <v>-980.34999999999991</v>
      </c>
      <c r="K158" s="10">
        <f>+'A) Base RI'!I158</f>
        <v>0</v>
      </c>
      <c r="L158" s="10">
        <f>+'A) Base RI'!J158</f>
        <v>-1889.68</v>
      </c>
      <c r="M158" s="10">
        <f>+'A) Base RI'!K158</f>
        <v>0</v>
      </c>
      <c r="N158" s="10">
        <f>+'A) Base RI'!Q158</f>
        <v>0</v>
      </c>
      <c r="O158" s="10">
        <f t="shared" si="13"/>
        <v>44226.96</v>
      </c>
      <c r="P158" s="10">
        <f>+'A) Base RI'!L158</f>
        <v>55283.7</v>
      </c>
      <c r="Q158" s="35">
        <f>'A) Base RI'!AR158</f>
        <v>1.25</v>
      </c>
      <c r="R158" s="2">
        <f t="shared" si="14"/>
        <v>10364232.870000001</v>
      </c>
      <c r="S158" s="34">
        <f>+'A) Base RI'!AM158</f>
        <v>56</v>
      </c>
      <c r="T158" s="2">
        <f t="shared" si="15"/>
        <v>10320005.91</v>
      </c>
      <c r="U158" s="2">
        <f t="shared" si="16"/>
        <v>185075.58696428573</v>
      </c>
      <c r="V158" s="10">
        <f>+'A) Base RI'!O158</f>
        <v>0</v>
      </c>
      <c r="W158" s="10">
        <f>+'A) Base RI'!P158</f>
        <v>0</v>
      </c>
      <c r="X158" s="10">
        <f>+'A) Base RI'!R158</f>
        <v>0</v>
      </c>
      <c r="Y158" s="2">
        <f t="shared" si="17"/>
        <v>0</v>
      </c>
      <c r="Z158" s="10">
        <f>+'A) Base RI'!N158</f>
        <v>0</v>
      </c>
      <c r="AA158" s="10">
        <f>+'A) Base RI'!S158+'A) Base RI'!T158</f>
        <v>0</v>
      </c>
      <c r="AB158" s="10">
        <f>+'A) Base RI'!U158</f>
        <v>390</v>
      </c>
      <c r="AC158" s="10">
        <f>+'A) Base RI'!V158</f>
        <v>0</v>
      </c>
      <c r="AD158" s="10">
        <f>+'A) Base RI'!W158</f>
        <v>0</v>
      </c>
      <c r="AE158" s="10">
        <f>+'A) Base RI'!Y158</f>
        <v>0</v>
      </c>
      <c r="AF158" s="10">
        <f>+'A) Base RI'!Z158</f>
        <v>0</v>
      </c>
      <c r="AG158" s="10">
        <f>+'A) Base RI'!AA158</f>
        <v>25544.95</v>
      </c>
      <c r="AH158" s="10">
        <f>+'A) Base RI'!AB158</f>
        <v>0</v>
      </c>
      <c r="AI158" s="10">
        <f>+'A) Base RI'!AC158</f>
        <v>25761.95</v>
      </c>
      <c r="AJ158" s="10">
        <f>+'A) Base RI'!AD158</f>
        <v>0</v>
      </c>
      <c r="AK158" s="10">
        <f>+'A) Base RI'!AE158</f>
        <v>0</v>
      </c>
      <c r="AL158" s="10">
        <f>+'A) Base RI'!AF158</f>
        <v>0</v>
      </c>
      <c r="AM158" s="10">
        <f>+'A) Base RI'!AG158</f>
        <v>0</v>
      </c>
      <c r="AN158" s="10">
        <f>+'A) Base RI'!AH158</f>
        <v>0</v>
      </c>
      <c r="AO158" s="10">
        <f>+'A) Base RI'!AI158</f>
        <v>0</v>
      </c>
      <c r="AP158" s="10">
        <f>+'A) Base RI'!AJ158</f>
        <v>0</v>
      </c>
      <c r="AQ158" s="10">
        <f>+'A) Base RI'!AK158</f>
        <v>0</v>
      </c>
      <c r="AR158" s="10">
        <f>'A) Base RI'!AN158</f>
        <v>184</v>
      </c>
    </row>
    <row r="159" spans="1:44" x14ac:dyDescent="0.25">
      <c r="A159" s="8">
        <f>'A) Base RI'!A159</f>
        <v>5651</v>
      </c>
      <c r="B159" s="33" t="str">
        <f>'A) Base RI'!B159</f>
        <v>Villars-Sainte-Croix</v>
      </c>
      <c r="C159" s="10">
        <f>'A) Base RI'!C159+'A) Base RI'!D159</f>
        <v>2114561.88</v>
      </c>
      <c r="D159" s="10">
        <f>'A) Base RI'!AO159</f>
        <v>-10667.7</v>
      </c>
      <c r="E159" s="32">
        <f>'A) Base RI'!AP159</f>
        <v>0</v>
      </c>
      <c r="F159" s="32">
        <f>'A) Base RI'!AQ159</f>
        <v>-16582.86</v>
      </c>
      <c r="G159" s="2">
        <f t="shared" si="12"/>
        <v>2087311.3199999996</v>
      </c>
      <c r="H159" s="10">
        <f>+'A) Base RI'!E159</f>
        <v>0</v>
      </c>
      <c r="I159" s="10">
        <f>+'A) Base RI'!F159</f>
        <v>0</v>
      </c>
      <c r="J159" s="10">
        <f>+'A) Base RI'!G159+'A) Base RI'!H159</f>
        <v>958872.57000000007</v>
      </c>
      <c r="K159" s="10">
        <f>+'A) Base RI'!I159</f>
        <v>0</v>
      </c>
      <c r="L159" s="10">
        <f>+'A) Base RI'!J159</f>
        <v>27034.76</v>
      </c>
      <c r="M159" s="10">
        <f>+'A) Base RI'!K159</f>
        <v>29874.55</v>
      </c>
      <c r="N159" s="10">
        <f>+'A) Base RI'!Q159</f>
        <v>4337.47</v>
      </c>
      <c r="O159" s="10">
        <f t="shared" si="13"/>
        <v>320004.59999999998</v>
      </c>
      <c r="P159" s="10">
        <f>+'A) Base RI'!L159</f>
        <v>320004.59999999998</v>
      </c>
      <c r="Q159" s="35">
        <f>'A) Base RI'!AR159</f>
        <v>1</v>
      </c>
      <c r="R159" s="2">
        <f t="shared" si="14"/>
        <v>3427435.2699999996</v>
      </c>
      <c r="S159" s="34">
        <f>+'A) Base RI'!AM159</f>
        <v>59</v>
      </c>
      <c r="T159" s="2">
        <f t="shared" si="15"/>
        <v>3077556.1199999996</v>
      </c>
      <c r="U159" s="2">
        <f t="shared" si="16"/>
        <v>58092.123220338974</v>
      </c>
      <c r="V159" s="10">
        <f>+'A) Base RI'!O159</f>
        <v>0</v>
      </c>
      <c r="W159" s="10">
        <f>+'A) Base RI'!P159</f>
        <v>142166.79999999999</v>
      </c>
      <c r="X159" s="10">
        <f>+'A) Base RI'!R159</f>
        <v>17121.8</v>
      </c>
      <c r="Y159" s="2">
        <f t="shared" si="17"/>
        <v>159288.59999999998</v>
      </c>
      <c r="Z159" s="10">
        <f>+'A) Base RI'!N159</f>
        <v>167054.35</v>
      </c>
      <c r="AA159" s="10">
        <f>+'A) Base RI'!S159+'A) Base RI'!T159</f>
        <v>0</v>
      </c>
      <c r="AB159" s="10">
        <f>+'A) Base RI'!U159</f>
        <v>4520</v>
      </c>
      <c r="AC159" s="10">
        <f>+'A) Base RI'!V159</f>
        <v>0</v>
      </c>
      <c r="AD159" s="10">
        <f>+'A) Base RI'!W159</f>
        <v>197.25</v>
      </c>
      <c r="AE159" s="10">
        <f>+'A) Base RI'!Y159</f>
        <v>5912.4</v>
      </c>
      <c r="AF159" s="10">
        <f>+'A) Base RI'!Z159</f>
        <v>0</v>
      </c>
      <c r="AG159" s="10">
        <f>+'A) Base RI'!AA159</f>
        <v>110403.55</v>
      </c>
      <c r="AH159" s="10">
        <f>+'A) Base RI'!AB159</f>
        <v>0</v>
      </c>
      <c r="AI159" s="10">
        <f>+'A) Base RI'!AC159</f>
        <v>106237.5</v>
      </c>
      <c r="AJ159" s="10">
        <f>+'A) Base RI'!AD159</f>
        <v>5002.8</v>
      </c>
      <c r="AK159" s="10">
        <f>+'A) Base RI'!AE159</f>
        <v>0</v>
      </c>
      <c r="AL159" s="10">
        <f>+'A) Base RI'!AF159</f>
        <v>0</v>
      </c>
      <c r="AM159" s="10">
        <f>+'A) Base RI'!AG159</f>
        <v>0</v>
      </c>
      <c r="AN159" s="10">
        <f>+'A) Base RI'!AH159</f>
        <v>0</v>
      </c>
      <c r="AO159" s="10">
        <f>+'A) Base RI'!AI159</f>
        <v>0</v>
      </c>
      <c r="AP159" s="10">
        <f>+'A) Base RI'!AJ159</f>
        <v>0</v>
      </c>
      <c r="AQ159" s="10">
        <f>+'A) Base RI'!AK159</f>
        <v>0</v>
      </c>
      <c r="AR159" s="10">
        <f>'A) Base RI'!AN159</f>
        <v>963</v>
      </c>
    </row>
    <row r="160" spans="1:44" x14ac:dyDescent="0.25">
      <c r="A160" s="8">
        <f>'A) Base RI'!A160</f>
        <v>5652</v>
      </c>
      <c r="B160" s="33" t="str">
        <f>'A) Base RI'!B160</f>
        <v>Villars-sous-Yens</v>
      </c>
      <c r="C160" s="10">
        <f>'A) Base RI'!C160+'A) Base RI'!D160</f>
        <v>2134251.1399999997</v>
      </c>
      <c r="D160" s="10">
        <f>'A) Base RI'!AO160</f>
        <v>-68099.990000000005</v>
      </c>
      <c r="E160" s="32">
        <f>'A) Base RI'!AP160</f>
        <v>0</v>
      </c>
      <c r="F160" s="32">
        <f>'A) Base RI'!AQ160</f>
        <v>-39.74</v>
      </c>
      <c r="G160" s="2">
        <f t="shared" si="12"/>
        <v>2066111.4099999997</v>
      </c>
      <c r="H160" s="10">
        <f>+'A) Base RI'!E160</f>
        <v>0</v>
      </c>
      <c r="I160" s="10">
        <f>+'A) Base RI'!F160</f>
        <v>0</v>
      </c>
      <c r="J160" s="10">
        <f>+'A) Base RI'!G160+'A) Base RI'!H160</f>
        <v>22775.45</v>
      </c>
      <c r="K160" s="10">
        <f>+'A) Base RI'!I160</f>
        <v>0</v>
      </c>
      <c r="L160" s="10">
        <f>+'A) Base RI'!J160</f>
        <v>66078.8</v>
      </c>
      <c r="M160" s="10">
        <f>+'A) Base RI'!K160</f>
        <v>868.15</v>
      </c>
      <c r="N160" s="10">
        <f>+'A) Base RI'!Q160</f>
        <v>60.87</v>
      </c>
      <c r="O160" s="10">
        <f t="shared" si="13"/>
        <v>108977.45833333333</v>
      </c>
      <c r="P160" s="10">
        <f>+'A) Base RI'!L160</f>
        <v>130772.95</v>
      </c>
      <c r="Q160" s="35">
        <f>'A) Base RI'!AR160</f>
        <v>1.2</v>
      </c>
      <c r="R160" s="2">
        <f t="shared" si="14"/>
        <v>2264872.1383333332</v>
      </c>
      <c r="S160" s="34">
        <f>+'A) Base RI'!AM160</f>
        <v>76</v>
      </c>
      <c r="T160" s="2">
        <f t="shared" si="15"/>
        <v>2155026.5299999998</v>
      </c>
      <c r="U160" s="2">
        <f t="shared" si="16"/>
        <v>29800.949188596489</v>
      </c>
      <c r="V160" s="10">
        <f>+'A) Base RI'!O160</f>
        <v>816.2</v>
      </c>
      <c r="W160" s="10">
        <f>+'A) Base RI'!P160</f>
        <v>24764.3</v>
      </c>
      <c r="X160" s="10">
        <f>+'A) Base RI'!R160</f>
        <v>32742.95</v>
      </c>
      <c r="Y160" s="2">
        <f t="shared" si="17"/>
        <v>58323.45</v>
      </c>
      <c r="Z160" s="10">
        <f>+'A) Base RI'!N160</f>
        <v>8597.2999999999993</v>
      </c>
      <c r="AA160" s="10">
        <f>+'A) Base RI'!S160+'A) Base RI'!T160</f>
        <v>522.20000000000005</v>
      </c>
      <c r="AB160" s="10">
        <f>+'A) Base RI'!U160</f>
        <v>4250</v>
      </c>
      <c r="AC160" s="10">
        <f>+'A) Base RI'!V160</f>
        <v>0</v>
      </c>
      <c r="AD160" s="10">
        <f>+'A) Base RI'!W160</f>
        <v>0</v>
      </c>
      <c r="AE160" s="10">
        <f>+'A) Base RI'!Y160</f>
        <v>2497.8000000000002</v>
      </c>
      <c r="AF160" s="10">
        <f>+'A) Base RI'!Z160</f>
        <v>0</v>
      </c>
      <c r="AG160" s="10">
        <f>+'A) Base RI'!AA160</f>
        <v>79575.100000000006</v>
      </c>
      <c r="AH160" s="10">
        <f>+'A) Base RI'!AB160</f>
        <v>0</v>
      </c>
      <c r="AI160" s="10">
        <f>+'A) Base RI'!AC160</f>
        <v>38095.300000000003</v>
      </c>
      <c r="AJ160" s="10">
        <f>+'A) Base RI'!AD160</f>
        <v>0</v>
      </c>
      <c r="AK160" s="10">
        <f>+'A) Base RI'!AE160</f>
        <v>0</v>
      </c>
      <c r="AL160" s="10">
        <f>+'A) Base RI'!AF160</f>
        <v>0</v>
      </c>
      <c r="AM160" s="10">
        <f>+'A) Base RI'!AG160</f>
        <v>0</v>
      </c>
      <c r="AN160" s="10">
        <f>+'A) Base RI'!AH160</f>
        <v>0</v>
      </c>
      <c r="AO160" s="10">
        <f>+'A) Base RI'!AI160</f>
        <v>0</v>
      </c>
      <c r="AP160" s="10">
        <f>+'A) Base RI'!AJ160</f>
        <v>0</v>
      </c>
      <c r="AQ160" s="10">
        <f>+'A) Base RI'!AK160</f>
        <v>0</v>
      </c>
      <c r="AR160" s="10">
        <f>'A) Base RI'!AN160</f>
        <v>608</v>
      </c>
    </row>
    <row r="161" spans="1:44" x14ac:dyDescent="0.25">
      <c r="A161" s="8">
        <f>'A) Base RI'!A161</f>
        <v>5653</v>
      </c>
      <c r="B161" s="33" t="str">
        <f>'A) Base RI'!B161</f>
        <v>Vufflens-le-Château</v>
      </c>
      <c r="C161" s="10">
        <f>'A) Base RI'!C161+'A) Base RI'!D161</f>
        <v>2950245.31</v>
      </c>
      <c r="D161" s="10">
        <f>'A) Base RI'!AO161</f>
        <v>-10025.14</v>
      </c>
      <c r="E161" s="32">
        <f>'A) Base RI'!AP161</f>
        <v>0</v>
      </c>
      <c r="F161" s="32">
        <f>'A) Base RI'!AQ161</f>
        <v>-2946.12</v>
      </c>
      <c r="G161" s="2">
        <f t="shared" si="12"/>
        <v>2937274.05</v>
      </c>
      <c r="H161" s="10">
        <f>+'A) Base RI'!E161</f>
        <v>0</v>
      </c>
      <c r="I161" s="10">
        <f>+'A) Base RI'!F161</f>
        <v>0</v>
      </c>
      <c r="J161" s="10">
        <f>+'A) Base RI'!G161+'A) Base RI'!H161</f>
        <v>42499.35</v>
      </c>
      <c r="K161" s="10">
        <f>+'A) Base RI'!I161</f>
        <v>103767.35</v>
      </c>
      <c r="L161" s="10">
        <f>+'A) Base RI'!J161</f>
        <v>77296.36</v>
      </c>
      <c r="M161" s="10">
        <f>+'A) Base RI'!K161</f>
        <v>2768.5</v>
      </c>
      <c r="N161" s="10">
        <f>+'A) Base RI'!Q161</f>
        <v>0</v>
      </c>
      <c r="O161" s="10">
        <f t="shared" si="13"/>
        <v>244262</v>
      </c>
      <c r="P161" s="10">
        <f>+'A) Base RI'!L161</f>
        <v>195409.6</v>
      </c>
      <c r="Q161" s="35">
        <f>'A) Base RI'!AR161</f>
        <v>0.8</v>
      </c>
      <c r="R161" s="2">
        <f t="shared" si="14"/>
        <v>3407867.61</v>
      </c>
      <c r="S161" s="34">
        <f>+'A) Base RI'!AM161</f>
        <v>55</v>
      </c>
      <c r="T161" s="2">
        <f t="shared" si="15"/>
        <v>3160837.11</v>
      </c>
      <c r="U161" s="2">
        <f t="shared" si="16"/>
        <v>61961.229272727272</v>
      </c>
      <c r="V161" s="10">
        <f>+'A) Base RI'!O161</f>
        <v>0</v>
      </c>
      <c r="W161" s="10">
        <f>+'A) Base RI'!P161</f>
        <v>144280.29999999999</v>
      </c>
      <c r="X161" s="10">
        <f>+'A) Base RI'!R161</f>
        <v>121925.7</v>
      </c>
      <c r="Y161" s="2">
        <f t="shared" si="17"/>
        <v>266206</v>
      </c>
      <c r="Z161" s="10">
        <f>+'A) Base RI'!N161</f>
        <v>2139.1999999999998</v>
      </c>
      <c r="AA161" s="10">
        <f>+'A) Base RI'!S161+'A) Base RI'!T161</f>
        <v>0</v>
      </c>
      <c r="AB161" s="10">
        <f>+'A) Base RI'!U161</f>
        <v>6300</v>
      </c>
      <c r="AC161" s="10">
        <f>+'A) Base RI'!V161</f>
        <v>0</v>
      </c>
      <c r="AD161" s="10">
        <f>+'A) Base RI'!W161</f>
        <v>0</v>
      </c>
      <c r="AE161" s="10">
        <f>+'A) Base RI'!Y161</f>
        <v>8280</v>
      </c>
      <c r="AF161" s="10">
        <f>+'A) Base RI'!Z161</f>
        <v>0</v>
      </c>
      <c r="AG161" s="10">
        <f>+'A) Base RI'!AA161</f>
        <v>98022.2</v>
      </c>
      <c r="AH161" s="10">
        <f>+'A) Base RI'!AB161</f>
        <v>0</v>
      </c>
      <c r="AI161" s="10">
        <f>+'A) Base RI'!AC161</f>
        <v>53558.5</v>
      </c>
      <c r="AJ161" s="10">
        <f>+'A) Base RI'!AD161</f>
        <v>0</v>
      </c>
      <c r="AK161" s="10">
        <f>+'A) Base RI'!AE161</f>
        <v>0</v>
      </c>
      <c r="AL161" s="10">
        <f>+'A) Base RI'!AF161</f>
        <v>0</v>
      </c>
      <c r="AM161" s="10">
        <f>+'A) Base RI'!AG161</f>
        <v>0</v>
      </c>
      <c r="AN161" s="10">
        <f>+'A) Base RI'!AH161</f>
        <v>0</v>
      </c>
      <c r="AO161" s="10">
        <f>+'A) Base RI'!AI161</f>
        <v>0</v>
      </c>
      <c r="AP161" s="10">
        <f>+'A) Base RI'!AJ161</f>
        <v>0</v>
      </c>
      <c r="AQ161" s="10">
        <f>+'A) Base RI'!AK161</f>
        <v>0</v>
      </c>
      <c r="AR161" s="10">
        <f>'A) Base RI'!AN161</f>
        <v>886</v>
      </c>
    </row>
    <row r="162" spans="1:44" x14ac:dyDescent="0.25">
      <c r="A162" s="8">
        <f>'A) Base RI'!A162</f>
        <v>5654</v>
      </c>
      <c r="B162" s="33" t="str">
        <f>'A) Base RI'!B162</f>
        <v>Vullierens</v>
      </c>
      <c r="C162" s="10">
        <f>'A) Base RI'!C162+'A) Base RI'!D162</f>
        <v>1345632.38</v>
      </c>
      <c r="D162" s="10">
        <f>'A) Base RI'!AO162</f>
        <v>-37676.75</v>
      </c>
      <c r="E162" s="32">
        <f>'A) Base RI'!AP162</f>
        <v>0</v>
      </c>
      <c r="F162" s="32">
        <f>'A) Base RI'!AQ162</f>
        <v>-589.20000000000005</v>
      </c>
      <c r="G162" s="2">
        <f t="shared" si="12"/>
        <v>1307366.43</v>
      </c>
      <c r="H162" s="10">
        <f>+'A) Base RI'!E162</f>
        <v>0</v>
      </c>
      <c r="I162" s="10">
        <f>+'A) Base RI'!F162</f>
        <v>0</v>
      </c>
      <c r="J162" s="10">
        <f>+'A) Base RI'!G162+'A) Base RI'!H162</f>
        <v>24438.199999999997</v>
      </c>
      <c r="K162" s="10">
        <f>+'A) Base RI'!I162</f>
        <v>0</v>
      </c>
      <c r="L162" s="10">
        <f>+'A) Base RI'!J162</f>
        <v>36411.07</v>
      </c>
      <c r="M162" s="10">
        <f>+'A) Base RI'!K162</f>
        <v>1512.45</v>
      </c>
      <c r="N162" s="10">
        <f>+'A) Base RI'!Q162</f>
        <v>738</v>
      </c>
      <c r="O162" s="10">
        <f t="shared" si="13"/>
        <v>94882.35</v>
      </c>
      <c r="P162" s="10">
        <f>+'A) Base RI'!L162</f>
        <v>94882.35</v>
      </c>
      <c r="Q162" s="35">
        <f>'A) Base RI'!AR162</f>
        <v>1</v>
      </c>
      <c r="R162" s="2">
        <f t="shared" si="14"/>
        <v>1465348.5</v>
      </c>
      <c r="S162" s="34">
        <f>+'A) Base RI'!AM162</f>
        <v>76</v>
      </c>
      <c r="T162" s="2">
        <f t="shared" si="15"/>
        <v>1368953.7</v>
      </c>
      <c r="U162" s="2">
        <f t="shared" si="16"/>
        <v>19280.901315789473</v>
      </c>
      <c r="V162" s="10">
        <f>+'A) Base RI'!O162</f>
        <v>0</v>
      </c>
      <c r="W162" s="10">
        <f>+'A) Base RI'!P162</f>
        <v>65928.7</v>
      </c>
      <c r="X162" s="10">
        <f>+'A) Base RI'!R162</f>
        <v>44768.5</v>
      </c>
      <c r="Y162" s="2">
        <f t="shared" si="17"/>
        <v>110697.2</v>
      </c>
      <c r="Z162" s="10">
        <f>+'A) Base RI'!N162</f>
        <v>5126</v>
      </c>
      <c r="AA162" s="10">
        <f>+'A) Base RI'!S162+'A) Base RI'!T162</f>
        <v>1508</v>
      </c>
      <c r="AB162" s="10">
        <f>+'A) Base RI'!U162</f>
        <v>4100</v>
      </c>
      <c r="AC162" s="10">
        <f>+'A) Base RI'!V162</f>
        <v>0</v>
      </c>
      <c r="AD162" s="10">
        <f>+'A) Base RI'!W162</f>
        <v>0</v>
      </c>
      <c r="AE162" s="10">
        <f>+'A) Base RI'!Y162</f>
        <v>49862.75</v>
      </c>
      <c r="AF162" s="10">
        <f>+'A) Base RI'!Z162</f>
        <v>0</v>
      </c>
      <c r="AG162" s="10">
        <f>+'A) Base RI'!AA162</f>
        <v>154315.5</v>
      </c>
      <c r="AH162" s="10">
        <f>+'A) Base RI'!AB162</f>
        <v>0</v>
      </c>
      <c r="AI162" s="10">
        <f>+'A) Base RI'!AC162</f>
        <v>25257</v>
      </c>
      <c r="AJ162" s="10">
        <f>+'A) Base RI'!AD162</f>
        <v>22000</v>
      </c>
      <c r="AK162" s="10">
        <f>+'A) Base RI'!AE162</f>
        <v>0</v>
      </c>
      <c r="AL162" s="10">
        <f>+'A) Base RI'!AF162</f>
        <v>0</v>
      </c>
      <c r="AM162" s="10">
        <f>+'A) Base RI'!AG162</f>
        <v>0</v>
      </c>
      <c r="AN162" s="10">
        <f>+'A) Base RI'!AH162</f>
        <v>13981.65</v>
      </c>
      <c r="AO162" s="10">
        <f>+'A) Base RI'!AI162</f>
        <v>0</v>
      </c>
      <c r="AP162" s="10">
        <f>+'A) Base RI'!AJ162</f>
        <v>0</v>
      </c>
      <c r="AQ162" s="10">
        <f>+'A) Base RI'!AK162</f>
        <v>0</v>
      </c>
      <c r="AR162" s="10">
        <f>'A) Base RI'!AN162</f>
        <v>507</v>
      </c>
    </row>
    <row r="163" spans="1:44" x14ac:dyDescent="0.25">
      <c r="A163" s="8">
        <f>'A) Base RI'!A163</f>
        <v>5655</v>
      </c>
      <c r="B163" s="33" t="str">
        <f>'A) Base RI'!B163</f>
        <v>Yens</v>
      </c>
      <c r="C163" s="10">
        <f>'A) Base RI'!C163+'A) Base RI'!D163</f>
        <v>5431532.8799999999</v>
      </c>
      <c r="D163" s="10">
        <f>'A) Base RI'!AO163</f>
        <v>-31610.5</v>
      </c>
      <c r="E163" s="32">
        <f>'A) Base RI'!AP163</f>
        <v>0</v>
      </c>
      <c r="F163" s="32">
        <f>'A) Base RI'!AQ163</f>
        <v>-1093.7</v>
      </c>
      <c r="G163" s="2">
        <f t="shared" si="12"/>
        <v>5398828.6799999997</v>
      </c>
      <c r="H163" s="10">
        <f>+'A) Base RI'!E163</f>
        <v>0</v>
      </c>
      <c r="I163" s="10">
        <f>+'A) Base RI'!F163</f>
        <v>0</v>
      </c>
      <c r="J163" s="10">
        <f>+'A) Base RI'!G163+'A) Base RI'!H163</f>
        <v>191058</v>
      </c>
      <c r="K163" s="10">
        <f>+'A) Base RI'!I163</f>
        <v>208884.39</v>
      </c>
      <c r="L163" s="10">
        <f>+'A) Base RI'!J163</f>
        <v>157764.98000000001</v>
      </c>
      <c r="M163" s="10">
        <f>+'A) Base RI'!K163</f>
        <v>7769.55</v>
      </c>
      <c r="N163" s="10">
        <f>+'A) Base RI'!Q163</f>
        <v>0</v>
      </c>
      <c r="O163" s="10">
        <f t="shared" si="13"/>
        <v>408069.3</v>
      </c>
      <c r="P163" s="10">
        <f>+'A) Base RI'!L163</f>
        <v>408069.3</v>
      </c>
      <c r="Q163" s="35">
        <f>'A) Base RI'!AR163</f>
        <v>1</v>
      </c>
      <c r="R163" s="2">
        <f t="shared" si="14"/>
        <v>6372374.8999999994</v>
      </c>
      <c r="S163" s="34">
        <f>+'A) Base RI'!AM163</f>
        <v>73</v>
      </c>
      <c r="T163" s="2">
        <f t="shared" si="15"/>
        <v>5956536.0499999998</v>
      </c>
      <c r="U163" s="2">
        <f t="shared" si="16"/>
        <v>87292.806849315064</v>
      </c>
      <c r="V163" s="10">
        <f>+'A) Base RI'!O163</f>
        <v>1993.1</v>
      </c>
      <c r="W163" s="10">
        <f>+'A) Base RI'!P163</f>
        <v>224493.25</v>
      </c>
      <c r="X163" s="10">
        <f>+'A) Base RI'!R163</f>
        <v>25253.25</v>
      </c>
      <c r="Y163" s="2">
        <f t="shared" si="17"/>
        <v>251739.6</v>
      </c>
      <c r="Z163" s="10">
        <f>+'A) Base RI'!N163</f>
        <v>70006.649999999994</v>
      </c>
      <c r="AA163" s="10">
        <f>+'A) Base RI'!S163+'A) Base RI'!T163</f>
        <v>1220.75</v>
      </c>
      <c r="AB163" s="10">
        <f>+'A) Base RI'!U163</f>
        <v>6960</v>
      </c>
      <c r="AC163" s="10">
        <f>+'A) Base RI'!V163</f>
        <v>1080</v>
      </c>
      <c r="AD163" s="10">
        <f>+'A) Base RI'!W163</f>
        <v>0</v>
      </c>
      <c r="AE163" s="10">
        <f>+'A) Base RI'!Y163</f>
        <v>9133.9500000000007</v>
      </c>
      <c r="AF163" s="10">
        <f>+'A) Base RI'!Z163</f>
        <v>0</v>
      </c>
      <c r="AG163" s="10">
        <f>+'A) Base RI'!AA163</f>
        <v>191646.45</v>
      </c>
      <c r="AH163" s="10">
        <f>+'A) Base RI'!AB163</f>
        <v>0</v>
      </c>
      <c r="AI163" s="10">
        <f>+'A) Base RI'!AC163</f>
        <v>72321.7</v>
      </c>
      <c r="AJ163" s="10">
        <f>+'A) Base RI'!AD163</f>
        <v>11147.65</v>
      </c>
      <c r="AK163" s="10">
        <f>+'A) Base RI'!AE163</f>
        <v>0</v>
      </c>
      <c r="AL163" s="10">
        <f>+'A) Base RI'!AF163</f>
        <v>0</v>
      </c>
      <c r="AM163" s="10">
        <f>+'A) Base RI'!AG163</f>
        <v>0</v>
      </c>
      <c r="AN163" s="10">
        <f>+'A) Base RI'!AH163</f>
        <v>0</v>
      </c>
      <c r="AO163" s="10">
        <f>+'A) Base RI'!AI163</f>
        <v>0</v>
      </c>
      <c r="AP163" s="10">
        <f>+'A) Base RI'!AJ163</f>
        <v>0</v>
      </c>
      <c r="AQ163" s="10">
        <f>+'A) Base RI'!AK163</f>
        <v>0</v>
      </c>
      <c r="AR163" s="10">
        <f>'A) Base RI'!AN163</f>
        <v>1429</v>
      </c>
    </row>
    <row r="164" spans="1:44" x14ac:dyDescent="0.25">
      <c r="A164" s="8">
        <f>'A) Base RI'!A164</f>
        <v>5661</v>
      </c>
      <c r="B164" s="33" t="str">
        <f>'A) Base RI'!B164</f>
        <v>Boulens</v>
      </c>
      <c r="C164" s="10">
        <f>'A) Base RI'!C164+'A) Base RI'!D164</f>
        <v>740615.81</v>
      </c>
      <c r="D164" s="10">
        <f>'A) Base RI'!AO164</f>
        <v>-12.77</v>
      </c>
      <c r="E164" s="32">
        <f>'A) Base RI'!AP164</f>
        <v>0</v>
      </c>
      <c r="F164" s="32">
        <f>'A) Base RI'!AQ164</f>
        <v>0</v>
      </c>
      <c r="G164" s="2">
        <f t="shared" si="12"/>
        <v>740603.04</v>
      </c>
      <c r="H164" s="10">
        <f>+'A) Base RI'!E164</f>
        <v>0</v>
      </c>
      <c r="I164" s="10">
        <f>+'A) Base RI'!F164</f>
        <v>1620</v>
      </c>
      <c r="J164" s="10">
        <f>+'A) Base RI'!G164+'A) Base RI'!H164</f>
        <v>16918.5</v>
      </c>
      <c r="K164" s="10">
        <f>+'A) Base RI'!I164</f>
        <v>0</v>
      </c>
      <c r="L164" s="10">
        <f>+'A) Base RI'!J164</f>
        <v>7790.62</v>
      </c>
      <c r="M164" s="10">
        <f>+'A) Base RI'!K164</f>
        <v>425</v>
      </c>
      <c r="N164" s="10">
        <f>+'A) Base RI'!Q164</f>
        <v>0</v>
      </c>
      <c r="O164" s="10">
        <f t="shared" si="13"/>
        <v>49469</v>
      </c>
      <c r="P164" s="10">
        <f>+'A) Base RI'!L164</f>
        <v>49469</v>
      </c>
      <c r="Q164" s="35">
        <f>'A) Base RI'!AR164</f>
        <v>1</v>
      </c>
      <c r="R164" s="2">
        <f t="shared" si="14"/>
        <v>816826.16</v>
      </c>
      <c r="S164" s="34">
        <f>+'A) Base RI'!AM164</f>
        <v>79</v>
      </c>
      <c r="T164" s="2">
        <f t="shared" si="15"/>
        <v>765312.16</v>
      </c>
      <c r="U164" s="2">
        <f t="shared" si="16"/>
        <v>10339.57164556962</v>
      </c>
      <c r="V164" s="10">
        <f>+'A) Base RI'!O164</f>
        <v>429</v>
      </c>
      <c r="W164" s="10">
        <f>+'A) Base RI'!P164</f>
        <v>10428</v>
      </c>
      <c r="X164" s="10">
        <f>+'A) Base RI'!R164</f>
        <v>7558.2</v>
      </c>
      <c r="Y164" s="2">
        <f t="shared" si="17"/>
        <v>18415.2</v>
      </c>
      <c r="Z164" s="10">
        <f>+'A) Base RI'!N164</f>
        <v>18523.2</v>
      </c>
      <c r="AA164" s="10">
        <f>+'A) Base RI'!S164+'A) Base RI'!T164</f>
        <v>0</v>
      </c>
      <c r="AB164" s="10">
        <f>+'A) Base RI'!U164</f>
        <v>3200</v>
      </c>
      <c r="AC164" s="10">
        <f>+'A) Base RI'!V164</f>
        <v>0</v>
      </c>
      <c r="AD164" s="10">
        <f>+'A) Base RI'!W164</f>
        <v>0</v>
      </c>
      <c r="AE164" s="10">
        <f>+'A) Base RI'!Y164</f>
        <v>3000</v>
      </c>
      <c r="AF164" s="10">
        <f>+'A) Base RI'!Z164</f>
        <v>0</v>
      </c>
      <c r="AG164" s="10">
        <f>+'A) Base RI'!AA164</f>
        <v>35838.400000000001</v>
      </c>
      <c r="AH164" s="10">
        <f>+'A) Base RI'!AB164</f>
        <v>0</v>
      </c>
      <c r="AI164" s="10">
        <f>+'A) Base RI'!AC164</f>
        <v>26083.599999999999</v>
      </c>
      <c r="AJ164" s="10">
        <f>+'A) Base RI'!AD164</f>
        <v>0</v>
      </c>
      <c r="AK164" s="10">
        <f>+'A) Base RI'!AE164</f>
        <v>0</v>
      </c>
      <c r="AL164" s="10">
        <f>+'A) Base RI'!AF164</f>
        <v>0</v>
      </c>
      <c r="AM164" s="10">
        <f>+'A) Base RI'!AG164</f>
        <v>0</v>
      </c>
      <c r="AN164" s="10">
        <f>+'A) Base RI'!AH164</f>
        <v>0</v>
      </c>
      <c r="AO164" s="10">
        <f>+'A) Base RI'!AI164</f>
        <v>0</v>
      </c>
      <c r="AP164" s="10">
        <f>+'A) Base RI'!AJ164</f>
        <v>0</v>
      </c>
      <c r="AQ164" s="10">
        <f>+'A) Base RI'!AK164</f>
        <v>0</v>
      </c>
      <c r="AR164" s="10">
        <f>'A) Base RI'!AN164</f>
        <v>384</v>
      </c>
    </row>
    <row r="165" spans="1:44" x14ac:dyDescent="0.25">
      <c r="A165" s="8">
        <f>'A) Base RI'!A165</f>
        <v>5663</v>
      </c>
      <c r="B165" s="33" t="str">
        <f>'A) Base RI'!B165</f>
        <v>Bussy-sur-Moudon</v>
      </c>
      <c r="C165" s="10">
        <f>'A) Base RI'!C165+'A) Base RI'!D165</f>
        <v>395197.22000000003</v>
      </c>
      <c r="D165" s="10">
        <f>'A) Base RI'!AO165</f>
        <v>-14636.42</v>
      </c>
      <c r="E165" s="32">
        <f>'A) Base RI'!AP165</f>
        <v>0</v>
      </c>
      <c r="F165" s="32">
        <f>'A) Base RI'!AQ165</f>
        <v>0</v>
      </c>
      <c r="G165" s="2">
        <f t="shared" si="12"/>
        <v>380560.80000000005</v>
      </c>
      <c r="H165" s="10">
        <f>+'A) Base RI'!E165</f>
        <v>0</v>
      </c>
      <c r="I165" s="10">
        <f>+'A) Base RI'!F165</f>
        <v>1300</v>
      </c>
      <c r="J165" s="10">
        <f>+'A) Base RI'!G165+'A) Base RI'!H165</f>
        <v>4847.55</v>
      </c>
      <c r="K165" s="10">
        <f>+'A) Base RI'!I165</f>
        <v>0</v>
      </c>
      <c r="L165" s="10">
        <f>+'A) Base RI'!J165</f>
        <v>1127.6400000000001</v>
      </c>
      <c r="M165" s="10">
        <f>+'A) Base RI'!K165</f>
        <v>-973.85</v>
      </c>
      <c r="N165" s="10">
        <f>+'A) Base RI'!Q165</f>
        <v>6270.7</v>
      </c>
      <c r="O165" s="10">
        <f t="shared" si="13"/>
        <v>30432.3</v>
      </c>
      <c r="P165" s="10">
        <f>+'A) Base RI'!L165</f>
        <v>30432.3</v>
      </c>
      <c r="Q165" s="35">
        <f>'A) Base RI'!AR165</f>
        <v>1</v>
      </c>
      <c r="R165" s="2">
        <f t="shared" si="14"/>
        <v>423565.14000000007</v>
      </c>
      <c r="S165" s="34">
        <f>+'A) Base RI'!AM165</f>
        <v>80</v>
      </c>
      <c r="T165" s="2">
        <f t="shared" si="15"/>
        <v>392806.69000000006</v>
      </c>
      <c r="U165" s="2">
        <f t="shared" si="16"/>
        <v>5294.5642500000013</v>
      </c>
      <c r="V165" s="10">
        <f>+'A) Base RI'!O165</f>
        <v>0</v>
      </c>
      <c r="W165" s="10">
        <f>+'A) Base RI'!P165</f>
        <v>10483</v>
      </c>
      <c r="X165" s="10">
        <f>+'A) Base RI'!R165</f>
        <v>4025</v>
      </c>
      <c r="Y165" s="2">
        <f t="shared" si="17"/>
        <v>14508</v>
      </c>
      <c r="Z165" s="10">
        <f>+'A) Base RI'!N165</f>
        <v>0</v>
      </c>
      <c r="AA165" s="10">
        <f>+'A) Base RI'!S165+'A) Base RI'!T165</f>
        <v>100</v>
      </c>
      <c r="AB165" s="10">
        <f>+'A) Base RI'!U165</f>
        <v>1350</v>
      </c>
      <c r="AC165" s="10">
        <f>+'A) Base RI'!V165</f>
        <v>0</v>
      </c>
      <c r="AD165" s="10">
        <f>+'A) Base RI'!W165</f>
        <v>0</v>
      </c>
      <c r="AE165" s="10">
        <f>+'A) Base RI'!Y165</f>
        <v>0</v>
      </c>
      <c r="AF165" s="10">
        <f>+'A) Base RI'!Z165</f>
        <v>0</v>
      </c>
      <c r="AG165" s="10">
        <f>+'A) Base RI'!AA165</f>
        <v>27427.5</v>
      </c>
      <c r="AH165" s="10">
        <f>+'A) Base RI'!AB165</f>
        <v>0</v>
      </c>
      <c r="AI165" s="10">
        <f>+'A) Base RI'!AC165</f>
        <v>17146</v>
      </c>
      <c r="AJ165" s="10">
        <f>+'A) Base RI'!AD165</f>
        <v>0</v>
      </c>
      <c r="AK165" s="10">
        <f>+'A) Base RI'!AE165</f>
        <v>0</v>
      </c>
      <c r="AL165" s="10">
        <f>+'A) Base RI'!AF165</f>
        <v>0</v>
      </c>
      <c r="AM165" s="10">
        <f>+'A) Base RI'!AG165</f>
        <v>0</v>
      </c>
      <c r="AN165" s="10">
        <f>+'A) Base RI'!AH165</f>
        <v>0</v>
      </c>
      <c r="AO165" s="10">
        <f>+'A) Base RI'!AI165</f>
        <v>0</v>
      </c>
      <c r="AP165" s="10">
        <f>+'A) Base RI'!AJ165</f>
        <v>0</v>
      </c>
      <c r="AQ165" s="10">
        <f>+'A) Base RI'!AK165</f>
        <v>0</v>
      </c>
      <c r="AR165" s="10">
        <f>'A) Base RI'!AN165</f>
        <v>214</v>
      </c>
    </row>
    <row r="166" spans="1:44" x14ac:dyDescent="0.25">
      <c r="A166" s="8">
        <f>'A) Base RI'!A166</f>
        <v>5665</v>
      </c>
      <c r="B166" s="33" t="str">
        <f>'A) Base RI'!B166</f>
        <v>Chavannes-sur-Moudon</v>
      </c>
      <c r="C166" s="10">
        <f>'A) Base RI'!C166+'A) Base RI'!D166</f>
        <v>310609.13</v>
      </c>
      <c r="D166" s="10">
        <f>'A) Base RI'!AO166</f>
        <v>-1254.1099999999999</v>
      </c>
      <c r="E166" s="32">
        <f>'A) Base RI'!AP166</f>
        <v>0</v>
      </c>
      <c r="F166" s="32">
        <f>'A) Base RI'!AQ166</f>
        <v>0</v>
      </c>
      <c r="G166" s="2">
        <f t="shared" si="12"/>
        <v>309355.02</v>
      </c>
      <c r="H166" s="10">
        <f>+'A) Base RI'!E166</f>
        <v>0</v>
      </c>
      <c r="I166" s="10">
        <f>+'A) Base RI'!F166</f>
        <v>0</v>
      </c>
      <c r="J166" s="10">
        <f>+'A) Base RI'!G166+'A) Base RI'!H166</f>
        <v>1819.6</v>
      </c>
      <c r="K166" s="10">
        <f>+'A) Base RI'!I166</f>
        <v>0</v>
      </c>
      <c r="L166" s="10">
        <f>+'A) Base RI'!J166</f>
        <v>1692.47</v>
      </c>
      <c r="M166" s="10">
        <f>+'A) Base RI'!K166</f>
        <v>4.5</v>
      </c>
      <c r="N166" s="10">
        <f>+'A) Base RI'!Q166</f>
        <v>0</v>
      </c>
      <c r="O166" s="10">
        <f t="shared" si="13"/>
        <v>24273.8</v>
      </c>
      <c r="P166" s="10">
        <f>+'A) Base RI'!L166</f>
        <v>24273.8</v>
      </c>
      <c r="Q166" s="35">
        <f>'A) Base RI'!AR166</f>
        <v>1</v>
      </c>
      <c r="R166" s="2">
        <f t="shared" si="14"/>
        <v>337145.38999999996</v>
      </c>
      <c r="S166" s="34">
        <f>+'A) Base RI'!AM166</f>
        <v>73</v>
      </c>
      <c r="T166" s="2">
        <f t="shared" si="15"/>
        <v>312867.08999999997</v>
      </c>
      <c r="U166" s="2">
        <f t="shared" si="16"/>
        <v>4618.4299999999994</v>
      </c>
      <c r="V166" s="10">
        <f>+'A) Base RI'!O166</f>
        <v>0</v>
      </c>
      <c r="W166" s="10">
        <f>+'A) Base RI'!P166</f>
        <v>6221.35</v>
      </c>
      <c r="X166" s="10">
        <f>+'A) Base RI'!R166</f>
        <v>13002.65</v>
      </c>
      <c r="Y166" s="2">
        <f t="shared" si="17"/>
        <v>19224</v>
      </c>
      <c r="Z166" s="10">
        <f>+'A) Base RI'!N166</f>
        <v>0</v>
      </c>
      <c r="AA166" s="10">
        <f>+'A) Base RI'!S166+'A) Base RI'!T166</f>
        <v>250</v>
      </c>
      <c r="AB166" s="10">
        <f>+'A) Base RI'!U166</f>
        <v>790</v>
      </c>
      <c r="AC166" s="10">
        <f>+'A) Base RI'!V166</f>
        <v>0</v>
      </c>
      <c r="AD166" s="10">
        <f>+'A) Base RI'!W166</f>
        <v>0</v>
      </c>
      <c r="AE166" s="10">
        <f>+'A) Base RI'!Y166</f>
        <v>0</v>
      </c>
      <c r="AF166" s="10">
        <f>+'A) Base RI'!Z166</f>
        <v>0</v>
      </c>
      <c r="AG166" s="10">
        <f>+'A) Base RI'!AA166</f>
        <v>16058.1</v>
      </c>
      <c r="AH166" s="10">
        <f>+'A) Base RI'!AB166</f>
        <v>0</v>
      </c>
      <c r="AI166" s="10">
        <f>+'A) Base RI'!AC166</f>
        <v>20013.95</v>
      </c>
      <c r="AJ166" s="10">
        <f>+'A) Base RI'!AD166</f>
        <v>0</v>
      </c>
      <c r="AK166" s="10">
        <f>+'A) Base RI'!AE166</f>
        <v>0</v>
      </c>
      <c r="AL166" s="10">
        <f>+'A) Base RI'!AF166</f>
        <v>0</v>
      </c>
      <c r="AM166" s="10">
        <f>+'A) Base RI'!AG166</f>
        <v>0</v>
      </c>
      <c r="AN166" s="10">
        <f>+'A) Base RI'!AH166</f>
        <v>0</v>
      </c>
      <c r="AO166" s="10">
        <f>+'A) Base RI'!AI166</f>
        <v>0</v>
      </c>
      <c r="AP166" s="10">
        <f>+'A) Base RI'!AJ166</f>
        <v>0</v>
      </c>
      <c r="AQ166" s="10">
        <f>+'A) Base RI'!AK166</f>
        <v>0</v>
      </c>
      <c r="AR166" s="10">
        <f>'A) Base RI'!AN166</f>
        <v>216</v>
      </c>
    </row>
    <row r="167" spans="1:44" x14ac:dyDescent="0.25">
      <c r="A167" s="8">
        <f>'A) Base RI'!A167</f>
        <v>5669</v>
      </c>
      <c r="B167" s="33" t="str">
        <f>'A) Base RI'!B167</f>
        <v>Curtilles</v>
      </c>
      <c r="C167" s="10">
        <f>'A) Base RI'!C167+'A) Base RI'!D167</f>
        <v>577625.77</v>
      </c>
      <c r="D167" s="10">
        <f>'A) Base RI'!AO167</f>
        <v>-59676.66</v>
      </c>
      <c r="E167" s="32">
        <f>'A) Base RI'!AP167</f>
        <v>0</v>
      </c>
      <c r="F167" s="32">
        <f>'A) Base RI'!AQ167</f>
        <v>-105.71</v>
      </c>
      <c r="G167" s="2">
        <f t="shared" si="12"/>
        <v>517843.39999999997</v>
      </c>
      <c r="H167" s="10">
        <f>+'A) Base RI'!E167</f>
        <v>0</v>
      </c>
      <c r="I167" s="10">
        <f>+'A) Base RI'!F167</f>
        <v>0</v>
      </c>
      <c r="J167" s="10">
        <f>+'A) Base RI'!G167+'A) Base RI'!H167</f>
        <v>11277.900000000001</v>
      </c>
      <c r="K167" s="10">
        <f>+'A) Base RI'!I167</f>
        <v>0</v>
      </c>
      <c r="L167" s="10">
        <f>+'A) Base RI'!J167</f>
        <v>8592.17</v>
      </c>
      <c r="M167" s="10">
        <f>+'A) Base RI'!K167</f>
        <v>356.7</v>
      </c>
      <c r="N167" s="10">
        <f>+'A) Base RI'!Q167</f>
        <v>0</v>
      </c>
      <c r="O167" s="10">
        <f t="shared" si="13"/>
        <v>46619.7</v>
      </c>
      <c r="P167" s="10">
        <f>+'A) Base RI'!L167</f>
        <v>23309.85</v>
      </c>
      <c r="Q167" s="35">
        <f>'A) Base RI'!AR167</f>
        <v>0.5</v>
      </c>
      <c r="R167" s="2">
        <f t="shared" si="14"/>
        <v>584689.86999999988</v>
      </c>
      <c r="S167" s="34">
        <f>+'A) Base RI'!AM167</f>
        <v>75</v>
      </c>
      <c r="T167" s="2">
        <f t="shared" si="15"/>
        <v>537713.47</v>
      </c>
      <c r="U167" s="2">
        <f t="shared" si="16"/>
        <v>7795.8649333333315</v>
      </c>
      <c r="V167" s="10">
        <f>+'A) Base RI'!O167</f>
        <v>378.65</v>
      </c>
      <c r="W167" s="10">
        <f>+'A) Base RI'!P167</f>
        <v>9425.35</v>
      </c>
      <c r="X167" s="10">
        <f>+'A) Base RI'!R167</f>
        <v>12428.25</v>
      </c>
      <c r="Y167" s="2">
        <f t="shared" si="17"/>
        <v>22232.25</v>
      </c>
      <c r="Z167" s="10">
        <f>+'A) Base RI'!N167</f>
        <v>0</v>
      </c>
      <c r="AA167" s="10">
        <f>+'A) Base RI'!S167+'A) Base RI'!T167</f>
        <v>80</v>
      </c>
      <c r="AB167" s="10">
        <f>+'A) Base RI'!U167</f>
        <v>4000</v>
      </c>
      <c r="AC167" s="10">
        <f>+'A) Base RI'!V167</f>
        <v>0</v>
      </c>
      <c r="AD167" s="10">
        <f>+'A) Base RI'!W167</f>
        <v>0</v>
      </c>
      <c r="AE167" s="10">
        <f>+'A) Base RI'!Y167</f>
        <v>4500</v>
      </c>
      <c r="AF167" s="10">
        <f>+'A) Base RI'!Z167</f>
        <v>0</v>
      </c>
      <c r="AG167" s="10">
        <f>+'A) Base RI'!AA167</f>
        <v>21190</v>
      </c>
      <c r="AH167" s="10">
        <f>+'A) Base RI'!AB167</f>
        <v>0</v>
      </c>
      <c r="AI167" s="10">
        <f>+'A) Base RI'!AC167</f>
        <v>27952.799999999999</v>
      </c>
      <c r="AJ167" s="10">
        <f>+'A) Base RI'!AD167</f>
        <v>951.6</v>
      </c>
      <c r="AK167" s="10">
        <f>+'A) Base RI'!AE167</f>
        <v>0</v>
      </c>
      <c r="AL167" s="10">
        <f>+'A) Base RI'!AF167</f>
        <v>0</v>
      </c>
      <c r="AM167" s="10">
        <f>+'A) Base RI'!AG167</f>
        <v>0</v>
      </c>
      <c r="AN167" s="10">
        <f>+'A) Base RI'!AH167</f>
        <v>0</v>
      </c>
      <c r="AO167" s="10">
        <f>+'A) Base RI'!AI167</f>
        <v>0</v>
      </c>
      <c r="AP167" s="10">
        <f>+'A) Base RI'!AJ167</f>
        <v>0</v>
      </c>
      <c r="AQ167" s="10">
        <f>+'A) Base RI'!AK167</f>
        <v>0</v>
      </c>
      <c r="AR167" s="10">
        <f>'A) Base RI'!AN167</f>
        <v>313</v>
      </c>
    </row>
    <row r="168" spans="1:44" x14ac:dyDescent="0.25">
      <c r="A168" s="8">
        <f>'A) Base RI'!A168</f>
        <v>5671</v>
      </c>
      <c r="B168" s="33" t="str">
        <f>'A) Base RI'!B168</f>
        <v>Dompierre</v>
      </c>
      <c r="C168" s="10">
        <f>'A) Base RI'!C168+'A) Base RI'!D168</f>
        <v>469133.01</v>
      </c>
      <c r="D168" s="10">
        <f>'A) Base RI'!AO168</f>
        <v>-13256.45</v>
      </c>
      <c r="E168" s="32">
        <f>'A) Base RI'!AP168</f>
        <v>0</v>
      </c>
      <c r="F168" s="32">
        <f>'A) Base RI'!AQ168</f>
        <v>-6.07</v>
      </c>
      <c r="G168" s="2">
        <f t="shared" si="12"/>
        <v>455870.49</v>
      </c>
      <c r="H168" s="10">
        <f>+'A) Base RI'!E168</f>
        <v>0</v>
      </c>
      <c r="I168" s="10">
        <f>+'A) Base RI'!F168</f>
        <v>0</v>
      </c>
      <c r="J168" s="10">
        <f>+'A) Base RI'!G168+'A) Base RI'!H168</f>
        <v>9358.5</v>
      </c>
      <c r="K168" s="10">
        <f>+'A) Base RI'!I168</f>
        <v>0</v>
      </c>
      <c r="L168" s="10">
        <f>+'A) Base RI'!J168</f>
        <v>-5366.18</v>
      </c>
      <c r="M168" s="10">
        <f>+'A) Base RI'!K168</f>
        <v>223.5</v>
      </c>
      <c r="N168" s="10">
        <f>+'A) Base RI'!Q168</f>
        <v>0</v>
      </c>
      <c r="O168" s="10">
        <f t="shared" si="13"/>
        <v>32625.200000000001</v>
      </c>
      <c r="P168" s="10">
        <f>+'A) Base RI'!L168</f>
        <v>32625.200000000001</v>
      </c>
      <c r="Q168" s="35">
        <f>'A) Base RI'!AR168</f>
        <v>1</v>
      </c>
      <c r="R168" s="2">
        <f t="shared" si="14"/>
        <v>492711.51</v>
      </c>
      <c r="S168" s="34">
        <f>+'A) Base RI'!AM168</f>
        <v>80</v>
      </c>
      <c r="T168" s="2">
        <f t="shared" si="15"/>
        <v>459862.81</v>
      </c>
      <c r="U168" s="2">
        <f t="shared" si="16"/>
        <v>6158.8938749999998</v>
      </c>
      <c r="V168" s="10">
        <f>+'A) Base RI'!O168</f>
        <v>0</v>
      </c>
      <c r="W168" s="10">
        <f>+'A) Base RI'!P168</f>
        <v>18040</v>
      </c>
      <c r="X168" s="10">
        <f>+'A) Base RI'!R168</f>
        <v>16447.75</v>
      </c>
      <c r="Y168" s="2">
        <f t="shared" si="17"/>
        <v>34487.75</v>
      </c>
      <c r="Z168" s="10">
        <f>+'A) Base RI'!N168</f>
        <v>0</v>
      </c>
      <c r="AA168" s="10">
        <f>+'A) Base RI'!S168+'A) Base RI'!T168</f>
        <v>0</v>
      </c>
      <c r="AB168" s="10">
        <f>+'A) Base RI'!U168</f>
        <v>2385</v>
      </c>
      <c r="AC168" s="10">
        <f>+'A) Base RI'!V168</f>
        <v>0</v>
      </c>
      <c r="AD168" s="10">
        <f>+'A) Base RI'!W168</f>
        <v>0</v>
      </c>
      <c r="AE168" s="10">
        <f>+'A) Base RI'!Y168</f>
        <v>6000</v>
      </c>
      <c r="AF168" s="10">
        <f>+'A) Base RI'!Z168</f>
        <v>0</v>
      </c>
      <c r="AG168" s="10">
        <f>+'A) Base RI'!AA168</f>
        <v>15510.8</v>
      </c>
      <c r="AH168" s="10">
        <f>+'A) Base RI'!AB168</f>
        <v>0</v>
      </c>
      <c r="AI168" s="10">
        <f>+'A) Base RI'!AC168</f>
        <v>17711.650000000001</v>
      </c>
      <c r="AJ168" s="10">
        <f>+'A) Base RI'!AD168</f>
        <v>0</v>
      </c>
      <c r="AK168" s="10">
        <f>+'A) Base RI'!AE168</f>
        <v>0</v>
      </c>
      <c r="AL168" s="10">
        <f>+'A) Base RI'!AF168</f>
        <v>0</v>
      </c>
      <c r="AM168" s="10">
        <f>+'A) Base RI'!AG168</f>
        <v>0</v>
      </c>
      <c r="AN168" s="10">
        <f>+'A) Base RI'!AH168</f>
        <v>0</v>
      </c>
      <c r="AO168" s="10">
        <f>+'A) Base RI'!AI168</f>
        <v>0</v>
      </c>
      <c r="AP168" s="10">
        <f>+'A) Base RI'!AJ168</f>
        <v>0</v>
      </c>
      <c r="AQ168" s="10">
        <f>+'A) Base RI'!AK168</f>
        <v>0</v>
      </c>
      <c r="AR168" s="10">
        <f>'A) Base RI'!AN168</f>
        <v>239</v>
      </c>
    </row>
    <row r="169" spans="1:44" x14ac:dyDescent="0.25">
      <c r="A169" s="8">
        <f>'A) Base RI'!A169</f>
        <v>5673</v>
      </c>
      <c r="B169" s="33" t="str">
        <f>'A) Base RI'!B169</f>
        <v>Hermenches</v>
      </c>
      <c r="C169" s="10">
        <f>'A) Base RI'!C169+'A) Base RI'!D169</f>
        <v>656627.96</v>
      </c>
      <c r="D169" s="10">
        <f>'A) Base RI'!AO169</f>
        <v>-16807.82</v>
      </c>
      <c r="E169" s="32">
        <f>'A) Base RI'!AP169</f>
        <v>0</v>
      </c>
      <c r="F169" s="32">
        <f>'A) Base RI'!AQ169</f>
        <v>-15.14</v>
      </c>
      <c r="G169" s="2">
        <f t="shared" si="12"/>
        <v>639805</v>
      </c>
      <c r="H169" s="10">
        <f>+'A) Base RI'!E169</f>
        <v>0</v>
      </c>
      <c r="I169" s="10">
        <f>+'A) Base RI'!F169</f>
        <v>1970</v>
      </c>
      <c r="J169" s="10">
        <f>+'A) Base RI'!G169+'A) Base RI'!H169</f>
        <v>3792.45</v>
      </c>
      <c r="K169" s="10">
        <f>+'A) Base RI'!I169</f>
        <v>0</v>
      </c>
      <c r="L169" s="10">
        <f>+'A) Base RI'!J169</f>
        <v>6627.11</v>
      </c>
      <c r="M169" s="10">
        <f>+'A) Base RI'!K169</f>
        <v>7.5</v>
      </c>
      <c r="N169" s="10">
        <f>+'A) Base RI'!Q169</f>
        <v>-15.97</v>
      </c>
      <c r="O169" s="10">
        <f t="shared" si="13"/>
        <v>44859.000000000007</v>
      </c>
      <c r="P169" s="10">
        <f>+'A) Base RI'!L169</f>
        <v>26915.4</v>
      </c>
      <c r="Q169" s="35">
        <f>'A) Base RI'!AR169</f>
        <v>0.6</v>
      </c>
      <c r="R169" s="2">
        <f t="shared" si="14"/>
        <v>697045.09</v>
      </c>
      <c r="S169" s="34">
        <f>+'A) Base RI'!AM169</f>
        <v>75</v>
      </c>
      <c r="T169" s="2">
        <f t="shared" si="15"/>
        <v>650208.59</v>
      </c>
      <c r="U169" s="2">
        <f t="shared" si="16"/>
        <v>9293.9345333333331</v>
      </c>
      <c r="V169" s="10">
        <f>+'A) Base RI'!O169</f>
        <v>0</v>
      </c>
      <c r="W169" s="10">
        <f>+'A) Base RI'!P169</f>
        <v>6141.7</v>
      </c>
      <c r="X169" s="10">
        <f>+'A) Base RI'!R169</f>
        <v>10295.200000000001</v>
      </c>
      <c r="Y169" s="2">
        <f t="shared" si="17"/>
        <v>16436.900000000001</v>
      </c>
      <c r="Z169" s="10">
        <f>+'A) Base RI'!N169</f>
        <v>15579.35</v>
      </c>
      <c r="AA169" s="10">
        <f>+'A) Base RI'!S169+'A) Base RI'!T169</f>
        <v>0</v>
      </c>
      <c r="AB169" s="10">
        <f>+'A) Base RI'!U169</f>
        <v>1400</v>
      </c>
      <c r="AC169" s="10">
        <f>+'A) Base RI'!V169</f>
        <v>0</v>
      </c>
      <c r="AD169" s="10">
        <f>+'A) Base RI'!W169</f>
        <v>0</v>
      </c>
      <c r="AE169" s="10">
        <f>+'A) Base RI'!Y169</f>
        <v>0</v>
      </c>
      <c r="AF169" s="10">
        <f>+'A) Base RI'!Z169</f>
        <v>0</v>
      </c>
      <c r="AG169" s="10">
        <f>+'A) Base RI'!AA169</f>
        <v>65073.05</v>
      </c>
      <c r="AH169" s="10">
        <f>+'A) Base RI'!AB169</f>
        <v>0</v>
      </c>
      <c r="AI169" s="10">
        <f>+'A) Base RI'!AC169</f>
        <v>23390.400000000001</v>
      </c>
      <c r="AJ169" s="10">
        <f>+'A) Base RI'!AD169</f>
        <v>0</v>
      </c>
      <c r="AK169" s="10">
        <f>+'A) Base RI'!AE169</f>
        <v>248.65</v>
      </c>
      <c r="AL169" s="10">
        <f>+'A) Base RI'!AF169</f>
        <v>0</v>
      </c>
      <c r="AM169" s="10">
        <f>+'A) Base RI'!AG169</f>
        <v>0</v>
      </c>
      <c r="AN169" s="10">
        <f>+'A) Base RI'!AH169</f>
        <v>0</v>
      </c>
      <c r="AO169" s="10">
        <f>+'A) Base RI'!AI169</f>
        <v>0</v>
      </c>
      <c r="AP169" s="10">
        <f>+'A) Base RI'!AJ169</f>
        <v>0</v>
      </c>
      <c r="AQ169" s="10">
        <f>+'A) Base RI'!AK169</f>
        <v>0</v>
      </c>
      <c r="AR169" s="10">
        <f>'A) Base RI'!AN169</f>
        <v>364</v>
      </c>
    </row>
    <row r="170" spans="1:44" x14ac:dyDescent="0.25">
      <c r="A170" s="8">
        <f>'A) Base RI'!A170</f>
        <v>5674</v>
      </c>
      <c r="B170" s="33" t="str">
        <f>'A) Base RI'!B170</f>
        <v>Lovatens</v>
      </c>
      <c r="C170" s="10">
        <f>'A) Base RI'!C170+'A) Base RI'!D170</f>
        <v>223138.66</v>
      </c>
      <c r="D170" s="10">
        <f>'A) Base RI'!AO170</f>
        <v>0</v>
      </c>
      <c r="E170" s="32">
        <f>'A) Base RI'!AP170</f>
        <v>0</v>
      </c>
      <c r="F170" s="32">
        <f>'A) Base RI'!AQ170</f>
        <v>0</v>
      </c>
      <c r="G170" s="2">
        <f t="shared" si="12"/>
        <v>223138.66</v>
      </c>
      <c r="H170" s="10">
        <f>+'A) Base RI'!E170</f>
        <v>0</v>
      </c>
      <c r="I170" s="10">
        <f>+'A) Base RI'!F170</f>
        <v>0</v>
      </c>
      <c r="J170" s="10">
        <f>+'A) Base RI'!G170+'A) Base RI'!H170</f>
        <v>795.18</v>
      </c>
      <c r="K170" s="10">
        <f>+'A) Base RI'!I170</f>
        <v>0</v>
      </c>
      <c r="L170" s="10">
        <f>+'A) Base RI'!J170</f>
        <v>3781.64</v>
      </c>
      <c r="M170" s="10">
        <f>+'A) Base RI'!K170</f>
        <v>0</v>
      </c>
      <c r="N170" s="10">
        <f>+'A) Base RI'!Q170</f>
        <v>0</v>
      </c>
      <c r="O170" s="10">
        <f t="shared" si="13"/>
        <v>18061.857142857141</v>
      </c>
      <c r="P170" s="10">
        <f>+'A) Base RI'!L170</f>
        <v>12643.3</v>
      </c>
      <c r="Q170" s="35">
        <f>'A) Base RI'!AR170</f>
        <v>0.7</v>
      </c>
      <c r="R170" s="2">
        <f t="shared" si="14"/>
        <v>245777.33714285714</v>
      </c>
      <c r="S170" s="34">
        <f>+'A) Base RI'!AM170</f>
        <v>75</v>
      </c>
      <c r="T170" s="2">
        <f t="shared" si="15"/>
        <v>227715.48</v>
      </c>
      <c r="U170" s="2">
        <f t="shared" si="16"/>
        <v>3277.031161904762</v>
      </c>
      <c r="V170" s="10">
        <f>+'A) Base RI'!O170</f>
        <v>0</v>
      </c>
      <c r="W170" s="10">
        <f>+'A) Base RI'!P170</f>
        <v>4563.5</v>
      </c>
      <c r="X170" s="10">
        <f>+'A) Base RI'!R170</f>
        <v>22561.200000000001</v>
      </c>
      <c r="Y170" s="2">
        <f t="shared" si="17"/>
        <v>27124.7</v>
      </c>
      <c r="Z170" s="10">
        <f>+'A) Base RI'!N170</f>
        <v>0</v>
      </c>
      <c r="AA170" s="10">
        <f>+'A) Base RI'!S170+'A) Base RI'!T170</f>
        <v>0</v>
      </c>
      <c r="AB170" s="10">
        <f>+'A) Base RI'!U170</f>
        <v>645</v>
      </c>
      <c r="AC170" s="10">
        <f>+'A) Base RI'!V170</f>
        <v>0</v>
      </c>
      <c r="AD170" s="10">
        <f>+'A) Base RI'!W170</f>
        <v>0</v>
      </c>
      <c r="AE170" s="10">
        <f>+'A) Base RI'!Y170</f>
        <v>0</v>
      </c>
      <c r="AF170" s="10">
        <f>+'A) Base RI'!Z170</f>
        <v>0</v>
      </c>
      <c r="AG170" s="10">
        <f>+'A) Base RI'!AA170</f>
        <v>12233.8</v>
      </c>
      <c r="AH170" s="10">
        <f>+'A) Base RI'!AB170</f>
        <v>0</v>
      </c>
      <c r="AI170" s="10">
        <f>+'A) Base RI'!AC170</f>
        <v>10156.75</v>
      </c>
      <c r="AJ170" s="10">
        <f>+'A) Base RI'!AD170</f>
        <v>0</v>
      </c>
      <c r="AK170" s="10">
        <f>+'A) Base RI'!AE170</f>
        <v>0</v>
      </c>
      <c r="AL170" s="10">
        <f>+'A) Base RI'!AF170</f>
        <v>0</v>
      </c>
      <c r="AM170" s="10">
        <f>+'A) Base RI'!AG170</f>
        <v>0</v>
      </c>
      <c r="AN170" s="10">
        <f>+'A) Base RI'!AH170</f>
        <v>3571.85</v>
      </c>
      <c r="AO170" s="10">
        <f>+'A) Base RI'!AI170</f>
        <v>0</v>
      </c>
      <c r="AP170" s="10">
        <f>+'A) Base RI'!AJ170</f>
        <v>0</v>
      </c>
      <c r="AQ170" s="10">
        <f>+'A) Base RI'!AK170</f>
        <v>0</v>
      </c>
      <c r="AR170" s="10">
        <f>'A) Base RI'!AN170</f>
        <v>146</v>
      </c>
    </row>
    <row r="171" spans="1:44" x14ac:dyDescent="0.25">
      <c r="A171" s="8">
        <f>'A) Base RI'!A171</f>
        <v>5675</v>
      </c>
      <c r="B171" s="33" t="str">
        <f>'A) Base RI'!B171</f>
        <v>Lucens</v>
      </c>
      <c r="C171" s="10">
        <f>'A) Base RI'!C171+'A) Base RI'!D171</f>
        <v>5215914.21</v>
      </c>
      <c r="D171" s="10">
        <f>'A) Base RI'!AO171</f>
        <v>-224730.28</v>
      </c>
      <c r="E171" s="32">
        <f>'A) Base RI'!AP171</f>
        <v>0</v>
      </c>
      <c r="F171" s="32">
        <f>'A) Base RI'!AQ171</f>
        <v>-255.21</v>
      </c>
      <c r="G171" s="2">
        <f t="shared" si="12"/>
        <v>4990928.72</v>
      </c>
      <c r="H171" s="10">
        <f>+'A) Base RI'!E171</f>
        <v>0</v>
      </c>
      <c r="I171" s="10">
        <f>+'A) Base RI'!F171</f>
        <v>0</v>
      </c>
      <c r="J171" s="10">
        <f>+'A) Base RI'!G171+'A) Base RI'!H171</f>
        <v>366192.8</v>
      </c>
      <c r="K171" s="10">
        <f>+'A) Base RI'!I171</f>
        <v>0</v>
      </c>
      <c r="L171" s="10">
        <f>+'A) Base RI'!J171</f>
        <v>249906.03</v>
      </c>
      <c r="M171" s="10">
        <f>+'A) Base RI'!K171</f>
        <v>91788</v>
      </c>
      <c r="N171" s="10">
        <f>+'A) Base RI'!Q171</f>
        <v>71392.05</v>
      </c>
      <c r="O171" s="10">
        <f t="shared" si="13"/>
        <v>587640.27272727271</v>
      </c>
      <c r="P171" s="10">
        <f>+'A) Base RI'!L171</f>
        <v>646404.30000000005</v>
      </c>
      <c r="Q171" s="35">
        <f>'A) Base RI'!AR171</f>
        <v>1.1000000000000001</v>
      </c>
      <c r="R171" s="2">
        <f t="shared" si="14"/>
        <v>6357847.8727272721</v>
      </c>
      <c r="S171" s="34">
        <f>+'A) Base RI'!AM171</f>
        <v>69</v>
      </c>
      <c r="T171" s="2">
        <f t="shared" si="15"/>
        <v>5678419.5999999996</v>
      </c>
      <c r="U171" s="2">
        <f t="shared" si="16"/>
        <v>92142.722793148874</v>
      </c>
      <c r="V171" s="10">
        <f>+'A) Base RI'!O171</f>
        <v>95151</v>
      </c>
      <c r="W171" s="10">
        <f>+'A) Base RI'!P171</f>
        <v>381022</v>
      </c>
      <c r="X171" s="10">
        <f>+'A) Base RI'!R171</f>
        <v>185937.2</v>
      </c>
      <c r="Y171" s="2">
        <f t="shared" si="17"/>
        <v>662110.19999999995</v>
      </c>
      <c r="Z171" s="10">
        <f>+'A) Base RI'!N171</f>
        <v>47041.05</v>
      </c>
      <c r="AA171" s="10">
        <f>+'A) Base RI'!S171+'A) Base RI'!T171</f>
        <v>15925.55</v>
      </c>
      <c r="AB171" s="10">
        <f>+'A) Base RI'!U171</f>
        <v>32000</v>
      </c>
      <c r="AC171" s="10">
        <f>+'A) Base RI'!V171</f>
        <v>1740.4</v>
      </c>
      <c r="AD171" s="10">
        <f>+'A) Base RI'!W171</f>
        <v>0</v>
      </c>
      <c r="AE171" s="10">
        <f>+'A) Base RI'!Y171</f>
        <v>75738.649999999994</v>
      </c>
      <c r="AF171" s="10">
        <f>+'A) Base RI'!Z171</f>
        <v>0</v>
      </c>
      <c r="AG171" s="10">
        <f>+'A) Base RI'!AA171</f>
        <v>289028.95</v>
      </c>
      <c r="AH171" s="10">
        <f>+'A) Base RI'!AB171</f>
        <v>0</v>
      </c>
      <c r="AI171" s="10">
        <f>+'A) Base RI'!AC171</f>
        <v>422016.04</v>
      </c>
      <c r="AJ171" s="10">
        <f>+'A) Base RI'!AD171</f>
        <v>44548.15</v>
      </c>
      <c r="AK171" s="10">
        <f>+'A) Base RI'!AE171</f>
        <v>0</v>
      </c>
      <c r="AL171" s="10">
        <f>+'A) Base RI'!AF171</f>
        <v>0</v>
      </c>
      <c r="AM171" s="10">
        <f>+'A) Base RI'!AG171</f>
        <v>0</v>
      </c>
      <c r="AN171" s="10">
        <f>+'A) Base RI'!AH171</f>
        <v>461189.05</v>
      </c>
      <c r="AO171" s="10">
        <f>+'A) Base RI'!AI171</f>
        <v>0</v>
      </c>
      <c r="AP171" s="10">
        <f>+'A) Base RI'!AJ171</f>
        <v>0</v>
      </c>
      <c r="AQ171" s="10">
        <f>+'A) Base RI'!AK171</f>
        <v>0</v>
      </c>
      <c r="AR171" s="10">
        <f>'A) Base RI'!AN171</f>
        <v>4199</v>
      </c>
    </row>
    <row r="172" spans="1:44" x14ac:dyDescent="0.25">
      <c r="A172" s="8">
        <f>'A) Base RI'!A172</f>
        <v>5678</v>
      </c>
      <c r="B172" s="33" t="str">
        <f>'A) Base RI'!B172</f>
        <v>Moudon</v>
      </c>
      <c r="C172" s="10">
        <f>'A) Base RI'!C172+'A) Base RI'!D172</f>
        <v>7429646.3899999997</v>
      </c>
      <c r="D172" s="10">
        <f>'A) Base RI'!AO172</f>
        <v>-546494.26</v>
      </c>
      <c r="E172" s="32">
        <f>'A) Base RI'!AP172</f>
        <v>0</v>
      </c>
      <c r="F172" s="32">
        <f>'A) Base RI'!AQ172</f>
        <v>-9668.69</v>
      </c>
      <c r="G172" s="2">
        <f t="shared" si="12"/>
        <v>6873483.4399999995</v>
      </c>
      <c r="H172" s="10">
        <f>+'A) Base RI'!E172</f>
        <v>0</v>
      </c>
      <c r="I172" s="10">
        <f>+'A) Base RI'!F172</f>
        <v>34700</v>
      </c>
      <c r="J172" s="10">
        <f>+'A) Base RI'!G172+'A) Base RI'!H172</f>
        <v>695605</v>
      </c>
      <c r="K172" s="10">
        <f>+'A) Base RI'!I172</f>
        <v>0</v>
      </c>
      <c r="L172" s="10">
        <f>+'A) Base RI'!J172</f>
        <v>466488.24</v>
      </c>
      <c r="M172" s="10">
        <f>+'A) Base RI'!K172</f>
        <v>85163.35</v>
      </c>
      <c r="N172" s="10">
        <f>+'A) Base RI'!Q172</f>
        <v>49376.74</v>
      </c>
      <c r="O172" s="10">
        <f t="shared" si="13"/>
        <v>780092.75</v>
      </c>
      <c r="P172" s="10">
        <f>+'A) Base RI'!L172</f>
        <v>780092.75</v>
      </c>
      <c r="Q172" s="35">
        <f>'A) Base RI'!AR172</f>
        <v>1</v>
      </c>
      <c r="R172" s="2">
        <f t="shared" si="14"/>
        <v>8984909.5199999996</v>
      </c>
      <c r="S172" s="34">
        <f>+'A) Base RI'!AM172</f>
        <v>75</v>
      </c>
      <c r="T172" s="2">
        <f t="shared" si="15"/>
        <v>8084953.4199999999</v>
      </c>
      <c r="U172" s="2">
        <f t="shared" si="16"/>
        <v>119798.79359999999</v>
      </c>
      <c r="V172" s="10">
        <f>+'A) Base RI'!O172</f>
        <v>96300.1</v>
      </c>
      <c r="W172" s="10">
        <f>+'A) Base RI'!P172</f>
        <v>318163.75</v>
      </c>
      <c r="X172" s="10">
        <f>+'A) Base RI'!R172</f>
        <v>288839.34999999998</v>
      </c>
      <c r="Y172" s="2">
        <f t="shared" si="17"/>
        <v>703303.2</v>
      </c>
      <c r="Z172" s="10">
        <f>+'A) Base RI'!N172</f>
        <v>212792.05</v>
      </c>
      <c r="AA172" s="10">
        <f>+'A) Base RI'!S172+'A) Base RI'!T172</f>
        <v>48507.4</v>
      </c>
      <c r="AB172" s="10">
        <f>+'A) Base RI'!U172</f>
        <v>42480</v>
      </c>
      <c r="AC172" s="10">
        <f>+'A) Base RI'!V172</f>
        <v>35223.9</v>
      </c>
      <c r="AD172" s="10">
        <f>+'A) Base RI'!W172</f>
        <v>234</v>
      </c>
      <c r="AE172" s="10">
        <f>+'A) Base RI'!Y172</f>
        <v>212733.2</v>
      </c>
      <c r="AF172" s="10">
        <f>+'A) Base RI'!Z172</f>
        <v>0</v>
      </c>
      <c r="AG172" s="10">
        <f>+'A) Base RI'!AA172</f>
        <v>923342.95</v>
      </c>
      <c r="AH172" s="10">
        <f>+'A) Base RI'!AB172</f>
        <v>0</v>
      </c>
      <c r="AI172" s="10">
        <f>+'A) Base RI'!AC172</f>
        <v>557523.03999999992</v>
      </c>
      <c r="AJ172" s="10">
        <f>+'A) Base RI'!AD172</f>
        <v>105255.1</v>
      </c>
      <c r="AK172" s="10">
        <f>+'A) Base RI'!AE172</f>
        <v>0</v>
      </c>
      <c r="AL172" s="10">
        <f>+'A) Base RI'!AF172</f>
        <v>0</v>
      </c>
      <c r="AM172" s="10">
        <f>+'A) Base RI'!AG172</f>
        <v>3215.2</v>
      </c>
      <c r="AN172" s="10">
        <f>+'A) Base RI'!AH172</f>
        <v>200000</v>
      </c>
      <c r="AO172" s="10">
        <f>+'A) Base RI'!AI172</f>
        <v>0</v>
      </c>
      <c r="AP172" s="10">
        <f>+'A) Base RI'!AJ172</f>
        <v>0</v>
      </c>
      <c r="AQ172" s="10">
        <f>+'A) Base RI'!AK172</f>
        <v>0</v>
      </c>
      <c r="AR172" s="10">
        <f>'A) Base RI'!AN172</f>
        <v>6135</v>
      </c>
    </row>
    <row r="173" spans="1:44" x14ac:dyDescent="0.25">
      <c r="A173" s="8">
        <f>'A) Base RI'!A173</f>
        <v>5680</v>
      </c>
      <c r="B173" s="33" t="str">
        <f>'A) Base RI'!B173</f>
        <v>Ogens</v>
      </c>
      <c r="C173" s="10">
        <f>'A) Base RI'!C173+'A) Base RI'!D173</f>
        <v>456270.77</v>
      </c>
      <c r="D173" s="10">
        <f>'A) Base RI'!AO173</f>
        <v>-13661.23</v>
      </c>
      <c r="E173" s="32">
        <f>'A) Base RI'!AP173</f>
        <v>0</v>
      </c>
      <c r="F173" s="32">
        <f>'A) Base RI'!AQ173</f>
        <v>-2.71</v>
      </c>
      <c r="G173" s="2">
        <f t="shared" si="12"/>
        <v>442606.83</v>
      </c>
      <c r="H173" s="10">
        <f>+'A) Base RI'!E173</f>
        <v>0</v>
      </c>
      <c r="I173" s="10">
        <f>+'A) Base RI'!F173</f>
        <v>0</v>
      </c>
      <c r="J173" s="10">
        <f>+'A) Base RI'!G173+'A) Base RI'!H173</f>
        <v>3792.5</v>
      </c>
      <c r="K173" s="10">
        <f>+'A) Base RI'!I173</f>
        <v>0</v>
      </c>
      <c r="L173" s="10">
        <f>+'A) Base RI'!J173</f>
        <v>6420.51</v>
      </c>
      <c r="M173" s="10">
        <f>+'A) Base RI'!K173</f>
        <v>55</v>
      </c>
      <c r="N173" s="10">
        <f>+'A) Base RI'!Q173</f>
        <v>5522.84</v>
      </c>
      <c r="O173" s="10">
        <f t="shared" si="13"/>
        <v>44337.833333333336</v>
      </c>
      <c r="P173" s="10">
        <f>+'A) Base RI'!L173</f>
        <v>66506.75</v>
      </c>
      <c r="Q173" s="35">
        <f>'A) Base RI'!AR173</f>
        <v>1.5</v>
      </c>
      <c r="R173" s="2">
        <f t="shared" si="14"/>
        <v>502735.51333333337</v>
      </c>
      <c r="S173" s="34">
        <f>+'A) Base RI'!AM173</f>
        <v>78</v>
      </c>
      <c r="T173" s="2">
        <f t="shared" si="15"/>
        <v>458342.68000000005</v>
      </c>
      <c r="U173" s="2">
        <f t="shared" si="16"/>
        <v>6445.3270940170942</v>
      </c>
      <c r="V173" s="10">
        <f>+'A) Base RI'!O173</f>
        <v>4795.1000000000004</v>
      </c>
      <c r="W173" s="10">
        <f>+'A) Base RI'!P173</f>
        <v>30442.5</v>
      </c>
      <c r="X173" s="10">
        <f>+'A) Base RI'!R173</f>
        <v>22609.3</v>
      </c>
      <c r="Y173" s="2">
        <f t="shared" si="17"/>
        <v>57846.899999999994</v>
      </c>
      <c r="Z173" s="10">
        <f>+'A) Base RI'!N173</f>
        <v>0</v>
      </c>
      <c r="AA173" s="10">
        <f>+'A) Base RI'!S173+'A) Base RI'!T173</f>
        <v>90</v>
      </c>
      <c r="AB173" s="10">
        <f>+'A) Base RI'!U173</f>
        <v>2300</v>
      </c>
      <c r="AC173" s="10">
        <f>+'A) Base RI'!V173</f>
        <v>0</v>
      </c>
      <c r="AD173" s="10">
        <f>+'A) Base RI'!W173</f>
        <v>0</v>
      </c>
      <c r="AE173" s="10">
        <f>+'A) Base RI'!Y173</f>
        <v>0</v>
      </c>
      <c r="AF173" s="10">
        <f>+'A) Base RI'!Z173</f>
        <v>0</v>
      </c>
      <c r="AG173" s="10">
        <f>+'A) Base RI'!AA173</f>
        <v>29228.75</v>
      </c>
      <c r="AH173" s="10">
        <f>+'A) Base RI'!AB173</f>
        <v>0</v>
      </c>
      <c r="AI173" s="10">
        <f>+'A) Base RI'!AC173</f>
        <v>13299.25</v>
      </c>
      <c r="AJ173" s="10">
        <f>+'A) Base RI'!AD173</f>
        <v>0</v>
      </c>
      <c r="AK173" s="10">
        <f>+'A) Base RI'!AE173</f>
        <v>0</v>
      </c>
      <c r="AL173" s="10">
        <f>+'A) Base RI'!AF173</f>
        <v>0</v>
      </c>
      <c r="AM173" s="10">
        <f>+'A) Base RI'!AG173</f>
        <v>792</v>
      </c>
      <c r="AN173" s="10">
        <f>+'A) Base RI'!AH173</f>
        <v>6337.4</v>
      </c>
      <c r="AO173" s="10">
        <f>+'A) Base RI'!AI173</f>
        <v>0</v>
      </c>
      <c r="AP173" s="10">
        <f>+'A) Base RI'!AJ173</f>
        <v>0</v>
      </c>
      <c r="AQ173" s="10">
        <f>+'A) Base RI'!AK173</f>
        <v>0</v>
      </c>
      <c r="AR173" s="10">
        <f>'A) Base RI'!AN173</f>
        <v>299</v>
      </c>
    </row>
    <row r="174" spans="1:44" x14ac:dyDescent="0.25">
      <c r="A174" s="8">
        <f>'A) Base RI'!A174</f>
        <v>5683</v>
      </c>
      <c r="B174" s="33" t="str">
        <f>'A) Base RI'!B174</f>
        <v>Prévonloup</v>
      </c>
      <c r="C174" s="10">
        <f>'A) Base RI'!C174+'A) Base RI'!D174</f>
        <v>272723.40000000002</v>
      </c>
      <c r="D174" s="10">
        <f>'A) Base RI'!AO174</f>
        <v>-25473.58</v>
      </c>
      <c r="E174" s="32">
        <f>'A) Base RI'!AP174</f>
        <v>0</v>
      </c>
      <c r="F174" s="32">
        <f>'A) Base RI'!AQ174</f>
        <v>0</v>
      </c>
      <c r="G174" s="2">
        <f t="shared" si="12"/>
        <v>247249.82</v>
      </c>
      <c r="H174" s="10">
        <f>+'A) Base RI'!E174</f>
        <v>0</v>
      </c>
      <c r="I174" s="10">
        <f>+'A) Base RI'!F174</f>
        <v>0</v>
      </c>
      <c r="J174" s="10">
        <f>+'A) Base RI'!G174+'A) Base RI'!H174</f>
        <v>-1314.8500000000001</v>
      </c>
      <c r="K174" s="10">
        <f>+'A) Base RI'!I174</f>
        <v>0</v>
      </c>
      <c r="L174" s="10">
        <f>+'A) Base RI'!J174</f>
        <v>3018.02</v>
      </c>
      <c r="M174" s="10">
        <f>+'A) Base RI'!K174</f>
        <v>-19</v>
      </c>
      <c r="N174" s="10">
        <f>+'A) Base RI'!Q174</f>
        <v>4035.54</v>
      </c>
      <c r="O174" s="10">
        <f t="shared" si="13"/>
        <v>22654</v>
      </c>
      <c r="P174" s="10">
        <f>+'A) Base RI'!L174</f>
        <v>22654</v>
      </c>
      <c r="Q174" s="35">
        <f>'A) Base RI'!AR174</f>
        <v>1</v>
      </c>
      <c r="R174" s="2">
        <f t="shared" si="14"/>
        <v>275623.53000000003</v>
      </c>
      <c r="S174" s="34">
        <f>+'A) Base RI'!AM174</f>
        <v>74</v>
      </c>
      <c r="T174" s="2">
        <f t="shared" si="15"/>
        <v>252988.53</v>
      </c>
      <c r="U174" s="2">
        <f t="shared" si="16"/>
        <v>3724.6422972972978</v>
      </c>
      <c r="V174" s="10">
        <f>+'A) Base RI'!O174</f>
        <v>0</v>
      </c>
      <c r="W174" s="10">
        <f>+'A) Base RI'!P174</f>
        <v>7700</v>
      </c>
      <c r="X174" s="10">
        <f>+'A) Base RI'!R174</f>
        <v>20711.5</v>
      </c>
      <c r="Y174" s="2">
        <f t="shared" si="17"/>
        <v>28411.5</v>
      </c>
      <c r="Z174" s="10">
        <f>+'A) Base RI'!N174</f>
        <v>0</v>
      </c>
      <c r="AA174" s="10">
        <f>+'A) Base RI'!S174+'A) Base RI'!T174</f>
        <v>0</v>
      </c>
      <c r="AB174" s="10">
        <f>+'A) Base RI'!U174</f>
        <v>1225</v>
      </c>
      <c r="AC174" s="10">
        <f>+'A) Base RI'!V174</f>
        <v>0</v>
      </c>
      <c r="AD174" s="10">
        <f>+'A) Base RI'!W174</f>
        <v>0</v>
      </c>
      <c r="AE174" s="10">
        <f>+'A) Base RI'!Y174</f>
        <v>3000</v>
      </c>
      <c r="AF174" s="10">
        <f>+'A) Base RI'!Z174</f>
        <v>0</v>
      </c>
      <c r="AG174" s="10">
        <f>+'A) Base RI'!AA174</f>
        <v>10162.65</v>
      </c>
      <c r="AH174" s="10">
        <f>+'A) Base RI'!AB174</f>
        <v>0</v>
      </c>
      <c r="AI174" s="10">
        <f>+'A) Base RI'!AC174</f>
        <v>13985.7</v>
      </c>
      <c r="AJ174" s="10">
        <f>+'A) Base RI'!AD174</f>
        <v>2000</v>
      </c>
      <c r="AK174" s="10">
        <f>+'A) Base RI'!AE174</f>
        <v>0</v>
      </c>
      <c r="AL174" s="10">
        <f>+'A) Base RI'!AF174</f>
        <v>0</v>
      </c>
      <c r="AM174" s="10">
        <f>+'A) Base RI'!AG174</f>
        <v>0</v>
      </c>
      <c r="AN174" s="10">
        <f>+'A) Base RI'!AH174</f>
        <v>0</v>
      </c>
      <c r="AO174" s="10">
        <f>+'A) Base RI'!AI174</f>
        <v>0</v>
      </c>
      <c r="AP174" s="10">
        <f>+'A) Base RI'!AJ174</f>
        <v>0</v>
      </c>
      <c r="AQ174" s="10">
        <f>+'A) Base RI'!AK174</f>
        <v>0</v>
      </c>
      <c r="AR174" s="10">
        <f>'A) Base RI'!AN174</f>
        <v>184</v>
      </c>
    </row>
    <row r="175" spans="1:44" x14ac:dyDescent="0.25">
      <c r="A175" s="8">
        <f>'A) Base RI'!A175</f>
        <v>5684</v>
      </c>
      <c r="B175" s="33" t="str">
        <f>'A) Base RI'!B175</f>
        <v>Rossenges</v>
      </c>
      <c r="C175" s="10">
        <f>'A) Base RI'!C175+'A) Base RI'!D175</f>
        <v>138085.63</v>
      </c>
      <c r="D175" s="10">
        <f>'A) Base RI'!AO175</f>
        <v>-10.210000000000001</v>
      </c>
      <c r="E175" s="32">
        <f>'A) Base RI'!AP175</f>
        <v>0</v>
      </c>
      <c r="F175" s="32">
        <f>'A) Base RI'!AQ175</f>
        <v>-5.67</v>
      </c>
      <c r="G175" s="2">
        <f t="shared" si="12"/>
        <v>138069.75</v>
      </c>
      <c r="H175" s="10">
        <f>+'A) Base RI'!E175</f>
        <v>0</v>
      </c>
      <c r="I175" s="10">
        <f>+'A) Base RI'!F175</f>
        <v>0</v>
      </c>
      <c r="J175" s="10">
        <f>+'A) Base RI'!G175+'A) Base RI'!H175</f>
        <v>-76.849999999999966</v>
      </c>
      <c r="K175" s="10">
        <f>+'A) Base RI'!I175</f>
        <v>0</v>
      </c>
      <c r="L175" s="10">
        <f>+'A) Base RI'!J175</f>
        <v>288</v>
      </c>
      <c r="M175" s="10">
        <f>+'A) Base RI'!K175</f>
        <v>0</v>
      </c>
      <c r="N175" s="10">
        <f>+'A) Base RI'!Q175</f>
        <v>0</v>
      </c>
      <c r="O175" s="10">
        <f t="shared" si="13"/>
        <v>8077.3749999999991</v>
      </c>
      <c r="P175" s="10">
        <f>+'A) Base RI'!L175</f>
        <v>6461.9</v>
      </c>
      <c r="Q175" s="35">
        <f>'A) Base RI'!AR175</f>
        <v>0.8</v>
      </c>
      <c r="R175" s="2">
        <f t="shared" si="14"/>
        <v>146358.27499999999</v>
      </c>
      <c r="S175" s="34">
        <f>+'A) Base RI'!AM175</f>
        <v>75</v>
      </c>
      <c r="T175" s="2">
        <f t="shared" si="15"/>
        <v>138280.9</v>
      </c>
      <c r="U175" s="2">
        <f t="shared" si="16"/>
        <v>1951.4436666666666</v>
      </c>
      <c r="V175" s="10">
        <f>+'A) Base RI'!O175</f>
        <v>0</v>
      </c>
      <c r="W175" s="10">
        <f>+'A) Base RI'!P175</f>
        <v>0</v>
      </c>
      <c r="X175" s="10">
        <f>+'A) Base RI'!R175</f>
        <v>11921.8</v>
      </c>
      <c r="Y175" s="2">
        <f t="shared" si="17"/>
        <v>11921.8</v>
      </c>
      <c r="Z175" s="10">
        <f>+'A) Base RI'!N175</f>
        <v>0</v>
      </c>
      <c r="AA175" s="10">
        <f>+'A) Base RI'!S175+'A) Base RI'!T175</f>
        <v>0</v>
      </c>
      <c r="AB175" s="10">
        <f>+'A) Base RI'!U175</f>
        <v>0</v>
      </c>
      <c r="AC175" s="10">
        <f>+'A) Base RI'!V175</f>
        <v>0</v>
      </c>
      <c r="AD175" s="10">
        <f>+'A) Base RI'!W175</f>
        <v>0</v>
      </c>
      <c r="AE175" s="10">
        <f>+'A) Base RI'!Y175</f>
        <v>104000</v>
      </c>
      <c r="AF175" s="10">
        <f>+'A) Base RI'!Z175</f>
        <v>0</v>
      </c>
      <c r="AG175" s="10">
        <f>+'A) Base RI'!AA175</f>
        <v>3701.3</v>
      </c>
      <c r="AH175" s="10">
        <f>+'A) Base RI'!AB175</f>
        <v>0</v>
      </c>
      <c r="AI175" s="10">
        <f>+'A) Base RI'!AC175</f>
        <v>6681.32</v>
      </c>
      <c r="AJ175" s="10">
        <f>+'A) Base RI'!AD175</f>
        <v>0</v>
      </c>
      <c r="AK175" s="10">
        <f>+'A) Base RI'!AE175</f>
        <v>0</v>
      </c>
      <c r="AL175" s="10">
        <f>+'A) Base RI'!AF175</f>
        <v>0</v>
      </c>
      <c r="AM175" s="10">
        <f>+'A) Base RI'!AG175</f>
        <v>0</v>
      </c>
      <c r="AN175" s="10">
        <f>+'A) Base RI'!AH175</f>
        <v>0</v>
      </c>
      <c r="AO175" s="10">
        <f>+'A) Base RI'!AI175</f>
        <v>0</v>
      </c>
      <c r="AP175" s="10">
        <f>+'A) Base RI'!AJ175</f>
        <v>0</v>
      </c>
      <c r="AQ175" s="10">
        <f>+'A) Base RI'!AK175</f>
        <v>0</v>
      </c>
      <c r="AR175" s="10">
        <f>'A) Base RI'!AN175</f>
        <v>65</v>
      </c>
    </row>
    <row r="176" spans="1:44" x14ac:dyDescent="0.25">
      <c r="A176" s="8">
        <f>'A) Base RI'!A176</f>
        <v>5688</v>
      </c>
      <c r="B176" s="33" t="str">
        <f>'A) Base RI'!B176</f>
        <v>Syens</v>
      </c>
      <c r="C176" s="10">
        <f>'A) Base RI'!C176+'A) Base RI'!D176</f>
        <v>239960.16</v>
      </c>
      <c r="D176" s="10">
        <f>'A) Base RI'!AO176</f>
        <v>-17.32</v>
      </c>
      <c r="E176" s="32">
        <f>'A) Base RI'!AP176</f>
        <v>0</v>
      </c>
      <c r="F176" s="32">
        <f>'A) Base RI'!AQ176</f>
        <v>0</v>
      </c>
      <c r="G176" s="2">
        <f t="shared" si="12"/>
        <v>239942.84</v>
      </c>
      <c r="H176" s="10">
        <f>+'A) Base RI'!E176</f>
        <v>0</v>
      </c>
      <c r="I176" s="10">
        <f>+'A) Base RI'!F176</f>
        <v>0</v>
      </c>
      <c r="J176" s="10">
        <f>+'A) Base RI'!G176+'A) Base RI'!H176</f>
        <v>32962.549999999996</v>
      </c>
      <c r="K176" s="10">
        <f>+'A) Base RI'!I176</f>
        <v>0</v>
      </c>
      <c r="L176" s="10">
        <f>+'A) Base RI'!J176</f>
        <v>3045.88</v>
      </c>
      <c r="M176" s="10">
        <f>+'A) Base RI'!K176</f>
        <v>105</v>
      </c>
      <c r="N176" s="10">
        <f>+'A) Base RI'!Q176</f>
        <v>0</v>
      </c>
      <c r="O176" s="10">
        <f t="shared" si="13"/>
        <v>23844.5</v>
      </c>
      <c r="P176" s="10">
        <f>+'A) Base RI'!L176</f>
        <v>23844.5</v>
      </c>
      <c r="Q176" s="35">
        <f>'A) Base RI'!AR176</f>
        <v>1</v>
      </c>
      <c r="R176" s="2">
        <f t="shared" si="14"/>
        <v>299900.77</v>
      </c>
      <c r="S176" s="34">
        <f>+'A) Base RI'!AM176</f>
        <v>75.599999999999994</v>
      </c>
      <c r="T176" s="2">
        <f t="shared" si="15"/>
        <v>275951.27</v>
      </c>
      <c r="U176" s="2">
        <f t="shared" si="16"/>
        <v>3966.9414021164025</v>
      </c>
      <c r="V176" s="10">
        <f>+'A) Base RI'!O176</f>
        <v>0</v>
      </c>
      <c r="W176" s="10">
        <f>+'A) Base RI'!P176</f>
        <v>20325.55</v>
      </c>
      <c r="X176" s="10">
        <f>+'A) Base RI'!R176</f>
        <v>15067.2</v>
      </c>
      <c r="Y176" s="2">
        <f t="shared" si="17"/>
        <v>35392.75</v>
      </c>
      <c r="Z176" s="10">
        <f>+'A) Base RI'!N176</f>
        <v>0</v>
      </c>
      <c r="AA176" s="10">
        <f>+'A) Base RI'!S176+'A) Base RI'!T176</f>
        <v>0</v>
      </c>
      <c r="AB176" s="10">
        <f>+'A) Base RI'!U176</f>
        <v>620</v>
      </c>
      <c r="AC176" s="10">
        <f>+'A) Base RI'!V176</f>
        <v>0</v>
      </c>
      <c r="AD176" s="10">
        <f>+'A) Base RI'!W176</f>
        <v>0</v>
      </c>
      <c r="AE176" s="10">
        <f>+'A) Base RI'!Y176</f>
        <v>15600</v>
      </c>
      <c r="AF176" s="10">
        <f>+'A) Base RI'!Z176</f>
        <v>0</v>
      </c>
      <c r="AG176" s="10">
        <f>+'A) Base RI'!AA176</f>
        <v>6397.2</v>
      </c>
      <c r="AH176" s="10">
        <f>+'A) Base RI'!AB176</f>
        <v>0</v>
      </c>
      <c r="AI176" s="10">
        <f>+'A) Base RI'!AC176</f>
        <v>15717.25</v>
      </c>
      <c r="AJ176" s="10">
        <f>+'A) Base RI'!AD176</f>
        <v>0</v>
      </c>
      <c r="AK176" s="10">
        <f>+'A) Base RI'!AE176</f>
        <v>0</v>
      </c>
      <c r="AL176" s="10">
        <f>+'A) Base RI'!AF176</f>
        <v>0</v>
      </c>
      <c r="AM176" s="10">
        <f>+'A) Base RI'!AG176</f>
        <v>0</v>
      </c>
      <c r="AN176" s="10">
        <f>+'A) Base RI'!AH176</f>
        <v>0</v>
      </c>
      <c r="AO176" s="10">
        <f>+'A) Base RI'!AI176</f>
        <v>0</v>
      </c>
      <c r="AP176" s="10">
        <f>+'A) Base RI'!AJ176</f>
        <v>0</v>
      </c>
      <c r="AQ176" s="10">
        <f>+'A) Base RI'!AK176</f>
        <v>0</v>
      </c>
      <c r="AR176" s="10">
        <f>'A) Base RI'!AN176</f>
        <v>159</v>
      </c>
    </row>
    <row r="177" spans="1:44" x14ac:dyDescent="0.25">
      <c r="A177" s="8">
        <f>'A) Base RI'!A177</f>
        <v>5690</v>
      </c>
      <c r="B177" s="33" t="str">
        <f>'A) Base RI'!B177</f>
        <v>Villars-le-Comte</v>
      </c>
      <c r="C177" s="10">
        <f>'A) Base RI'!C177+'A) Base RI'!D177</f>
        <v>262762.33</v>
      </c>
      <c r="D177" s="10">
        <f>'A) Base RI'!AO177</f>
        <v>-167.45</v>
      </c>
      <c r="E177" s="32">
        <f>'A) Base RI'!AP177</f>
        <v>0</v>
      </c>
      <c r="F177" s="32">
        <f>'A) Base RI'!AQ177</f>
        <v>0</v>
      </c>
      <c r="G177" s="2">
        <f t="shared" si="12"/>
        <v>262594.88</v>
      </c>
      <c r="H177" s="10">
        <f>+'A) Base RI'!E177</f>
        <v>0</v>
      </c>
      <c r="I177" s="10">
        <f>+'A) Base RI'!F177</f>
        <v>890</v>
      </c>
      <c r="J177" s="10">
        <f>+'A) Base RI'!G177+'A) Base RI'!H177</f>
        <v>470.65000000000003</v>
      </c>
      <c r="K177" s="10">
        <f>+'A) Base RI'!I177</f>
        <v>0</v>
      </c>
      <c r="L177" s="10">
        <f>+'A) Base RI'!J177</f>
        <v>1.57</v>
      </c>
      <c r="M177" s="10">
        <f>+'A) Base RI'!K177</f>
        <v>184.1</v>
      </c>
      <c r="N177" s="10">
        <f>+'A) Base RI'!Q177</f>
        <v>0</v>
      </c>
      <c r="O177" s="10">
        <f t="shared" si="13"/>
        <v>20017.291666666668</v>
      </c>
      <c r="P177" s="10">
        <f>+'A) Base RI'!L177</f>
        <v>24020.75</v>
      </c>
      <c r="Q177" s="35">
        <f>'A) Base RI'!AR177</f>
        <v>1.2</v>
      </c>
      <c r="R177" s="2">
        <f t="shared" si="14"/>
        <v>284158.4916666667</v>
      </c>
      <c r="S177" s="34">
        <f>+'A) Base RI'!AM177</f>
        <v>70</v>
      </c>
      <c r="T177" s="2">
        <f t="shared" si="15"/>
        <v>263067.10000000003</v>
      </c>
      <c r="U177" s="2">
        <f t="shared" si="16"/>
        <v>4059.4070238095242</v>
      </c>
      <c r="V177" s="10">
        <f>+'A) Base RI'!O177</f>
        <v>0</v>
      </c>
      <c r="W177" s="10">
        <f>+'A) Base RI'!P177</f>
        <v>7412.25</v>
      </c>
      <c r="X177" s="10">
        <f>+'A) Base RI'!R177</f>
        <v>2814.6</v>
      </c>
      <c r="Y177" s="2">
        <f t="shared" si="17"/>
        <v>10226.85</v>
      </c>
      <c r="Z177" s="10">
        <f>+'A) Base RI'!N177</f>
        <v>0</v>
      </c>
      <c r="AA177" s="10">
        <f>+'A) Base RI'!S177+'A) Base RI'!T177</f>
        <v>0</v>
      </c>
      <c r="AB177" s="10">
        <f>+'A) Base RI'!U177</f>
        <v>500</v>
      </c>
      <c r="AC177" s="10">
        <f>+'A) Base RI'!V177</f>
        <v>0</v>
      </c>
      <c r="AD177" s="10">
        <f>+'A) Base RI'!W177</f>
        <v>0</v>
      </c>
      <c r="AE177" s="10">
        <f>+'A) Base RI'!Y177</f>
        <v>0</v>
      </c>
      <c r="AF177" s="10" t="str">
        <f>+'A) Base RI'!Z177</f>
        <v/>
      </c>
      <c r="AG177" s="10">
        <f>+'A) Base RI'!AA177</f>
        <v>20154.2</v>
      </c>
      <c r="AH177" s="10">
        <f>+'A) Base RI'!AB177</f>
        <v>0</v>
      </c>
      <c r="AI177" s="10">
        <f>+'A) Base RI'!AC177</f>
        <v>14399.75</v>
      </c>
      <c r="AJ177" s="10" t="str">
        <f>+'A) Base RI'!AD177</f>
        <v/>
      </c>
      <c r="AK177" s="10">
        <f>+'A) Base RI'!AE177</f>
        <v>0</v>
      </c>
      <c r="AL177" s="10" t="str">
        <f>+'A) Base RI'!AF177</f>
        <v/>
      </c>
      <c r="AM177" s="10" t="str">
        <f>+'A) Base RI'!AG177</f>
        <v/>
      </c>
      <c r="AN177" s="10">
        <f>+'A) Base RI'!AH177</f>
        <v>0</v>
      </c>
      <c r="AO177" s="10">
        <f>+'A) Base RI'!AI177</f>
        <v>0</v>
      </c>
      <c r="AP177" s="10">
        <f>+'A) Base RI'!AJ177</f>
        <v>0</v>
      </c>
      <c r="AQ177" s="10">
        <f>+'A) Base RI'!AK177</f>
        <v>0</v>
      </c>
      <c r="AR177" s="10">
        <f>'A) Base RI'!AN177</f>
        <v>132</v>
      </c>
    </row>
    <row r="178" spans="1:44" x14ac:dyDescent="0.25">
      <c r="A178" s="8">
        <f>'A) Base RI'!A178</f>
        <v>5692</v>
      </c>
      <c r="B178" s="33" t="str">
        <f>'A) Base RI'!B178</f>
        <v>Vucherens</v>
      </c>
      <c r="C178" s="10">
        <f>'A) Base RI'!C178+'A) Base RI'!D178</f>
        <v>1219809.8</v>
      </c>
      <c r="D178" s="10">
        <f>'A) Base RI'!AO178</f>
        <v>-72399.69</v>
      </c>
      <c r="E178" s="32">
        <f>'A) Base RI'!AP178</f>
        <v>0</v>
      </c>
      <c r="F178" s="32">
        <f>'A) Base RI'!AQ178</f>
        <v>-11.03</v>
      </c>
      <c r="G178" s="2">
        <f t="shared" si="12"/>
        <v>1147399.08</v>
      </c>
      <c r="H178" s="10">
        <f>+'A) Base RI'!E178</f>
        <v>0</v>
      </c>
      <c r="I178" s="10">
        <f>+'A) Base RI'!F178</f>
        <v>0</v>
      </c>
      <c r="J178" s="10">
        <f>+'A) Base RI'!G178+'A) Base RI'!H178</f>
        <v>5763.3</v>
      </c>
      <c r="K178" s="10">
        <f>+'A) Base RI'!I178</f>
        <v>0</v>
      </c>
      <c r="L178" s="10">
        <f>+'A) Base RI'!J178</f>
        <v>19888.599999999999</v>
      </c>
      <c r="M178" s="10">
        <f>+'A) Base RI'!K178</f>
        <v>427.65</v>
      </c>
      <c r="N178" s="10">
        <f>+'A) Base RI'!Q178</f>
        <v>16710.759999999998</v>
      </c>
      <c r="O178" s="10">
        <f t="shared" si="13"/>
        <v>90054</v>
      </c>
      <c r="P178" s="10">
        <f>+'A) Base RI'!L178</f>
        <v>90054</v>
      </c>
      <c r="Q178" s="35">
        <f>'A) Base RI'!AR178</f>
        <v>1</v>
      </c>
      <c r="R178" s="2">
        <f t="shared" si="14"/>
        <v>1280243.3900000001</v>
      </c>
      <c r="S178" s="34">
        <f>+'A) Base RI'!AM178</f>
        <v>79</v>
      </c>
      <c r="T178" s="2">
        <f t="shared" si="15"/>
        <v>1189761.7400000002</v>
      </c>
      <c r="U178" s="2">
        <f t="shared" si="16"/>
        <v>16205.612531645571</v>
      </c>
      <c r="V178" s="10">
        <f>+'A) Base RI'!O178</f>
        <v>0</v>
      </c>
      <c r="W178" s="10">
        <f>+'A) Base RI'!P178</f>
        <v>59910.75</v>
      </c>
      <c r="X178" s="10">
        <f>+'A) Base RI'!R178</f>
        <v>89092</v>
      </c>
      <c r="Y178" s="2">
        <f t="shared" si="17"/>
        <v>149002.75</v>
      </c>
      <c r="Z178" s="10">
        <f>+'A) Base RI'!N178</f>
        <v>14555.75</v>
      </c>
      <c r="AA178" s="10">
        <f>+'A) Base RI'!S178+'A) Base RI'!T178</f>
        <v>0</v>
      </c>
      <c r="AB178" s="10">
        <f>+'A) Base RI'!U178</f>
        <v>7600</v>
      </c>
      <c r="AC178" s="10">
        <f>+'A) Base RI'!V178</f>
        <v>0</v>
      </c>
      <c r="AD178" s="10">
        <f>+'A) Base RI'!W178</f>
        <v>0</v>
      </c>
      <c r="AE178" s="10">
        <f>+'A) Base RI'!Y178</f>
        <v>78622</v>
      </c>
      <c r="AF178" s="10">
        <f>+'A) Base RI'!Z178</f>
        <v>0</v>
      </c>
      <c r="AG178" s="10">
        <f>+'A) Base RI'!AA178</f>
        <v>78260.3</v>
      </c>
      <c r="AH178" s="10">
        <f>+'A) Base RI'!AB178</f>
        <v>0</v>
      </c>
      <c r="AI178" s="10">
        <f>+'A) Base RI'!AC178</f>
        <v>34721.75</v>
      </c>
      <c r="AJ178" s="10">
        <f>+'A) Base RI'!AD178</f>
        <v>71436.55</v>
      </c>
      <c r="AK178" s="10">
        <f>+'A) Base RI'!AE178</f>
        <v>0</v>
      </c>
      <c r="AL178" s="10">
        <f>+'A) Base RI'!AF178</f>
        <v>0</v>
      </c>
      <c r="AM178" s="10">
        <f>+'A) Base RI'!AG178</f>
        <v>0</v>
      </c>
      <c r="AN178" s="10">
        <f>+'A) Base RI'!AH178</f>
        <v>0</v>
      </c>
      <c r="AO178" s="10">
        <f>+'A) Base RI'!AI178</f>
        <v>0</v>
      </c>
      <c r="AP178" s="10">
        <f>+'A) Base RI'!AJ178</f>
        <v>9604.2999999999993</v>
      </c>
      <c r="AQ178" s="10">
        <f>+'A) Base RI'!AK178</f>
        <v>0</v>
      </c>
      <c r="AR178" s="10">
        <f>'A) Base RI'!AN178</f>
        <v>577</v>
      </c>
    </row>
    <row r="179" spans="1:44" x14ac:dyDescent="0.25">
      <c r="A179" s="8">
        <f>'A) Base RI'!A179</f>
        <v>5693</v>
      </c>
      <c r="B179" s="33" t="str">
        <f>'A) Base RI'!B179</f>
        <v>Montanaire</v>
      </c>
      <c r="C179" s="10">
        <f>'A) Base RI'!C179+'A) Base RI'!D179</f>
        <v>4524953.07</v>
      </c>
      <c r="D179" s="10">
        <f>'A) Base RI'!AO179</f>
        <v>-74573.210000000006</v>
      </c>
      <c r="E179" s="32">
        <f>'A) Base RI'!AP179</f>
        <v>0</v>
      </c>
      <c r="F179" s="32">
        <f>'A) Base RI'!AQ179</f>
        <v>-33.36</v>
      </c>
      <c r="G179" s="2">
        <f t="shared" si="12"/>
        <v>4450346.5</v>
      </c>
      <c r="H179" s="10">
        <f>+'A) Base RI'!E179</f>
        <v>0</v>
      </c>
      <c r="I179" s="10">
        <f>+'A) Base RI'!F179</f>
        <v>0</v>
      </c>
      <c r="J179" s="10">
        <f>+'A) Base RI'!G179+'A) Base RI'!H179</f>
        <v>120301.75</v>
      </c>
      <c r="K179" s="10">
        <f>+'A) Base RI'!I179</f>
        <v>0</v>
      </c>
      <c r="L179" s="10">
        <f>+'A) Base RI'!J179</f>
        <v>58959.23</v>
      </c>
      <c r="M179" s="10">
        <f>+'A) Base RI'!K179</f>
        <v>5044.8</v>
      </c>
      <c r="N179" s="10">
        <f>+'A) Base RI'!Q179</f>
        <v>26974.77</v>
      </c>
      <c r="O179" s="10">
        <f t="shared" si="13"/>
        <v>373325.5</v>
      </c>
      <c r="P179" s="10">
        <f>+'A) Base RI'!L179</f>
        <v>373325.5</v>
      </c>
      <c r="Q179" s="35">
        <f>'A) Base RI'!AR179</f>
        <v>1</v>
      </c>
      <c r="R179" s="2">
        <f t="shared" si="14"/>
        <v>5034952.55</v>
      </c>
      <c r="S179" s="34">
        <f>+'A) Base RI'!AM179</f>
        <v>72</v>
      </c>
      <c r="T179" s="2">
        <f t="shared" si="15"/>
        <v>4656582.25</v>
      </c>
      <c r="U179" s="2">
        <f t="shared" si="16"/>
        <v>69929.896527777775</v>
      </c>
      <c r="V179" s="10">
        <f>+'A) Base RI'!O179</f>
        <v>7264.5</v>
      </c>
      <c r="W179" s="10">
        <f>+'A) Base RI'!P179</f>
        <v>172004.1</v>
      </c>
      <c r="X179" s="10">
        <f>+'A) Base RI'!R179</f>
        <v>137428.95000000001</v>
      </c>
      <c r="Y179" s="2">
        <f t="shared" si="17"/>
        <v>316697.55000000005</v>
      </c>
      <c r="Z179" s="10">
        <f>+'A) Base RI'!N179</f>
        <v>38276.35</v>
      </c>
      <c r="AA179" s="10">
        <f>+'A) Base RI'!S179+'A) Base RI'!T179</f>
        <v>8117.6</v>
      </c>
      <c r="AB179" s="10">
        <f>+'A) Base RI'!U179</f>
        <v>15030</v>
      </c>
      <c r="AC179" s="10">
        <f>+'A) Base RI'!V179</f>
        <v>0</v>
      </c>
      <c r="AD179" s="10">
        <f>+'A) Base RI'!W179</f>
        <v>0</v>
      </c>
      <c r="AE179" s="10">
        <f>+'A) Base RI'!Y179</f>
        <v>108158</v>
      </c>
      <c r="AF179" s="10">
        <f>+'A) Base RI'!Z179</f>
        <v>0</v>
      </c>
      <c r="AG179" s="10">
        <f>+'A) Base RI'!AA179</f>
        <v>462933.8</v>
      </c>
      <c r="AH179" s="10">
        <f>+'A) Base RI'!AB179</f>
        <v>0</v>
      </c>
      <c r="AI179" s="10">
        <f>+'A) Base RI'!AC179</f>
        <v>284970.25</v>
      </c>
      <c r="AJ179" s="10">
        <f>+'A) Base RI'!AD179</f>
        <v>43133</v>
      </c>
      <c r="AK179" s="10">
        <f>+'A) Base RI'!AE179</f>
        <v>0</v>
      </c>
      <c r="AL179" s="10">
        <f>+'A) Base RI'!AF179</f>
        <v>0</v>
      </c>
      <c r="AM179" s="10">
        <f>+'A) Base RI'!AG179</f>
        <v>0</v>
      </c>
      <c r="AN179" s="10">
        <f>+'A) Base RI'!AH179</f>
        <v>59107.7</v>
      </c>
      <c r="AO179" s="10">
        <f>+'A) Base RI'!AI179</f>
        <v>0</v>
      </c>
      <c r="AP179" s="10">
        <f>+'A) Base RI'!AJ179</f>
        <v>0</v>
      </c>
      <c r="AQ179" s="10">
        <f>+'A) Base RI'!AK179</f>
        <v>0</v>
      </c>
      <c r="AR179" s="10">
        <f>'A) Base RI'!AN179</f>
        <v>2685</v>
      </c>
    </row>
    <row r="180" spans="1:44" x14ac:dyDescent="0.25">
      <c r="A180" s="8">
        <f>'A) Base RI'!A180</f>
        <v>5701</v>
      </c>
      <c r="B180" s="33" t="str">
        <f>'A) Base RI'!B180</f>
        <v>Arnex-sur-Nyon</v>
      </c>
      <c r="C180" s="10">
        <f>'A) Base RI'!C180+'A) Base RI'!D180</f>
        <v>814103.46</v>
      </c>
      <c r="D180" s="10">
        <f>'A) Base RI'!AO180</f>
        <v>-6752.27</v>
      </c>
      <c r="E180" s="32">
        <f>'A) Base RI'!AP180</f>
        <v>0</v>
      </c>
      <c r="F180" s="32">
        <f>'A) Base RI'!AQ180</f>
        <v>-126.92</v>
      </c>
      <c r="G180" s="2">
        <f t="shared" si="12"/>
        <v>807224.2699999999</v>
      </c>
      <c r="H180" s="10">
        <f>+'A) Base RI'!E180</f>
        <v>0</v>
      </c>
      <c r="I180" s="10">
        <f>+'A) Base RI'!F180</f>
        <v>0</v>
      </c>
      <c r="J180" s="10">
        <f>+'A) Base RI'!G180+'A) Base RI'!H180</f>
        <v>8659.5499999999993</v>
      </c>
      <c r="K180" s="10">
        <f>+'A) Base RI'!I180</f>
        <v>51008</v>
      </c>
      <c r="L180" s="10">
        <f>+'A) Base RI'!J180</f>
        <v>7767.55</v>
      </c>
      <c r="M180" s="10">
        <f>+'A) Base RI'!K180</f>
        <v>317.5</v>
      </c>
      <c r="N180" s="10">
        <f>+'A) Base RI'!Q180</f>
        <v>0</v>
      </c>
      <c r="O180" s="10">
        <f t="shared" si="13"/>
        <v>70169</v>
      </c>
      <c r="P180" s="10">
        <f>+'A) Base RI'!L180</f>
        <v>70169</v>
      </c>
      <c r="Q180" s="35">
        <f>'A) Base RI'!AR180</f>
        <v>1</v>
      </c>
      <c r="R180" s="2">
        <f t="shared" si="14"/>
        <v>945145.87</v>
      </c>
      <c r="S180" s="34">
        <f>+'A) Base RI'!AM180</f>
        <v>70</v>
      </c>
      <c r="T180" s="2">
        <f t="shared" si="15"/>
        <v>874659.37</v>
      </c>
      <c r="U180" s="2">
        <f t="shared" si="16"/>
        <v>13502.083857142858</v>
      </c>
      <c r="V180" s="10">
        <f>+'A) Base RI'!O180</f>
        <v>9398.2000000000007</v>
      </c>
      <c r="W180" s="10">
        <f>+'A) Base RI'!P180</f>
        <v>72568.800000000003</v>
      </c>
      <c r="X180" s="10">
        <f>+'A) Base RI'!R180</f>
        <v>67704.899999999994</v>
      </c>
      <c r="Y180" s="2">
        <f t="shared" si="17"/>
        <v>149671.9</v>
      </c>
      <c r="Z180" s="10">
        <f>+'A) Base RI'!N180</f>
        <v>0</v>
      </c>
      <c r="AA180" s="10">
        <f>+'A) Base RI'!S180+'A) Base RI'!T180</f>
        <v>0</v>
      </c>
      <c r="AB180" s="10">
        <f>+'A) Base RI'!U180</f>
        <v>850</v>
      </c>
      <c r="AC180" s="10">
        <f>+'A) Base RI'!V180</f>
        <v>0</v>
      </c>
      <c r="AD180" s="10">
        <f>+'A) Base RI'!W180</f>
        <v>0</v>
      </c>
      <c r="AE180" s="10">
        <f>+'A) Base RI'!Y180</f>
        <v>15710.55</v>
      </c>
      <c r="AF180" s="10">
        <f>+'A) Base RI'!Z180</f>
        <v>0</v>
      </c>
      <c r="AG180" s="10">
        <f>+'A) Base RI'!AA180</f>
        <v>23408.87</v>
      </c>
      <c r="AH180" s="10">
        <f>+'A) Base RI'!AB180</f>
        <v>0</v>
      </c>
      <c r="AI180" s="10">
        <f>+'A) Base RI'!AC180</f>
        <v>15780</v>
      </c>
      <c r="AJ180" s="10">
        <f>+'A) Base RI'!AD180</f>
        <v>350</v>
      </c>
      <c r="AK180" s="10">
        <f>+'A) Base RI'!AE180</f>
        <v>0</v>
      </c>
      <c r="AL180" s="10">
        <f>+'A) Base RI'!AF180</f>
        <v>0</v>
      </c>
      <c r="AM180" s="10">
        <f>+'A) Base RI'!AG180</f>
        <v>246</v>
      </c>
      <c r="AN180" s="10">
        <f>+'A) Base RI'!AH180</f>
        <v>0</v>
      </c>
      <c r="AO180" s="10">
        <f>+'A) Base RI'!AI180</f>
        <v>0</v>
      </c>
      <c r="AP180" s="10">
        <f>+'A) Base RI'!AJ180</f>
        <v>0</v>
      </c>
      <c r="AQ180" s="10">
        <f>+'A) Base RI'!AK180</f>
        <v>0</v>
      </c>
      <c r="AR180" s="10">
        <f>'A) Base RI'!AN180</f>
        <v>235</v>
      </c>
    </row>
    <row r="181" spans="1:44" x14ac:dyDescent="0.25">
      <c r="A181" s="8">
        <f>'A) Base RI'!A181</f>
        <v>5702</v>
      </c>
      <c r="B181" s="33" t="str">
        <f>'A) Base RI'!B181</f>
        <v>Arzier-Le Muids</v>
      </c>
      <c r="C181" s="10">
        <f>'A) Base RI'!C181+'A) Base RI'!D181</f>
        <v>9935942.9600000009</v>
      </c>
      <c r="D181" s="10">
        <f>'A) Base RI'!AO181</f>
        <v>-31383.75</v>
      </c>
      <c r="E181" s="32">
        <f>'A) Base RI'!AP181</f>
        <v>0</v>
      </c>
      <c r="F181" s="32">
        <f>'A) Base RI'!AQ181</f>
        <v>-11858.01</v>
      </c>
      <c r="G181" s="2">
        <f t="shared" si="12"/>
        <v>9892701.2000000011</v>
      </c>
      <c r="H181" s="10">
        <f>+'A) Base RI'!E181</f>
        <v>0</v>
      </c>
      <c r="I181" s="10">
        <f>+'A) Base RI'!F181</f>
        <v>0</v>
      </c>
      <c r="J181" s="10">
        <f>+'A) Base RI'!G181+'A) Base RI'!H181</f>
        <v>10595.949999999988</v>
      </c>
      <c r="K181" s="10">
        <f>+'A) Base RI'!I181</f>
        <v>439409</v>
      </c>
      <c r="L181" s="10">
        <f>+'A) Base RI'!J181</f>
        <v>145421.81</v>
      </c>
      <c r="M181" s="10">
        <f>+'A) Base RI'!K181</f>
        <v>12669.95</v>
      </c>
      <c r="N181" s="10">
        <f>+'A) Base RI'!Q181</f>
        <v>5512.05</v>
      </c>
      <c r="O181" s="10">
        <f t="shared" si="13"/>
        <v>762308.83333333337</v>
      </c>
      <c r="P181" s="10">
        <f>+'A) Base RI'!L181</f>
        <v>1143463.25</v>
      </c>
      <c r="Q181" s="35">
        <f>'A) Base RI'!AR181</f>
        <v>1.5</v>
      </c>
      <c r="R181" s="2">
        <f t="shared" si="14"/>
        <v>11268618.793333335</v>
      </c>
      <c r="S181" s="34">
        <f>+'A) Base RI'!AM181</f>
        <v>64</v>
      </c>
      <c r="T181" s="2">
        <f t="shared" si="15"/>
        <v>10493640.010000002</v>
      </c>
      <c r="U181" s="2">
        <f t="shared" si="16"/>
        <v>176072.16864583336</v>
      </c>
      <c r="V181" s="10">
        <f>+'A) Base RI'!O181</f>
        <v>331.8</v>
      </c>
      <c r="W181" s="10">
        <f>+'A) Base RI'!P181</f>
        <v>853481.65</v>
      </c>
      <c r="X181" s="10">
        <f>+'A) Base RI'!R181</f>
        <v>455841.45</v>
      </c>
      <c r="Y181" s="2">
        <f t="shared" si="17"/>
        <v>1309654.9000000001</v>
      </c>
      <c r="Z181" s="10">
        <f>+'A) Base RI'!N181</f>
        <v>66724</v>
      </c>
      <c r="AA181" s="10">
        <f>+'A) Base RI'!S181+'A) Base RI'!T181</f>
        <v>0</v>
      </c>
      <c r="AB181" s="10">
        <f>+'A) Base RI'!U181</f>
        <v>23940</v>
      </c>
      <c r="AC181" s="10">
        <f>+'A) Base RI'!V181</f>
        <v>0</v>
      </c>
      <c r="AD181" s="10">
        <f>+'A) Base RI'!W181</f>
        <v>0</v>
      </c>
      <c r="AE181" s="10">
        <f>+'A) Base RI'!Y181</f>
        <v>270073.59999999998</v>
      </c>
      <c r="AF181" s="10">
        <f>+'A) Base RI'!Z181</f>
        <v>0</v>
      </c>
      <c r="AG181" s="10">
        <f>+'A) Base RI'!AA181</f>
        <v>256107.65</v>
      </c>
      <c r="AH181" s="10">
        <f>+'A) Base RI'!AB181</f>
        <v>0</v>
      </c>
      <c r="AI181" s="10">
        <f>+'A) Base RI'!AC181</f>
        <v>280825.90000000002</v>
      </c>
      <c r="AJ181" s="10">
        <f>+'A) Base RI'!AD181</f>
        <v>534387.19999999995</v>
      </c>
      <c r="AK181" s="10">
        <f>+'A) Base RI'!AE181</f>
        <v>0</v>
      </c>
      <c r="AL181" s="10">
        <f>+'A) Base RI'!AF181</f>
        <v>0</v>
      </c>
      <c r="AM181" s="10">
        <f>+'A) Base RI'!AG181</f>
        <v>32047.75</v>
      </c>
      <c r="AN181" s="10">
        <f>+'A) Base RI'!AH181</f>
        <v>0</v>
      </c>
      <c r="AO181" s="10">
        <f>+'A) Base RI'!AI181</f>
        <v>0</v>
      </c>
      <c r="AP181" s="10">
        <f>+'A) Base RI'!AJ181</f>
        <v>0</v>
      </c>
      <c r="AQ181" s="10">
        <f>+'A) Base RI'!AK181</f>
        <v>0</v>
      </c>
      <c r="AR181" s="10">
        <f>'A) Base RI'!AN181</f>
        <v>2697</v>
      </c>
    </row>
    <row r="182" spans="1:44" x14ac:dyDescent="0.25">
      <c r="A182" s="8">
        <f>'A) Base RI'!A182</f>
        <v>5703</v>
      </c>
      <c r="B182" s="33" t="str">
        <f>'A) Base RI'!B182</f>
        <v>Bassins</v>
      </c>
      <c r="C182" s="10">
        <f>'A) Base RI'!C182+'A) Base RI'!D182</f>
        <v>3734586.37</v>
      </c>
      <c r="D182" s="10">
        <f>'A) Base RI'!AO182</f>
        <v>-37679.410000000003</v>
      </c>
      <c r="E182" s="32">
        <f>'A) Base RI'!AP182</f>
        <v>0</v>
      </c>
      <c r="F182" s="32">
        <f>'A) Base RI'!AQ182</f>
        <v>-360.24</v>
      </c>
      <c r="G182" s="2">
        <f t="shared" si="12"/>
        <v>3696546.7199999997</v>
      </c>
      <c r="H182" s="10">
        <f>+'A) Base RI'!E182</f>
        <v>0</v>
      </c>
      <c r="I182" s="10">
        <f>+'A) Base RI'!F182</f>
        <v>0</v>
      </c>
      <c r="J182" s="10">
        <f>+'A) Base RI'!G182+'A) Base RI'!H182</f>
        <v>-5607.4</v>
      </c>
      <c r="K182" s="10">
        <f>+'A) Base RI'!I182</f>
        <v>32655.599999999999</v>
      </c>
      <c r="L182" s="10">
        <f>+'A) Base RI'!J182</f>
        <v>56313.73</v>
      </c>
      <c r="M182" s="10">
        <f>+'A) Base RI'!K182</f>
        <v>809.05</v>
      </c>
      <c r="N182" s="10">
        <f>+'A) Base RI'!Q182</f>
        <v>480.08</v>
      </c>
      <c r="O182" s="10">
        <f t="shared" si="13"/>
        <v>306949.42857142858</v>
      </c>
      <c r="P182" s="10">
        <f>+'A) Base RI'!L182</f>
        <v>429729.2</v>
      </c>
      <c r="Q182" s="35">
        <f>'A) Base RI'!AR182</f>
        <v>1.4</v>
      </c>
      <c r="R182" s="2">
        <f t="shared" si="14"/>
        <v>4088147.2085714284</v>
      </c>
      <c r="S182" s="34">
        <f>+'A) Base RI'!AM182</f>
        <v>74</v>
      </c>
      <c r="T182" s="2">
        <f t="shared" si="15"/>
        <v>3780388.73</v>
      </c>
      <c r="U182" s="2">
        <f t="shared" si="16"/>
        <v>55245.232548262546</v>
      </c>
      <c r="V182" s="10">
        <f>+'A) Base RI'!O182</f>
        <v>92760.4</v>
      </c>
      <c r="W182" s="10">
        <f>+'A) Base RI'!P182</f>
        <v>163031.54999999999</v>
      </c>
      <c r="X182" s="10">
        <f>+'A) Base RI'!R182</f>
        <v>122432.1</v>
      </c>
      <c r="Y182" s="2">
        <f t="shared" si="17"/>
        <v>378224.05</v>
      </c>
      <c r="Z182" s="10">
        <f>+'A) Base RI'!N182</f>
        <v>26060.7</v>
      </c>
      <c r="AA182" s="10">
        <f>+'A) Base RI'!S182+'A) Base RI'!T182</f>
        <v>0</v>
      </c>
      <c r="AB182" s="10">
        <f>+'A) Base RI'!U182</f>
        <v>11025</v>
      </c>
      <c r="AC182" s="10">
        <f>+'A) Base RI'!V182</f>
        <v>0</v>
      </c>
      <c r="AD182" s="10">
        <f>+'A) Base RI'!W182</f>
        <v>0</v>
      </c>
      <c r="AE182" s="10">
        <f>+'A) Base RI'!Y182</f>
        <v>65927.05</v>
      </c>
      <c r="AF182" s="10">
        <f>+'A) Base RI'!Z182</f>
        <v>0</v>
      </c>
      <c r="AG182" s="10">
        <f>+'A) Base RI'!AA182</f>
        <v>153692.6</v>
      </c>
      <c r="AH182" s="10">
        <f>+'A) Base RI'!AB182</f>
        <v>0</v>
      </c>
      <c r="AI182" s="10">
        <f>+'A) Base RI'!AC182</f>
        <v>97101.25</v>
      </c>
      <c r="AJ182" s="10">
        <f>+'A) Base RI'!AD182</f>
        <v>46314.35</v>
      </c>
      <c r="AK182" s="10">
        <f>+'A) Base RI'!AE182</f>
        <v>0</v>
      </c>
      <c r="AL182" s="10">
        <f>+'A) Base RI'!AF182</f>
        <v>0</v>
      </c>
      <c r="AM182" s="10">
        <f>+'A) Base RI'!AG182</f>
        <v>0</v>
      </c>
      <c r="AN182" s="10">
        <f>+'A) Base RI'!AH182</f>
        <v>0</v>
      </c>
      <c r="AO182" s="10">
        <f>+'A) Base RI'!AI182</f>
        <v>0</v>
      </c>
      <c r="AP182" s="10">
        <f>+'A) Base RI'!AJ182</f>
        <v>0</v>
      </c>
      <c r="AQ182" s="10">
        <f>+'A) Base RI'!AK182</f>
        <v>0</v>
      </c>
      <c r="AR182" s="10">
        <f>'A) Base RI'!AN182</f>
        <v>1347</v>
      </c>
    </row>
    <row r="183" spans="1:44" x14ac:dyDescent="0.25">
      <c r="A183" s="8">
        <f>'A) Base RI'!A183</f>
        <v>5704</v>
      </c>
      <c r="B183" s="33" t="str">
        <f>'A) Base RI'!B183</f>
        <v>Begnins</v>
      </c>
      <c r="C183" s="10">
        <f>'A) Base RI'!C183+'A) Base RI'!D183</f>
        <v>6705020.7599999998</v>
      </c>
      <c r="D183" s="10">
        <f>'A) Base RI'!AO183</f>
        <v>-119191.06</v>
      </c>
      <c r="E183" s="32">
        <f>'A) Base RI'!AP183</f>
        <v>0</v>
      </c>
      <c r="F183" s="32">
        <f>'A) Base RI'!AQ183</f>
        <v>-6048.49</v>
      </c>
      <c r="G183" s="2">
        <f t="shared" si="12"/>
        <v>6579781.21</v>
      </c>
      <c r="H183" s="10">
        <f>+'A) Base RI'!E183</f>
        <v>0</v>
      </c>
      <c r="I183" s="10">
        <f>+'A) Base RI'!F183</f>
        <v>0</v>
      </c>
      <c r="J183" s="10">
        <f>+'A) Base RI'!G183+'A) Base RI'!H183</f>
        <v>212521.44999999998</v>
      </c>
      <c r="K183" s="10">
        <f>+'A) Base RI'!I183</f>
        <v>337456.3</v>
      </c>
      <c r="L183" s="10">
        <f>+'A) Base RI'!J183</f>
        <v>210135.65</v>
      </c>
      <c r="M183" s="10">
        <f>+'A) Base RI'!K183</f>
        <v>15474.5</v>
      </c>
      <c r="N183" s="10">
        <f>+'A) Base RI'!Q183</f>
        <v>70451</v>
      </c>
      <c r="O183" s="10">
        <f t="shared" si="13"/>
        <v>501379.6333333333</v>
      </c>
      <c r="P183" s="10">
        <f>+'A) Base RI'!L183</f>
        <v>752069.45</v>
      </c>
      <c r="Q183" s="35">
        <f>'A) Base RI'!AR183</f>
        <v>1.5</v>
      </c>
      <c r="R183" s="2">
        <f t="shared" si="14"/>
        <v>7927199.7433333341</v>
      </c>
      <c r="S183" s="34">
        <f>+'A) Base RI'!AM183</f>
        <v>64</v>
      </c>
      <c r="T183" s="2">
        <f t="shared" si="15"/>
        <v>7410345.6100000003</v>
      </c>
      <c r="U183" s="2">
        <f t="shared" si="16"/>
        <v>123862.49598958335</v>
      </c>
      <c r="V183" s="10">
        <f>+'A) Base RI'!O183</f>
        <v>275968</v>
      </c>
      <c r="W183" s="10">
        <f>+'A) Base RI'!P183</f>
        <v>279123.8</v>
      </c>
      <c r="X183" s="10">
        <f>+'A) Base RI'!R183</f>
        <v>649814</v>
      </c>
      <c r="Y183" s="2">
        <f t="shared" si="17"/>
        <v>1204905.8</v>
      </c>
      <c r="Z183" s="10">
        <f>+'A) Base RI'!N183</f>
        <v>54589</v>
      </c>
      <c r="AA183" s="10">
        <f>+'A) Base RI'!S183+'A) Base RI'!T183</f>
        <v>0</v>
      </c>
      <c r="AB183" s="10">
        <f>+'A) Base RI'!U183</f>
        <v>10300</v>
      </c>
      <c r="AC183" s="10">
        <f>+'A) Base RI'!V183</f>
        <v>0</v>
      </c>
      <c r="AD183" s="10">
        <f>+'A) Base RI'!W183</f>
        <v>0</v>
      </c>
      <c r="AE183" s="10">
        <f>+'A) Base RI'!Y183</f>
        <v>1388</v>
      </c>
      <c r="AF183" s="10">
        <f>+'A) Base RI'!Z183</f>
        <v>0</v>
      </c>
      <c r="AG183" s="10">
        <f>+'A) Base RI'!AA183</f>
        <v>177833</v>
      </c>
      <c r="AH183" s="10">
        <f>+'A) Base RI'!AB183</f>
        <v>0</v>
      </c>
      <c r="AI183" s="10">
        <f>+'A) Base RI'!AC183</f>
        <v>125261</v>
      </c>
      <c r="AJ183" s="10">
        <f>+'A) Base RI'!AD183</f>
        <v>1807</v>
      </c>
      <c r="AK183" s="10">
        <f>+'A) Base RI'!AE183</f>
        <v>0</v>
      </c>
      <c r="AL183" s="10">
        <f>+'A) Base RI'!AF183</f>
        <v>0</v>
      </c>
      <c r="AM183" s="10">
        <f>+'A) Base RI'!AG183</f>
        <v>10500</v>
      </c>
      <c r="AN183" s="10">
        <f>+'A) Base RI'!AH183</f>
        <v>48638</v>
      </c>
      <c r="AO183" s="10">
        <f>+'A) Base RI'!AI183</f>
        <v>27792</v>
      </c>
      <c r="AP183" s="10">
        <f>+'A) Base RI'!AJ183</f>
        <v>0</v>
      </c>
      <c r="AQ183" s="10">
        <f>+'A) Base RI'!AK183</f>
        <v>0</v>
      </c>
      <c r="AR183" s="10">
        <f>'A) Base RI'!AN183</f>
        <v>1952</v>
      </c>
    </row>
    <row r="184" spans="1:44" x14ac:dyDescent="0.25">
      <c r="A184" s="8">
        <f>'A) Base RI'!A184</f>
        <v>5705</v>
      </c>
      <c r="B184" s="33" t="str">
        <f>'A) Base RI'!B184</f>
        <v>Bogis-Bossey</v>
      </c>
      <c r="C184" s="10">
        <f>'A) Base RI'!C184+'A) Base RI'!D184</f>
        <v>3252355.8899999997</v>
      </c>
      <c r="D184" s="10">
        <f>'A) Base RI'!AO184</f>
        <v>-2199.0500000000002</v>
      </c>
      <c r="E184" s="32">
        <f>'A) Base RI'!AP184</f>
        <v>0</v>
      </c>
      <c r="F184" s="32">
        <f>'A) Base RI'!AQ184</f>
        <v>-3385.74</v>
      </c>
      <c r="G184" s="2">
        <f t="shared" si="12"/>
        <v>3246771.0999999996</v>
      </c>
      <c r="H184" s="10">
        <f>+'A) Base RI'!E184</f>
        <v>0</v>
      </c>
      <c r="I184" s="10">
        <f>+'A) Base RI'!F184</f>
        <v>0</v>
      </c>
      <c r="J184" s="10">
        <f>+'A) Base RI'!G184+'A) Base RI'!H184</f>
        <v>10191.950000000001</v>
      </c>
      <c r="K184" s="10">
        <f>+'A) Base RI'!I184</f>
        <v>28892.25</v>
      </c>
      <c r="L184" s="10">
        <f>+'A) Base RI'!J184</f>
        <v>-53624.73</v>
      </c>
      <c r="M184" s="10">
        <f>+'A) Base RI'!K184</f>
        <v>7025.25</v>
      </c>
      <c r="N184" s="10">
        <f>+'A) Base RI'!Q184</f>
        <v>0</v>
      </c>
      <c r="O184" s="10">
        <f t="shared" si="13"/>
        <v>219093.65</v>
      </c>
      <c r="P184" s="10">
        <f>+'A) Base RI'!L184</f>
        <v>219093.65</v>
      </c>
      <c r="Q184" s="35">
        <f>'A) Base RI'!AR184</f>
        <v>1</v>
      </c>
      <c r="R184" s="2">
        <f t="shared" si="14"/>
        <v>3458349.4699999997</v>
      </c>
      <c r="S184" s="34">
        <f>+'A) Base RI'!AM184</f>
        <v>70</v>
      </c>
      <c r="T184" s="2">
        <f t="shared" si="15"/>
        <v>3232230.57</v>
      </c>
      <c r="U184" s="2">
        <f t="shared" si="16"/>
        <v>49404.992428571422</v>
      </c>
      <c r="V184" s="10">
        <f>+'A) Base RI'!O184</f>
        <v>10503.3</v>
      </c>
      <c r="W184" s="10">
        <f>+'A) Base RI'!P184</f>
        <v>187796.2</v>
      </c>
      <c r="X184" s="10">
        <f>+'A) Base RI'!R184</f>
        <v>135719.29999999999</v>
      </c>
      <c r="Y184" s="2">
        <f t="shared" si="17"/>
        <v>334018.8</v>
      </c>
      <c r="Z184" s="10">
        <f>+'A) Base RI'!N184</f>
        <v>29452.400000000001</v>
      </c>
      <c r="AA184" s="10">
        <f>+'A) Base RI'!S184+'A) Base RI'!T184</f>
        <v>0</v>
      </c>
      <c r="AB184" s="10">
        <f>+'A) Base RI'!U184</f>
        <v>1815</v>
      </c>
      <c r="AC184" s="10">
        <f>+'A) Base RI'!V184</f>
        <v>0</v>
      </c>
      <c r="AD184" s="10">
        <f>+'A) Base RI'!W184</f>
        <v>0</v>
      </c>
      <c r="AE184" s="10" t="str">
        <f>+'A) Base RI'!Y184</f>
        <v/>
      </c>
      <c r="AF184" s="10" t="str">
        <f>+'A) Base RI'!Z184</f>
        <v/>
      </c>
      <c r="AG184" s="10" t="str">
        <f>+'A) Base RI'!AA184</f>
        <v/>
      </c>
      <c r="AH184" s="10" t="str">
        <f>+'A) Base RI'!AB184</f>
        <v/>
      </c>
      <c r="AI184" s="10">
        <f>+'A) Base RI'!AC184</f>
        <v>59436.75</v>
      </c>
      <c r="AJ184" s="10" t="str">
        <f>+'A) Base RI'!AD184</f>
        <v/>
      </c>
      <c r="AK184" s="10" t="str">
        <f>+'A) Base RI'!AE184</f>
        <v/>
      </c>
      <c r="AL184" s="10" t="str">
        <f>+'A) Base RI'!AF184</f>
        <v/>
      </c>
      <c r="AM184" s="10">
        <f>+'A) Base RI'!AG184</f>
        <v>47117.1</v>
      </c>
      <c r="AN184" s="10">
        <f>+'A) Base RI'!AH184</f>
        <v>39376.15</v>
      </c>
      <c r="AO184" s="10">
        <f>+'A) Base RI'!AI184</f>
        <v>0</v>
      </c>
      <c r="AP184" s="10">
        <f>+'A) Base RI'!AJ184</f>
        <v>0</v>
      </c>
      <c r="AQ184" s="10">
        <f>+'A) Base RI'!AK184</f>
        <v>0</v>
      </c>
      <c r="AR184" s="10">
        <f>'A) Base RI'!AN184</f>
        <v>867</v>
      </c>
    </row>
    <row r="185" spans="1:44" x14ac:dyDescent="0.25">
      <c r="A185" s="8">
        <f>'A) Base RI'!A185</f>
        <v>5706</v>
      </c>
      <c r="B185" s="33" t="str">
        <f>'A) Base RI'!B185</f>
        <v>Borex</v>
      </c>
      <c r="C185" s="10">
        <f>'A) Base RI'!C185+'A) Base RI'!D185</f>
        <v>3793861.11</v>
      </c>
      <c r="D185" s="10">
        <f>'A) Base RI'!AO185</f>
        <v>-9397.85</v>
      </c>
      <c r="E185" s="32">
        <f>'A) Base RI'!AP185</f>
        <v>0</v>
      </c>
      <c r="F185" s="32">
        <f>'A) Base RI'!AQ185</f>
        <v>-2105.15</v>
      </c>
      <c r="G185" s="2">
        <f t="shared" si="12"/>
        <v>3782358.11</v>
      </c>
      <c r="H185" s="10">
        <f>+'A) Base RI'!E185</f>
        <v>0</v>
      </c>
      <c r="I185" s="10">
        <f>+'A) Base RI'!F185</f>
        <v>0</v>
      </c>
      <c r="J185" s="10">
        <f>+'A) Base RI'!G185+'A) Base RI'!H185</f>
        <v>19774.150000000001</v>
      </c>
      <c r="K185" s="10">
        <f>+'A) Base RI'!I185</f>
        <v>4648.2</v>
      </c>
      <c r="L185" s="10">
        <f>+'A) Base RI'!J185</f>
        <v>45392.639999999999</v>
      </c>
      <c r="M185" s="10">
        <f>+'A) Base RI'!K185</f>
        <v>3045.8</v>
      </c>
      <c r="N185" s="10">
        <f>+'A) Base RI'!Q185</f>
        <v>4438.34</v>
      </c>
      <c r="O185" s="10">
        <f t="shared" si="13"/>
        <v>256488.96666666667</v>
      </c>
      <c r="P185" s="10">
        <f>+'A) Base RI'!L185</f>
        <v>384733.45</v>
      </c>
      <c r="Q185" s="35">
        <f>'A) Base RI'!AR185</f>
        <v>1.5</v>
      </c>
      <c r="R185" s="2">
        <f t="shared" si="14"/>
        <v>4116146.2066666665</v>
      </c>
      <c r="S185" s="34">
        <f>+'A) Base RI'!AM185</f>
        <v>58</v>
      </c>
      <c r="T185" s="2">
        <f t="shared" si="15"/>
        <v>3856611.44</v>
      </c>
      <c r="U185" s="2">
        <f t="shared" si="16"/>
        <v>70968.038045977009</v>
      </c>
      <c r="V185" s="10">
        <f>+'A) Base RI'!O185</f>
        <v>0</v>
      </c>
      <c r="W185" s="10">
        <f>+'A) Base RI'!P185</f>
        <v>125385.4</v>
      </c>
      <c r="X185" s="10">
        <f>+'A) Base RI'!R185</f>
        <v>142766.79999999999</v>
      </c>
      <c r="Y185" s="2">
        <f t="shared" si="17"/>
        <v>268152.19999999995</v>
      </c>
      <c r="Z185" s="10">
        <f>+'A) Base RI'!N185</f>
        <v>11748.1</v>
      </c>
      <c r="AA185" s="10">
        <f>+'A) Base RI'!S185+'A) Base RI'!T185</f>
        <v>80</v>
      </c>
      <c r="AB185" s="10">
        <f>+'A) Base RI'!U185</f>
        <v>4550</v>
      </c>
      <c r="AC185" s="10">
        <f>+'A) Base RI'!V185</f>
        <v>0</v>
      </c>
      <c r="AD185" s="10">
        <f>+'A) Base RI'!W185</f>
        <v>0</v>
      </c>
      <c r="AE185" s="10">
        <f>+'A) Base RI'!Y185</f>
        <v>14836</v>
      </c>
      <c r="AF185" s="10">
        <f>+'A) Base RI'!Z185</f>
        <v>0</v>
      </c>
      <c r="AG185" s="10">
        <f>+'A) Base RI'!AA185</f>
        <v>159798.69</v>
      </c>
      <c r="AH185" s="10">
        <f>+'A) Base RI'!AB185</f>
        <v>0</v>
      </c>
      <c r="AI185" s="10">
        <f>+'A) Base RI'!AC185</f>
        <v>89659.15</v>
      </c>
      <c r="AJ185" s="10">
        <f>+'A) Base RI'!AD185</f>
        <v>0</v>
      </c>
      <c r="AK185" s="10">
        <f>+'A) Base RI'!AE185</f>
        <v>0</v>
      </c>
      <c r="AL185" s="10">
        <f>+'A) Base RI'!AF185</f>
        <v>0</v>
      </c>
      <c r="AM185" s="10">
        <f>+'A) Base RI'!AG185</f>
        <v>124</v>
      </c>
      <c r="AN185" s="10">
        <f>+'A) Base RI'!AH185</f>
        <v>31700.5</v>
      </c>
      <c r="AO185" s="10">
        <f>+'A) Base RI'!AI185</f>
        <v>0</v>
      </c>
      <c r="AP185" s="10">
        <f>+'A) Base RI'!AJ185</f>
        <v>0</v>
      </c>
      <c r="AQ185" s="10">
        <f>+'A) Base RI'!AK185</f>
        <v>0</v>
      </c>
      <c r="AR185" s="10">
        <f>'A) Base RI'!AN185</f>
        <v>1140</v>
      </c>
    </row>
    <row r="186" spans="1:44" x14ac:dyDescent="0.25">
      <c r="A186" s="8">
        <f>'A) Base RI'!A186</f>
        <v>5707</v>
      </c>
      <c r="B186" s="33" t="str">
        <f>'A) Base RI'!B186</f>
        <v>Chavannes-de-Bogis</v>
      </c>
      <c r="C186" s="10">
        <f>'A) Base RI'!C186+'A) Base RI'!D186</f>
        <v>3564792.22</v>
      </c>
      <c r="D186" s="10">
        <f>'A) Base RI'!AO186</f>
        <v>-12271.63</v>
      </c>
      <c r="E186" s="32">
        <f>'A) Base RI'!AP186</f>
        <v>0</v>
      </c>
      <c r="F186" s="32">
        <f>'A) Base RI'!AQ186</f>
        <v>-869.31</v>
      </c>
      <c r="G186" s="2">
        <f t="shared" si="12"/>
        <v>3551651.2800000003</v>
      </c>
      <c r="H186" s="10">
        <f>+'A) Base RI'!E186</f>
        <v>0</v>
      </c>
      <c r="I186" s="10">
        <f>+'A) Base RI'!F186</f>
        <v>0</v>
      </c>
      <c r="J186" s="10">
        <f>+'A) Base RI'!G186+'A) Base RI'!H186</f>
        <v>381181.14999999997</v>
      </c>
      <c r="K186" s="10">
        <f>+'A) Base RI'!I186</f>
        <v>77243.149999999994</v>
      </c>
      <c r="L186" s="10">
        <f>+'A) Base RI'!J186</f>
        <v>45640.66</v>
      </c>
      <c r="M186" s="10">
        <f>+'A) Base RI'!K186</f>
        <v>58171.199999999997</v>
      </c>
      <c r="N186" s="10">
        <f>+'A) Base RI'!Q186</f>
        <v>6532.38</v>
      </c>
      <c r="O186" s="10">
        <f t="shared" si="13"/>
        <v>464133.06666666665</v>
      </c>
      <c r="P186" s="10">
        <f>+'A) Base RI'!L186</f>
        <v>696199.6</v>
      </c>
      <c r="Q186" s="35">
        <f>'A) Base RI'!AR186</f>
        <v>1.5</v>
      </c>
      <c r="R186" s="2">
        <f t="shared" si="14"/>
        <v>4584552.8866666667</v>
      </c>
      <c r="S186" s="34">
        <f>+'A) Base RI'!AM186</f>
        <v>59</v>
      </c>
      <c r="T186" s="2">
        <f t="shared" si="15"/>
        <v>4062248.62</v>
      </c>
      <c r="U186" s="2">
        <f t="shared" si="16"/>
        <v>77704.286214689273</v>
      </c>
      <c r="V186" s="10">
        <f>+'A) Base RI'!O186</f>
        <v>0</v>
      </c>
      <c r="W186" s="10">
        <f>+'A) Base RI'!P186</f>
        <v>266950.3</v>
      </c>
      <c r="X186" s="10">
        <f>+'A) Base RI'!R186</f>
        <v>186449.3</v>
      </c>
      <c r="Y186" s="2">
        <f t="shared" si="17"/>
        <v>453399.6</v>
      </c>
      <c r="Z186" s="10">
        <f>+'A) Base RI'!N186</f>
        <v>711866.65</v>
      </c>
      <c r="AA186" s="10">
        <f>+'A) Base RI'!S186+'A) Base RI'!T186</f>
        <v>0</v>
      </c>
      <c r="AB186" s="10">
        <f>+'A) Base RI'!U186</f>
        <v>4775</v>
      </c>
      <c r="AC186" s="10">
        <f>+'A) Base RI'!V186</f>
        <v>0</v>
      </c>
      <c r="AD186" s="10">
        <f>+'A) Base RI'!W186</f>
        <v>0</v>
      </c>
      <c r="AE186" s="10" t="str">
        <f>+'A) Base RI'!Y186</f>
        <v/>
      </c>
      <c r="AF186" s="10" t="str">
        <f>+'A) Base RI'!Z186</f>
        <v/>
      </c>
      <c r="AG186" s="10" t="str">
        <f>+'A) Base RI'!AA186</f>
        <v/>
      </c>
      <c r="AH186" s="10" t="str">
        <f>+'A) Base RI'!AB186</f>
        <v/>
      </c>
      <c r="AI186" s="10">
        <f>+'A) Base RI'!AC186</f>
        <v>137003.29999999999</v>
      </c>
      <c r="AJ186" s="10" t="str">
        <f>+'A) Base RI'!AD186</f>
        <v/>
      </c>
      <c r="AK186" s="10" t="str">
        <f>+'A) Base RI'!AE186</f>
        <v/>
      </c>
      <c r="AL186" s="10" t="str">
        <f>+'A) Base RI'!AF186</f>
        <v/>
      </c>
      <c r="AM186" s="10">
        <f>+'A) Base RI'!AG186</f>
        <v>168663</v>
      </c>
      <c r="AN186" s="10">
        <f>+'A) Base RI'!AH186</f>
        <v>101986.35</v>
      </c>
      <c r="AO186" s="10">
        <f>+'A) Base RI'!AI186</f>
        <v>0</v>
      </c>
      <c r="AP186" s="10">
        <f>+'A) Base RI'!AJ186</f>
        <v>0</v>
      </c>
      <c r="AQ186" s="10">
        <f>+'A) Base RI'!AK186</f>
        <v>0</v>
      </c>
      <c r="AR186" s="10">
        <f>'A) Base RI'!AN186</f>
        <v>1281</v>
      </c>
    </row>
    <row r="187" spans="1:44" x14ac:dyDescent="0.25">
      <c r="A187" s="8">
        <f>'A) Base RI'!A187</f>
        <v>5708</v>
      </c>
      <c r="B187" s="33" t="str">
        <f>'A) Base RI'!B187</f>
        <v>Chavannes-des-Bois</v>
      </c>
      <c r="C187" s="10">
        <f>'A) Base RI'!C187+'A) Base RI'!D187</f>
        <v>3041755.7800000003</v>
      </c>
      <c r="D187" s="10">
        <f>'A) Base RI'!AO187</f>
        <v>-8448.23</v>
      </c>
      <c r="E187" s="32">
        <f>'A) Base RI'!AP187</f>
        <v>0</v>
      </c>
      <c r="F187" s="32">
        <f>'A) Base RI'!AQ187</f>
        <v>-1209.3800000000001</v>
      </c>
      <c r="G187" s="2">
        <f t="shared" si="12"/>
        <v>3032098.1700000004</v>
      </c>
      <c r="H187" s="10">
        <f>+'A) Base RI'!E187</f>
        <v>0</v>
      </c>
      <c r="I187" s="10">
        <f>+'A) Base RI'!F187</f>
        <v>0</v>
      </c>
      <c r="J187" s="10">
        <f>+'A) Base RI'!G187+'A) Base RI'!H187</f>
        <v>21987.8</v>
      </c>
      <c r="K187" s="10">
        <f>+'A) Base RI'!I187</f>
        <v>86758.2</v>
      </c>
      <c r="L187" s="10">
        <f>+'A) Base RI'!J187</f>
        <v>175055.86</v>
      </c>
      <c r="M187" s="10">
        <f>+'A) Base RI'!K187</f>
        <v>14284.65</v>
      </c>
      <c r="N187" s="10">
        <f>+'A) Base RI'!Q187</f>
        <v>0</v>
      </c>
      <c r="O187" s="10">
        <f t="shared" si="13"/>
        <v>263384.76666666666</v>
      </c>
      <c r="P187" s="10">
        <f>+'A) Base RI'!L187</f>
        <v>395077.15</v>
      </c>
      <c r="Q187" s="35">
        <f>'A) Base RI'!AR187</f>
        <v>1.5</v>
      </c>
      <c r="R187" s="2">
        <f t="shared" si="14"/>
        <v>3593569.4466666668</v>
      </c>
      <c r="S187" s="34">
        <f>+'A) Base RI'!AM187</f>
        <v>63</v>
      </c>
      <c r="T187" s="2">
        <f t="shared" si="15"/>
        <v>3315900.0300000003</v>
      </c>
      <c r="U187" s="2">
        <f t="shared" si="16"/>
        <v>57040.784867724869</v>
      </c>
      <c r="V187" s="10">
        <f>+'A) Base RI'!O187</f>
        <v>0</v>
      </c>
      <c r="W187" s="10">
        <f>+'A) Base RI'!P187</f>
        <v>226630.85</v>
      </c>
      <c r="X187" s="10">
        <f>+'A) Base RI'!R187</f>
        <v>115434.65</v>
      </c>
      <c r="Y187" s="2">
        <f t="shared" si="17"/>
        <v>342065.5</v>
      </c>
      <c r="Z187" s="10">
        <f>+'A) Base RI'!N187</f>
        <v>1605.75</v>
      </c>
      <c r="AA187" s="10">
        <f>+'A) Base RI'!S187+'A) Base RI'!T187</f>
        <v>0</v>
      </c>
      <c r="AB187" s="10">
        <f>+'A) Base RI'!U187</f>
        <v>2220</v>
      </c>
      <c r="AC187" s="10">
        <f>+'A) Base RI'!V187</f>
        <v>0</v>
      </c>
      <c r="AD187" s="10">
        <f>+'A) Base RI'!W187</f>
        <v>0</v>
      </c>
      <c r="AE187" s="10">
        <f>+'A) Base RI'!Y187</f>
        <v>0</v>
      </c>
      <c r="AF187" s="10">
        <f>+'A) Base RI'!Z187</f>
        <v>0</v>
      </c>
      <c r="AG187" s="10">
        <f>+'A) Base RI'!AA187</f>
        <v>0</v>
      </c>
      <c r="AH187" s="10">
        <f>+'A) Base RI'!AB187</f>
        <v>0</v>
      </c>
      <c r="AI187" s="10">
        <f>+'A) Base RI'!AC187</f>
        <v>108958.65</v>
      </c>
      <c r="AJ187" s="10">
        <f>+'A) Base RI'!AD187</f>
        <v>0</v>
      </c>
      <c r="AK187" s="10">
        <f>+'A) Base RI'!AE187</f>
        <v>0</v>
      </c>
      <c r="AL187" s="10">
        <f>+'A) Base RI'!AF187</f>
        <v>0</v>
      </c>
      <c r="AM187" s="10">
        <f>+'A) Base RI'!AG187</f>
        <v>0</v>
      </c>
      <c r="AN187" s="10">
        <f>+'A) Base RI'!AH187</f>
        <v>0</v>
      </c>
      <c r="AO187" s="10">
        <f>+'A) Base RI'!AI187</f>
        <v>0</v>
      </c>
      <c r="AP187" s="10">
        <f>+'A) Base RI'!AJ187</f>
        <v>0</v>
      </c>
      <c r="AQ187" s="10">
        <f>+'A) Base RI'!AK187</f>
        <v>0</v>
      </c>
      <c r="AR187" s="10">
        <f>'A) Base RI'!AN187</f>
        <v>964</v>
      </c>
    </row>
    <row r="188" spans="1:44" x14ac:dyDescent="0.25">
      <c r="A188" s="8">
        <f>'A) Base RI'!A188</f>
        <v>5709</v>
      </c>
      <c r="B188" s="33" t="str">
        <f>'A) Base RI'!B188</f>
        <v>Chéserex</v>
      </c>
      <c r="C188" s="10">
        <f>'A) Base RI'!C188+'A) Base RI'!D188</f>
        <v>4947278.74</v>
      </c>
      <c r="D188" s="10">
        <f>'A) Base RI'!AO188</f>
        <v>-94721.98</v>
      </c>
      <c r="E188" s="32">
        <f>'A) Base RI'!AP188</f>
        <v>0</v>
      </c>
      <c r="F188" s="32">
        <f>'A) Base RI'!AQ188</f>
        <v>-1095.52</v>
      </c>
      <c r="G188" s="2">
        <f t="shared" si="12"/>
        <v>4851461.24</v>
      </c>
      <c r="H188" s="10">
        <f>+'A) Base RI'!E188</f>
        <v>0</v>
      </c>
      <c r="I188" s="10">
        <f>+'A) Base RI'!F188</f>
        <v>0</v>
      </c>
      <c r="J188" s="10">
        <f>+'A) Base RI'!G188+'A) Base RI'!H188</f>
        <v>337750.45</v>
      </c>
      <c r="K188" s="10">
        <f>+'A) Base RI'!I188</f>
        <v>505157.95</v>
      </c>
      <c r="L188" s="10">
        <f>+'A) Base RI'!J188</f>
        <v>110333.97</v>
      </c>
      <c r="M188" s="10">
        <f>+'A) Base RI'!K188</f>
        <v>3009.2</v>
      </c>
      <c r="N188" s="10">
        <f>+'A) Base RI'!Q188</f>
        <v>49327.51</v>
      </c>
      <c r="O188" s="10">
        <f t="shared" si="13"/>
        <v>340100.1</v>
      </c>
      <c r="P188" s="10">
        <f>+'A) Base RI'!L188</f>
        <v>340100.1</v>
      </c>
      <c r="Q188" s="35">
        <f>'A) Base RI'!AR188</f>
        <v>1</v>
      </c>
      <c r="R188" s="2">
        <f t="shared" si="14"/>
        <v>6197140.4199999999</v>
      </c>
      <c r="S188" s="34">
        <f>+'A) Base RI'!AM188</f>
        <v>57</v>
      </c>
      <c r="T188" s="2">
        <f t="shared" si="15"/>
        <v>5854031.1200000001</v>
      </c>
      <c r="U188" s="2">
        <f t="shared" si="16"/>
        <v>108721.76175438597</v>
      </c>
      <c r="V188" s="10">
        <f>+'A) Base RI'!O188</f>
        <v>0</v>
      </c>
      <c r="W188" s="10">
        <f>+'A) Base RI'!P188</f>
        <v>115247</v>
      </c>
      <c r="X188" s="10">
        <f>+'A) Base RI'!R188</f>
        <v>238286.9</v>
      </c>
      <c r="Y188" s="2">
        <f t="shared" si="17"/>
        <v>353533.9</v>
      </c>
      <c r="Z188" s="10">
        <f>+'A) Base RI'!N188</f>
        <v>51557.85</v>
      </c>
      <c r="AA188" s="10">
        <f>+'A) Base RI'!S188+'A) Base RI'!T188</f>
        <v>2899.05</v>
      </c>
      <c r="AB188" s="10">
        <f>+'A) Base RI'!U188</f>
        <v>10950</v>
      </c>
      <c r="AC188" s="10">
        <f>+'A) Base RI'!V188</f>
        <v>0</v>
      </c>
      <c r="AD188" s="10">
        <f>+'A) Base RI'!W188</f>
        <v>0</v>
      </c>
      <c r="AE188" s="10">
        <f>+'A) Base RI'!Y188</f>
        <v>73274.850000000006</v>
      </c>
      <c r="AF188" s="10">
        <f>+'A) Base RI'!Z188</f>
        <v>9079.4</v>
      </c>
      <c r="AG188" s="10">
        <f>+'A) Base RI'!AA188</f>
        <v>44158.35</v>
      </c>
      <c r="AH188" s="10">
        <f>+'A) Base RI'!AB188</f>
        <v>0</v>
      </c>
      <c r="AI188" s="10">
        <f>+'A) Base RI'!AC188</f>
        <v>141676.5</v>
      </c>
      <c r="AJ188" s="10">
        <f>+'A) Base RI'!AD188</f>
        <v>0</v>
      </c>
      <c r="AK188" s="10">
        <f>+'A) Base RI'!AE188</f>
        <v>0</v>
      </c>
      <c r="AL188" s="10">
        <f>+'A) Base RI'!AF188</f>
        <v>0</v>
      </c>
      <c r="AM188" s="10">
        <f>+'A) Base RI'!AG188</f>
        <v>13584</v>
      </c>
      <c r="AN188" s="10">
        <f>+'A) Base RI'!AH188</f>
        <v>0</v>
      </c>
      <c r="AO188" s="10">
        <f>+'A) Base RI'!AI188</f>
        <v>0</v>
      </c>
      <c r="AP188" s="10">
        <f>+'A) Base RI'!AJ188</f>
        <v>0</v>
      </c>
      <c r="AQ188" s="10">
        <f>+'A) Base RI'!AK188</f>
        <v>0</v>
      </c>
      <c r="AR188" s="10">
        <f>'A) Base RI'!AN188</f>
        <v>1227</v>
      </c>
    </row>
    <row r="189" spans="1:44" x14ac:dyDescent="0.25">
      <c r="A189" s="8">
        <f>'A) Base RI'!A189</f>
        <v>5710</v>
      </c>
      <c r="B189" s="33" t="str">
        <f>'A) Base RI'!B189</f>
        <v>Coinsins</v>
      </c>
      <c r="C189" s="10">
        <f>'A) Base RI'!C189+'A) Base RI'!D189</f>
        <v>2509596.6100000003</v>
      </c>
      <c r="D189" s="10">
        <f>'A) Base RI'!AO189</f>
        <v>-6577.4</v>
      </c>
      <c r="E189" s="32">
        <f>'A) Base RI'!AP189</f>
        <v>0</v>
      </c>
      <c r="F189" s="32">
        <f>'A) Base RI'!AQ189</f>
        <v>-2026.88</v>
      </c>
      <c r="G189" s="2">
        <f t="shared" si="12"/>
        <v>2500992.3300000005</v>
      </c>
      <c r="H189" s="10">
        <f>+'A) Base RI'!E189</f>
        <v>0</v>
      </c>
      <c r="I189" s="10">
        <f>+'A) Base RI'!F189</f>
        <v>0</v>
      </c>
      <c r="J189" s="10">
        <f>+'A) Base RI'!G189+'A) Base RI'!H189</f>
        <v>3546766.5999999996</v>
      </c>
      <c r="K189" s="10">
        <f>+'A) Base RI'!I189</f>
        <v>110957.8</v>
      </c>
      <c r="L189" s="10">
        <f>+'A) Base RI'!J189</f>
        <v>50415.31</v>
      </c>
      <c r="M189" s="10">
        <f>+'A) Base RI'!K189</f>
        <v>8857.0499999999993</v>
      </c>
      <c r="N189" s="10">
        <f>+'A) Base RI'!Q189</f>
        <v>2685.93</v>
      </c>
      <c r="O189" s="10">
        <f t="shared" si="13"/>
        <v>127659.6</v>
      </c>
      <c r="P189" s="10">
        <f>+'A) Base RI'!L189</f>
        <v>127659.6</v>
      </c>
      <c r="Q189" s="35">
        <f>'A) Base RI'!AR189</f>
        <v>1</v>
      </c>
      <c r="R189" s="2">
        <f t="shared" si="14"/>
        <v>6348334.6199999982</v>
      </c>
      <c r="S189" s="34">
        <f>+'A) Base RI'!AM189</f>
        <v>51</v>
      </c>
      <c r="T189" s="2">
        <f t="shared" si="15"/>
        <v>6211817.9699999988</v>
      </c>
      <c r="U189" s="2">
        <f t="shared" si="16"/>
        <v>124477.14941176467</v>
      </c>
      <c r="V189" s="10">
        <f>+'A) Base RI'!O189</f>
        <v>53318.400000000001</v>
      </c>
      <c r="W189" s="10">
        <f>+'A) Base RI'!P189</f>
        <v>14684.75</v>
      </c>
      <c r="X189" s="10">
        <f>+'A) Base RI'!R189</f>
        <v>0</v>
      </c>
      <c r="Y189" s="2">
        <f t="shared" si="17"/>
        <v>68003.149999999994</v>
      </c>
      <c r="Z189" s="10">
        <f>+'A) Base RI'!N189</f>
        <v>87982.2</v>
      </c>
      <c r="AA189" s="10">
        <f>+'A) Base RI'!S189+'A) Base RI'!T189</f>
        <v>0</v>
      </c>
      <c r="AB189" s="10">
        <f>+'A) Base RI'!U189</f>
        <v>0</v>
      </c>
      <c r="AC189" s="10">
        <f>+'A) Base RI'!V189</f>
        <v>0</v>
      </c>
      <c r="AD189" s="10">
        <f>+'A) Base RI'!W189</f>
        <v>0</v>
      </c>
      <c r="AE189" s="10">
        <f>+'A) Base RI'!Y189</f>
        <v>4298.1499999999996</v>
      </c>
      <c r="AF189" s="10">
        <f>+'A) Base RI'!Z189</f>
        <v>0</v>
      </c>
      <c r="AG189" s="10">
        <f>+'A) Base RI'!AA189</f>
        <v>73622.850000000006</v>
      </c>
      <c r="AH189" s="10">
        <f>+'A) Base RI'!AB189</f>
        <v>0</v>
      </c>
      <c r="AI189" s="10">
        <f>+'A) Base RI'!AC189</f>
        <v>31070</v>
      </c>
      <c r="AJ189" s="10">
        <f>+'A) Base RI'!AD189</f>
        <v>4298.1499999999996</v>
      </c>
      <c r="AK189" s="10">
        <f>+'A) Base RI'!AE189</f>
        <v>0</v>
      </c>
      <c r="AL189" s="10">
        <f>+'A) Base RI'!AF189</f>
        <v>0</v>
      </c>
      <c r="AM189" s="10">
        <f>+'A) Base RI'!AG189</f>
        <v>10620</v>
      </c>
      <c r="AN189" s="10">
        <f>+'A) Base RI'!AH189</f>
        <v>25101.48</v>
      </c>
      <c r="AO189" s="10">
        <f>+'A) Base RI'!AI189</f>
        <v>0</v>
      </c>
      <c r="AP189" s="10">
        <f>+'A) Base RI'!AJ189</f>
        <v>0</v>
      </c>
      <c r="AQ189" s="10">
        <f>+'A) Base RI'!AK189</f>
        <v>0</v>
      </c>
      <c r="AR189" s="10">
        <f>'A) Base RI'!AN189</f>
        <v>499</v>
      </c>
    </row>
    <row r="190" spans="1:44" x14ac:dyDescent="0.25">
      <c r="A190" s="8">
        <f>'A) Base RI'!A190</f>
        <v>5711</v>
      </c>
      <c r="B190" s="33" t="str">
        <f>'A) Base RI'!B190</f>
        <v>Commugny</v>
      </c>
      <c r="C190" s="10">
        <f>'A) Base RI'!C190+'A) Base RI'!D190</f>
        <v>14500916.939999999</v>
      </c>
      <c r="D190" s="10">
        <f>'A) Base RI'!AO190</f>
        <v>-44573.37</v>
      </c>
      <c r="E190" s="32">
        <f>'A) Base RI'!AP190</f>
        <v>0</v>
      </c>
      <c r="F190" s="32">
        <f>'A) Base RI'!AQ190</f>
        <v>-6033.73</v>
      </c>
      <c r="G190" s="2">
        <f t="shared" si="12"/>
        <v>14450309.84</v>
      </c>
      <c r="H190" s="10">
        <f>+'A) Base RI'!E190</f>
        <v>0</v>
      </c>
      <c r="I190" s="10">
        <f>+'A) Base RI'!F190</f>
        <v>0</v>
      </c>
      <c r="J190" s="10">
        <f>+'A) Base RI'!G190+'A) Base RI'!H190</f>
        <v>91870.6</v>
      </c>
      <c r="K190" s="10">
        <f>+'A) Base RI'!I190</f>
        <v>221369.65</v>
      </c>
      <c r="L190" s="10">
        <f>+'A) Base RI'!J190</f>
        <v>211220.59</v>
      </c>
      <c r="M190" s="10">
        <f>+'A) Base RI'!K190</f>
        <v>16027.15</v>
      </c>
      <c r="N190" s="10">
        <f>+'A) Base RI'!Q190</f>
        <v>-7742.29</v>
      </c>
      <c r="O190" s="10">
        <f t="shared" si="13"/>
        <v>870354.57692307688</v>
      </c>
      <c r="P190" s="10">
        <f>+'A) Base RI'!L190</f>
        <v>1131460.95</v>
      </c>
      <c r="Q190" s="35">
        <f>'A) Base RI'!AR190</f>
        <v>1.3</v>
      </c>
      <c r="R190" s="2">
        <f t="shared" si="14"/>
        <v>15853410.116923077</v>
      </c>
      <c r="S190" s="34">
        <f>+'A) Base RI'!AM190</f>
        <v>57</v>
      </c>
      <c r="T190" s="2">
        <f t="shared" si="15"/>
        <v>14967028.390000001</v>
      </c>
      <c r="U190" s="2">
        <f t="shared" si="16"/>
        <v>278130.00205128203</v>
      </c>
      <c r="V190" s="10">
        <f>+'A) Base RI'!O190</f>
        <v>247013.4</v>
      </c>
      <c r="W190" s="10">
        <f>+'A) Base RI'!P190</f>
        <v>571311.75</v>
      </c>
      <c r="X190" s="10">
        <f>+'A) Base RI'!R190</f>
        <v>498530.35</v>
      </c>
      <c r="Y190" s="2">
        <f t="shared" si="17"/>
        <v>1316855.5</v>
      </c>
      <c r="Z190" s="10">
        <f>+'A) Base RI'!N190</f>
        <v>38875.550000000003</v>
      </c>
      <c r="AA190" s="10">
        <f>+'A) Base RI'!S190+'A) Base RI'!T190</f>
        <v>200</v>
      </c>
      <c r="AB190" s="10">
        <f>+'A) Base RI'!U190</f>
        <v>17150</v>
      </c>
      <c r="AC190" s="10">
        <f>+'A) Base RI'!V190</f>
        <v>0</v>
      </c>
      <c r="AD190" s="10">
        <f>+'A) Base RI'!W190</f>
        <v>0</v>
      </c>
      <c r="AE190" s="10">
        <f>+'A) Base RI'!Y190</f>
        <v>0</v>
      </c>
      <c r="AF190" s="10">
        <f>+'A) Base RI'!Z190</f>
        <v>0</v>
      </c>
      <c r="AG190" s="10">
        <f>+'A) Base RI'!AA190</f>
        <v>0</v>
      </c>
      <c r="AH190" s="10">
        <f>+'A) Base RI'!AB190</f>
        <v>0</v>
      </c>
      <c r="AI190" s="10">
        <f>+'A) Base RI'!AC190</f>
        <v>383783</v>
      </c>
      <c r="AJ190" s="10">
        <f>+'A) Base RI'!AD190</f>
        <v>0</v>
      </c>
      <c r="AK190" s="10">
        <f>+'A) Base RI'!AE190</f>
        <v>0</v>
      </c>
      <c r="AL190" s="10">
        <f>+'A) Base RI'!AF190</f>
        <v>0</v>
      </c>
      <c r="AM190" s="10">
        <f>+'A) Base RI'!AG190</f>
        <v>9070</v>
      </c>
      <c r="AN190" s="10">
        <f>+'A) Base RI'!AH190</f>
        <v>0</v>
      </c>
      <c r="AO190" s="10">
        <f>+'A) Base RI'!AI190</f>
        <v>0</v>
      </c>
      <c r="AP190" s="10">
        <f>+'A) Base RI'!AJ190</f>
        <v>0</v>
      </c>
      <c r="AQ190" s="10">
        <f>+'A) Base RI'!AK190</f>
        <v>0</v>
      </c>
      <c r="AR190" s="10">
        <f>'A) Base RI'!AN190</f>
        <v>2877</v>
      </c>
    </row>
    <row r="191" spans="1:44" x14ac:dyDescent="0.25">
      <c r="A191" s="8">
        <f>'A) Base RI'!A191</f>
        <v>5712</v>
      </c>
      <c r="B191" s="33" t="str">
        <f>'A) Base RI'!B191</f>
        <v>Coppet</v>
      </c>
      <c r="C191" s="10">
        <f>'A) Base RI'!C191+'A) Base RI'!D191</f>
        <v>15452663.73</v>
      </c>
      <c r="D191" s="10">
        <f>'A) Base RI'!AO191</f>
        <v>-83484.960000000006</v>
      </c>
      <c r="E191" s="32">
        <f>'A) Base RI'!AP191</f>
        <v>0</v>
      </c>
      <c r="F191" s="32">
        <f>'A) Base RI'!AQ191</f>
        <v>-22733.16</v>
      </c>
      <c r="G191" s="2">
        <f t="shared" si="12"/>
        <v>15346445.609999999</v>
      </c>
      <c r="H191" s="10">
        <f>+'A) Base RI'!E191</f>
        <v>0</v>
      </c>
      <c r="I191" s="10">
        <f>+'A) Base RI'!F191</f>
        <v>0</v>
      </c>
      <c r="J191" s="10">
        <f>+'A) Base RI'!G191+'A) Base RI'!H191</f>
        <v>306088.09999999998</v>
      </c>
      <c r="K191" s="10">
        <f>+'A) Base RI'!I191</f>
        <v>1104233.68</v>
      </c>
      <c r="L191" s="10">
        <f>+'A) Base RI'!J191</f>
        <v>89537.61</v>
      </c>
      <c r="M191" s="10">
        <f>+'A) Base RI'!K191</f>
        <v>32342.7</v>
      </c>
      <c r="N191" s="10">
        <f>+'A) Base RI'!Q191</f>
        <v>5805.66</v>
      </c>
      <c r="O191" s="10">
        <f t="shared" si="13"/>
        <v>1130799.8</v>
      </c>
      <c r="P191" s="10">
        <f>+'A) Base RI'!L191</f>
        <v>1696199.7</v>
      </c>
      <c r="Q191" s="35">
        <f>'A) Base RI'!AR191</f>
        <v>1.5</v>
      </c>
      <c r="R191" s="2">
        <f t="shared" si="14"/>
        <v>18015253.16</v>
      </c>
      <c r="S191" s="34">
        <f>+'A) Base RI'!AM191</f>
        <v>53</v>
      </c>
      <c r="T191" s="2">
        <f t="shared" si="15"/>
        <v>16852110.66</v>
      </c>
      <c r="U191" s="2">
        <f t="shared" si="16"/>
        <v>339910.43698113208</v>
      </c>
      <c r="V191" s="10">
        <f>+'A) Base RI'!O191</f>
        <v>2468250</v>
      </c>
      <c r="W191" s="10">
        <f>+'A) Base RI'!P191</f>
        <v>858477.1</v>
      </c>
      <c r="X191" s="10">
        <f>+'A) Base RI'!R191</f>
        <v>493091.6</v>
      </c>
      <c r="Y191" s="2">
        <f t="shared" si="17"/>
        <v>3819818.7</v>
      </c>
      <c r="Z191" s="10">
        <f>+'A) Base RI'!N191</f>
        <v>185740.55</v>
      </c>
      <c r="AA191" s="10">
        <f>+'A) Base RI'!S191+'A) Base RI'!T191</f>
        <v>0</v>
      </c>
      <c r="AB191" s="10">
        <f>+'A) Base RI'!U191</f>
        <v>12375</v>
      </c>
      <c r="AC191" s="10">
        <f>+'A) Base RI'!V191</f>
        <v>0</v>
      </c>
      <c r="AD191" s="10">
        <f>+'A) Base RI'!W191</f>
        <v>0</v>
      </c>
      <c r="AE191" s="10">
        <f>+'A) Base RI'!Y191</f>
        <v>0</v>
      </c>
      <c r="AF191" s="10">
        <f>+'A) Base RI'!Z191</f>
        <v>0</v>
      </c>
      <c r="AG191" s="10">
        <f>+'A) Base RI'!AA191</f>
        <v>0</v>
      </c>
      <c r="AH191" s="10">
        <f>+'A) Base RI'!AB191</f>
        <v>0</v>
      </c>
      <c r="AI191" s="10">
        <f>+'A) Base RI'!AC191</f>
        <v>496681.25</v>
      </c>
      <c r="AJ191" s="10">
        <f>+'A) Base RI'!AD191</f>
        <v>0</v>
      </c>
      <c r="AK191" s="10">
        <f>+'A) Base RI'!AE191</f>
        <v>0</v>
      </c>
      <c r="AL191" s="10">
        <f>+'A) Base RI'!AF191</f>
        <v>0</v>
      </c>
      <c r="AM191" s="10">
        <f>+'A) Base RI'!AG191</f>
        <v>0</v>
      </c>
      <c r="AN191" s="10">
        <f>+'A) Base RI'!AH191</f>
        <v>0</v>
      </c>
      <c r="AO191" s="10">
        <f>+'A) Base RI'!AI191</f>
        <v>0</v>
      </c>
      <c r="AP191" s="10">
        <f>+'A) Base RI'!AJ191</f>
        <v>0</v>
      </c>
      <c r="AQ191" s="10">
        <f>+'A) Base RI'!AK191</f>
        <v>0</v>
      </c>
      <c r="AR191" s="10">
        <f>'A) Base RI'!AN191</f>
        <v>3126</v>
      </c>
    </row>
    <row r="192" spans="1:44" x14ac:dyDescent="0.25">
      <c r="A192" s="8">
        <f>'A) Base RI'!A192</f>
        <v>5713</v>
      </c>
      <c r="B192" s="33" t="str">
        <f>'A) Base RI'!B192</f>
        <v>Crans-près-Céligny</v>
      </c>
      <c r="C192" s="10">
        <f>'A) Base RI'!C192+'A) Base RI'!D192</f>
        <v>12315088.369999999</v>
      </c>
      <c r="D192" s="10">
        <f>'A) Base RI'!AO192</f>
        <v>-132729.20000000001</v>
      </c>
      <c r="E192" s="32">
        <f>'A) Base RI'!AP192</f>
        <v>0</v>
      </c>
      <c r="F192" s="32">
        <f>'A) Base RI'!AQ192</f>
        <v>-5206.8500000000004</v>
      </c>
      <c r="G192" s="2">
        <f t="shared" si="12"/>
        <v>12177152.32</v>
      </c>
      <c r="H192" s="10">
        <f>+'A) Base RI'!E192</f>
        <v>0</v>
      </c>
      <c r="I192" s="10">
        <f>+'A) Base RI'!F192</f>
        <v>0</v>
      </c>
      <c r="J192" s="10">
        <f>+'A) Base RI'!G192+'A) Base RI'!H192</f>
        <v>23587.75</v>
      </c>
      <c r="K192" s="10">
        <f>+'A) Base RI'!I192</f>
        <v>1066433.3899999999</v>
      </c>
      <c r="L192" s="10">
        <f>+'A) Base RI'!J192</f>
        <v>388834.04</v>
      </c>
      <c r="M192" s="10">
        <f>+'A) Base RI'!K192</f>
        <v>6205.5</v>
      </c>
      <c r="N192" s="10">
        <f>+'A) Base RI'!Q192</f>
        <v>10767.32</v>
      </c>
      <c r="O192" s="10">
        <f t="shared" si="13"/>
        <v>804128.25</v>
      </c>
      <c r="P192" s="10">
        <f>+'A) Base RI'!L192</f>
        <v>804128.25</v>
      </c>
      <c r="Q192" s="35">
        <f>'A) Base RI'!AR192</f>
        <v>1</v>
      </c>
      <c r="R192" s="2">
        <f t="shared" si="14"/>
        <v>14477108.57</v>
      </c>
      <c r="S192" s="34">
        <f>+'A) Base RI'!AM192</f>
        <v>53</v>
      </c>
      <c r="T192" s="2">
        <f t="shared" si="15"/>
        <v>13666774.82</v>
      </c>
      <c r="U192" s="2">
        <f t="shared" si="16"/>
        <v>273152.99188679247</v>
      </c>
      <c r="V192" s="10">
        <f>+'A) Base RI'!O192</f>
        <v>0</v>
      </c>
      <c r="W192" s="10">
        <f>+'A) Base RI'!P192</f>
        <v>621777.19999999995</v>
      </c>
      <c r="X192" s="10">
        <f>+'A) Base RI'!R192</f>
        <v>730021.3</v>
      </c>
      <c r="Y192" s="2">
        <f t="shared" si="17"/>
        <v>1351798.5</v>
      </c>
      <c r="Z192" s="10">
        <f>+'A) Base RI'!N192</f>
        <v>36107.35</v>
      </c>
      <c r="AA192" s="10">
        <f>+'A) Base RI'!S192+'A) Base RI'!T192</f>
        <v>0</v>
      </c>
      <c r="AB192" s="10">
        <f>+'A) Base RI'!U192</f>
        <v>15350</v>
      </c>
      <c r="AC192" s="10">
        <f>+'A) Base RI'!V192</f>
        <v>0</v>
      </c>
      <c r="AD192" s="10">
        <f>+'A) Base RI'!W192</f>
        <v>0</v>
      </c>
      <c r="AE192" s="10">
        <f>+'A) Base RI'!Y192</f>
        <v>251451.75</v>
      </c>
      <c r="AF192" s="10">
        <f>+'A) Base RI'!Z192</f>
        <v>0</v>
      </c>
      <c r="AG192" s="10">
        <f>+'A) Base RI'!AA192</f>
        <v>487105.28000000003</v>
      </c>
      <c r="AH192" s="10">
        <f>+'A) Base RI'!AB192</f>
        <v>0</v>
      </c>
      <c r="AI192" s="10">
        <f>+'A) Base RI'!AC192</f>
        <v>189472.03</v>
      </c>
      <c r="AJ192" s="10">
        <f>+'A) Base RI'!AD192</f>
        <v>0</v>
      </c>
      <c r="AK192" s="10">
        <f>+'A) Base RI'!AE192</f>
        <v>0</v>
      </c>
      <c r="AL192" s="10">
        <f>+'A) Base RI'!AF192</f>
        <v>0</v>
      </c>
      <c r="AM192" s="10">
        <f>+'A) Base RI'!AG192</f>
        <v>10199.200000000001</v>
      </c>
      <c r="AN192" s="10">
        <f>+'A) Base RI'!AH192</f>
        <v>79493.149999999994</v>
      </c>
      <c r="AO192" s="10">
        <f>+'A) Base RI'!AI192</f>
        <v>0</v>
      </c>
      <c r="AP192" s="10">
        <f>+'A) Base RI'!AJ192</f>
        <v>0</v>
      </c>
      <c r="AQ192" s="10">
        <f>+'A) Base RI'!AK192</f>
        <v>0</v>
      </c>
      <c r="AR192" s="10">
        <f>'A) Base RI'!AN192</f>
        <v>2193</v>
      </c>
    </row>
    <row r="193" spans="1:44" x14ac:dyDescent="0.25">
      <c r="A193" s="8">
        <f>'A) Base RI'!A193</f>
        <v>5714</v>
      </c>
      <c r="B193" s="33" t="str">
        <f>'A) Base RI'!B193</f>
        <v>Crassier</v>
      </c>
      <c r="C193" s="10">
        <f>'A) Base RI'!C193+'A) Base RI'!D193</f>
        <v>4155865.8600000003</v>
      </c>
      <c r="D193" s="10">
        <f>'A) Base RI'!AO193</f>
        <v>-2896.78</v>
      </c>
      <c r="E193" s="32">
        <f>'A) Base RI'!AP193</f>
        <v>0</v>
      </c>
      <c r="F193" s="32">
        <f>'A) Base RI'!AQ193</f>
        <v>-1593.2</v>
      </c>
      <c r="G193" s="2">
        <f t="shared" si="12"/>
        <v>4151375.8800000004</v>
      </c>
      <c r="H193" s="10">
        <f>+'A) Base RI'!E193</f>
        <v>0</v>
      </c>
      <c r="I193" s="10">
        <f>+'A) Base RI'!F193</f>
        <v>0</v>
      </c>
      <c r="J193" s="10">
        <f>+'A) Base RI'!G193+'A) Base RI'!H193</f>
        <v>344426.45</v>
      </c>
      <c r="K193" s="10">
        <f>+'A) Base RI'!I193</f>
        <v>106396.26</v>
      </c>
      <c r="L193" s="10">
        <f>+'A) Base RI'!J193</f>
        <v>34035.050000000003</v>
      </c>
      <c r="M193" s="10">
        <f>+'A) Base RI'!K193</f>
        <v>5525.5</v>
      </c>
      <c r="N193" s="10">
        <f>+'A) Base RI'!Q193</f>
        <v>14308.46</v>
      </c>
      <c r="O193" s="10">
        <f t="shared" si="13"/>
        <v>271993.3</v>
      </c>
      <c r="P193" s="10">
        <f>+'A) Base RI'!L193</f>
        <v>271993.3</v>
      </c>
      <c r="Q193" s="35">
        <f>'A) Base RI'!AR193</f>
        <v>1</v>
      </c>
      <c r="R193" s="2">
        <f t="shared" si="14"/>
        <v>4928060.8999999994</v>
      </c>
      <c r="S193" s="34">
        <f>+'A) Base RI'!AM193</f>
        <v>64</v>
      </c>
      <c r="T193" s="2">
        <f t="shared" si="15"/>
        <v>4650542.0999999996</v>
      </c>
      <c r="U193" s="2">
        <f t="shared" si="16"/>
        <v>77000.951562499991</v>
      </c>
      <c r="V193" s="10">
        <f>+'A) Base RI'!O193</f>
        <v>0</v>
      </c>
      <c r="W193" s="10">
        <f>+'A) Base RI'!P193</f>
        <v>151786.45000000001</v>
      </c>
      <c r="X193" s="10">
        <f>+'A) Base RI'!R193</f>
        <v>123400.25</v>
      </c>
      <c r="Y193" s="2">
        <f t="shared" si="17"/>
        <v>275186.7</v>
      </c>
      <c r="Z193" s="10">
        <f>+'A) Base RI'!N193</f>
        <v>86331.8</v>
      </c>
      <c r="AA193" s="10">
        <f>+'A) Base RI'!S193+'A) Base RI'!T193</f>
        <v>1105.8</v>
      </c>
      <c r="AB193" s="10">
        <f>+'A) Base RI'!U193</f>
        <v>4590</v>
      </c>
      <c r="AC193" s="10">
        <f>+'A) Base RI'!V193</f>
        <v>0</v>
      </c>
      <c r="AD193" s="10">
        <f>+'A) Base RI'!W193</f>
        <v>0</v>
      </c>
      <c r="AE193" s="10">
        <f>+'A) Base RI'!Y193</f>
        <v>0</v>
      </c>
      <c r="AF193" s="10">
        <f>+'A) Base RI'!Z193</f>
        <v>0</v>
      </c>
      <c r="AG193" s="10">
        <f>+'A) Base RI'!AA193</f>
        <v>0</v>
      </c>
      <c r="AH193" s="10">
        <f>+'A) Base RI'!AB193</f>
        <v>0</v>
      </c>
      <c r="AI193" s="10">
        <f>+'A) Base RI'!AC193</f>
        <v>109330</v>
      </c>
      <c r="AJ193" s="10">
        <f>+'A) Base RI'!AD193</f>
        <v>0</v>
      </c>
      <c r="AK193" s="10">
        <f>+'A) Base RI'!AE193</f>
        <v>0</v>
      </c>
      <c r="AL193" s="10">
        <f>+'A) Base RI'!AF193</f>
        <v>0</v>
      </c>
      <c r="AM193" s="10">
        <f>+'A) Base RI'!AG193</f>
        <v>2497</v>
      </c>
      <c r="AN193" s="10">
        <f>+'A) Base RI'!AH193</f>
        <v>32722.85</v>
      </c>
      <c r="AO193" s="10">
        <f>+'A) Base RI'!AI193</f>
        <v>0</v>
      </c>
      <c r="AP193" s="10">
        <f>+'A) Base RI'!AJ193</f>
        <v>0</v>
      </c>
      <c r="AQ193" s="10">
        <f>+'A) Base RI'!AK193</f>
        <v>0</v>
      </c>
      <c r="AR193" s="10">
        <f>'A) Base RI'!AN193</f>
        <v>1175</v>
      </c>
    </row>
    <row r="194" spans="1:44" x14ac:dyDescent="0.25">
      <c r="A194" s="8">
        <f>'A) Base RI'!A194</f>
        <v>5715</v>
      </c>
      <c r="B194" s="33" t="str">
        <f>'A) Base RI'!B194</f>
        <v>Duillier</v>
      </c>
      <c r="C194" s="10">
        <f>'A) Base RI'!C194+'A) Base RI'!D194</f>
        <v>4770574.5199999996</v>
      </c>
      <c r="D194" s="10">
        <f>'A) Base RI'!AO194</f>
        <v>-58013.81</v>
      </c>
      <c r="E194" s="32">
        <f>'A) Base RI'!AP194</f>
        <v>0</v>
      </c>
      <c r="F194" s="32">
        <f>'A) Base RI'!AQ194</f>
        <v>-594.6</v>
      </c>
      <c r="G194" s="2">
        <f t="shared" si="12"/>
        <v>4711966.1100000003</v>
      </c>
      <c r="H194" s="10">
        <f>+'A) Base RI'!E194</f>
        <v>0</v>
      </c>
      <c r="I194" s="10">
        <f>+'A) Base RI'!F194</f>
        <v>0</v>
      </c>
      <c r="J194" s="10">
        <f>+'A) Base RI'!G194+'A) Base RI'!H194</f>
        <v>-2948.5</v>
      </c>
      <c r="K194" s="10">
        <f>+'A) Base RI'!I194</f>
        <v>32824.75</v>
      </c>
      <c r="L194" s="10">
        <f>+'A) Base RI'!J194</f>
        <v>106227.66</v>
      </c>
      <c r="M194" s="10">
        <f>+'A) Base RI'!K194</f>
        <v>2815.5</v>
      </c>
      <c r="N194" s="10">
        <f>+'A) Base RI'!Q194</f>
        <v>3941.24</v>
      </c>
      <c r="O194" s="10">
        <f t="shared" si="13"/>
        <v>256360.15</v>
      </c>
      <c r="P194" s="10">
        <f>+'A) Base RI'!L194</f>
        <v>256360.15</v>
      </c>
      <c r="Q194" s="35">
        <f>'A) Base RI'!AR194</f>
        <v>1</v>
      </c>
      <c r="R194" s="2">
        <f t="shared" si="14"/>
        <v>5111186.9100000011</v>
      </c>
      <c r="S194" s="34">
        <f>+'A) Base RI'!AM194</f>
        <v>66</v>
      </c>
      <c r="T194" s="2">
        <f t="shared" si="15"/>
        <v>4852011.2600000007</v>
      </c>
      <c r="U194" s="2">
        <f t="shared" si="16"/>
        <v>77442.225909090921</v>
      </c>
      <c r="V194" s="10">
        <f>+'A) Base RI'!O194</f>
        <v>0</v>
      </c>
      <c r="W194" s="10">
        <f>+'A) Base RI'!P194</f>
        <v>336462.75</v>
      </c>
      <c r="X194" s="10">
        <f>+'A) Base RI'!R194</f>
        <v>214314.8</v>
      </c>
      <c r="Y194" s="2">
        <f t="shared" si="17"/>
        <v>550777.55000000005</v>
      </c>
      <c r="Z194" s="10">
        <f>+'A) Base RI'!N194</f>
        <v>68196.2</v>
      </c>
      <c r="AA194" s="10">
        <f>+'A) Base RI'!S194+'A) Base RI'!T194</f>
        <v>0</v>
      </c>
      <c r="AB194" s="10">
        <f>+'A) Base RI'!U194</f>
        <v>6550</v>
      </c>
      <c r="AC194" s="10">
        <f>+'A) Base RI'!V194</f>
        <v>0</v>
      </c>
      <c r="AD194" s="10">
        <f>+'A) Base RI'!W194</f>
        <v>0</v>
      </c>
      <c r="AE194" s="10">
        <f>+'A) Base RI'!Y194</f>
        <v>0</v>
      </c>
      <c r="AF194" s="10">
        <f>+'A) Base RI'!Z194</f>
        <v>0</v>
      </c>
      <c r="AG194" s="10">
        <f>+'A) Base RI'!AA194</f>
        <v>120058</v>
      </c>
      <c r="AH194" s="10">
        <f>+'A) Base RI'!AB194</f>
        <v>0</v>
      </c>
      <c r="AI194" s="10">
        <f>+'A) Base RI'!AC194</f>
        <v>91271</v>
      </c>
      <c r="AJ194" s="10">
        <f>+'A) Base RI'!AD194</f>
        <v>43989</v>
      </c>
      <c r="AK194" s="10">
        <f>+'A) Base RI'!AE194</f>
        <v>0</v>
      </c>
      <c r="AL194" s="10">
        <f>+'A) Base RI'!AF194</f>
        <v>0</v>
      </c>
      <c r="AM194" s="10">
        <f>+'A) Base RI'!AG194</f>
        <v>12952</v>
      </c>
      <c r="AN194" s="10">
        <f>+'A) Base RI'!AH194</f>
        <v>38755.25</v>
      </c>
      <c r="AO194" s="10">
        <f>+'A) Base RI'!AI194</f>
        <v>0</v>
      </c>
      <c r="AP194" s="10">
        <f>+'A) Base RI'!AJ194</f>
        <v>0</v>
      </c>
      <c r="AQ194" s="10">
        <f>+'A) Base RI'!AK194</f>
        <v>0</v>
      </c>
      <c r="AR194" s="10">
        <f>'A) Base RI'!AN194</f>
        <v>1085</v>
      </c>
    </row>
    <row r="195" spans="1:44" x14ac:dyDescent="0.25">
      <c r="A195" s="8">
        <f>'A) Base RI'!A195</f>
        <v>5716</v>
      </c>
      <c r="B195" s="33" t="str">
        <f>'A) Base RI'!B195</f>
        <v>Eysins</v>
      </c>
      <c r="C195" s="10">
        <f>'A) Base RI'!C195+'A) Base RI'!D195</f>
        <v>4305589.74</v>
      </c>
      <c r="D195" s="10">
        <f>'A) Base RI'!AO195</f>
        <v>-88294.3</v>
      </c>
      <c r="E195" s="32">
        <f>'A) Base RI'!AP195</f>
        <v>0</v>
      </c>
      <c r="F195" s="32">
        <f>'A) Base RI'!AQ195</f>
        <v>-1114.95</v>
      </c>
      <c r="G195" s="2">
        <f t="shared" si="12"/>
        <v>4216180.49</v>
      </c>
      <c r="H195" s="10">
        <f>+'A) Base RI'!E195</f>
        <v>0</v>
      </c>
      <c r="I195" s="10">
        <f>+'A) Base RI'!F195</f>
        <v>0</v>
      </c>
      <c r="J195" s="10">
        <f>+'A) Base RI'!G195+'A) Base RI'!H195</f>
        <v>5575877.9000000004</v>
      </c>
      <c r="K195" s="10">
        <f>+'A) Base RI'!I195</f>
        <v>25107.85</v>
      </c>
      <c r="L195" s="10">
        <f>+'A) Base RI'!J195</f>
        <v>110611.58</v>
      </c>
      <c r="M195" s="10">
        <f>+'A) Base RI'!K195</f>
        <v>197869.5</v>
      </c>
      <c r="N195" s="10">
        <f>+'A) Base RI'!Q195</f>
        <v>0</v>
      </c>
      <c r="O195" s="10">
        <f t="shared" si="13"/>
        <v>605535.44999999995</v>
      </c>
      <c r="P195" s="10">
        <f>+'A) Base RI'!L195</f>
        <v>605535.44999999995</v>
      </c>
      <c r="Q195" s="35">
        <f>'A) Base RI'!AR195</f>
        <v>1</v>
      </c>
      <c r="R195" s="2">
        <f t="shared" si="14"/>
        <v>10731182.77</v>
      </c>
      <c r="S195" s="34">
        <f>+'A) Base RI'!AM195</f>
        <v>61</v>
      </c>
      <c r="T195" s="2">
        <f t="shared" si="15"/>
        <v>9927777.8200000003</v>
      </c>
      <c r="U195" s="2">
        <f t="shared" si="16"/>
        <v>175921.02901639344</v>
      </c>
      <c r="V195" s="10">
        <f>+'A) Base RI'!O195</f>
        <v>16079.1</v>
      </c>
      <c r="W195" s="10">
        <f>+'A) Base RI'!P195</f>
        <v>436710.45</v>
      </c>
      <c r="X195" s="10">
        <f>+'A) Base RI'!R195</f>
        <v>31218.5</v>
      </c>
      <c r="Y195" s="2">
        <f t="shared" si="17"/>
        <v>484008.05</v>
      </c>
      <c r="Z195" s="10">
        <f>+'A) Base RI'!N195</f>
        <v>679442.25</v>
      </c>
      <c r="AA195" s="10">
        <f>+'A) Base RI'!S195+'A) Base RI'!T195</f>
        <v>0</v>
      </c>
      <c r="AB195" s="10">
        <f>+'A) Base RI'!U195</f>
        <v>6700</v>
      </c>
      <c r="AC195" s="10">
        <f>+'A) Base RI'!V195</f>
        <v>0</v>
      </c>
      <c r="AD195" s="10">
        <f>+'A) Base RI'!W195</f>
        <v>0</v>
      </c>
      <c r="AE195" s="10">
        <f>+'A) Base RI'!Y195</f>
        <v>-97452.3</v>
      </c>
      <c r="AF195" s="10" t="str">
        <f>+'A) Base RI'!Z195</f>
        <v/>
      </c>
      <c r="AG195" s="10">
        <f>+'A) Base RI'!AA195</f>
        <v>240743.71</v>
      </c>
      <c r="AH195" s="10" t="str">
        <f>+'A) Base RI'!AB195</f>
        <v/>
      </c>
      <c r="AI195" s="10">
        <f>+'A) Base RI'!AC195</f>
        <v>113612.14</v>
      </c>
      <c r="AJ195" s="10" t="str">
        <f>+'A) Base RI'!AD195</f>
        <v/>
      </c>
      <c r="AK195" s="10" t="str">
        <f>+'A) Base RI'!AE195</f>
        <v/>
      </c>
      <c r="AL195" s="10" t="str">
        <f>+'A) Base RI'!AF195</f>
        <v/>
      </c>
      <c r="AM195" s="10" t="str">
        <f>+'A) Base RI'!AG195</f>
        <v/>
      </c>
      <c r="AN195" s="10">
        <f>+'A) Base RI'!AH195</f>
        <v>72100.649999999994</v>
      </c>
      <c r="AO195" s="10">
        <f>+'A) Base RI'!AI195</f>
        <v>0</v>
      </c>
      <c r="AP195" s="10">
        <f>+'A) Base RI'!AJ195</f>
        <v>0</v>
      </c>
      <c r="AQ195" s="10">
        <f>+'A) Base RI'!AK195</f>
        <v>0</v>
      </c>
      <c r="AR195" s="10">
        <f>'A) Base RI'!AN195</f>
        <v>1618</v>
      </c>
    </row>
    <row r="196" spans="1:44" x14ac:dyDescent="0.25">
      <c r="A196" s="8">
        <f>'A) Base RI'!A196</f>
        <v>5717</v>
      </c>
      <c r="B196" s="33" t="str">
        <f>'A) Base RI'!B196</f>
        <v>Founex</v>
      </c>
      <c r="C196" s="10">
        <f>'A) Base RI'!C196+'A) Base RI'!D196</f>
        <v>18490959.609999999</v>
      </c>
      <c r="D196" s="10">
        <f>'A) Base RI'!AO196</f>
        <v>-137980.42000000001</v>
      </c>
      <c r="E196" s="32">
        <f>'A) Base RI'!AP196</f>
        <v>-18432</v>
      </c>
      <c r="F196" s="32">
        <f>'A) Base RI'!AQ196</f>
        <v>-49792.18</v>
      </c>
      <c r="G196" s="2">
        <f t="shared" si="12"/>
        <v>18284755.009999998</v>
      </c>
      <c r="H196" s="10">
        <f>+'A) Base RI'!E196</f>
        <v>0</v>
      </c>
      <c r="I196" s="10">
        <f>+'A) Base RI'!F196</f>
        <v>0</v>
      </c>
      <c r="J196" s="10">
        <f>+'A) Base RI'!G196+'A) Base RI'!H196</f>
        <v>493814.75</v>
      </c>
      <c r="K196" s="10">
        <f>+'A) Base RI'!I196</f>
        <v>913524.5</v>
      </c>
      <c r="L196" s="10">
        <f>+'A) Base RI'!J196</f>
        <v>433261.74</v>
      </c>
      <c r="M196" s="10">
        <f>+'A) Base RI'!K196</f>
        <v>47633.5</v>
      </c>
      <c r="N196" s="10">
        <f>+'A) Base RI'!Q196</f>
        <v>1272.4000000000001</v>
      </c>
      <c r="O196" s="10">
        <f t="shared" si="13"/>
        <v>1257401.45</v>
      </c>
      <c r="P196" s="10">
        <f>+'A) Base RI'!L196</f>
        <v>1257401.45</v>
      </c>
      <c r="Q196" s="35">
        <f>'A) Base RI'!AR196</f>
        <v>1</v>
      </c>
      <c r="R196" s="2">
        <f t="shared" si="14"/>
        <v>21431663.349999994</v>
      </c>
      <c r="S196" s="34">
        <f>+'A) Base RI'!AM196</f>
        <v>57</v>
      </c>
      <c r="T196" s="2">
        <f t="shared" si="15"/>
        <v>20126628.399999995</v>
      </c>
      <c r="U196" s="2">
        <f t="shared" si="16"/>
        <v>375994.09385964903</v>
      </c>
      <c r="V196" s="10">
        <f>+'A) Base RI'!O196</f>
        <v>5114.3999999999996</v>
      </c>
      <c r="W196" s="10">
        <f>+'A) Base RI'!P196</f>
        <v>734333.6</v>
      </c>
      <c r="X196" s="10">
        <f>+'A) Base RI'!R196</f>
        <v>330130.15000000002</v>
      </c>
      <c r="Y196" s="2">
        <f t="shared" si="17"/>
        <v>1069578.1499999999</v>
      </c>
      <c r="Z196" s="10">
        <f>+'A) Base RI'!N196</f>
        <v>249276.3</v>
      </c>
      <c r="AA196" s="10">
        <f>+'A) Base RI'!S196+'A) Base RI'!T196</f>
        <v>400</v>
      </c>
      <c r="AB196" s="10">
        <f>+'A) Base RI'!U196</f>
        <v>19565</v>
      </c>
      <c r="AC196" s="10">
        <f>+'A) Base RI'!V196</f>
        <v>0</v>
      </c>
      <c r="AD196" s="10">
        <f>+'A) Base RI'!W196</f>
        <v>0</v>
      </c>
      <c r="AE196" s="10" t="str">
        <f>+'A) Base RI'!Y196</f>
        <v/>
      </c>
      <c r="AF196" s="10" t="str">
        <f>+'A) Base RI'!Z196</f>
        <v/>
      </c>
      <c r="AG196" s="10" t="str">
        <f>+'A) Base RI'!AA196</f>
        <v/>
      </c>
      <c r="AH196" s="10" t="str">
        <f>+'A) Base RI'!AB196</f>
        <v/>
      </c>
      <c r="AI196" s="10">
        <f>+'A) Base RI'!AC196</f>
        <v>489803.49</v>
      </c>
      <c r="AJ196" s="10" t="str">
        <f>+'A) Base RI'!AD196</f>
        <v/>
      </c>
      <c r="AK196" s="10" t="str">
        <f>+'A) Base RI'!AE196</f>
        <v/>
      </c>
      <c r="AL196" s="10" t="str">
        <f>+'A) Base RI'!AF196</f>
        <v/>
      </c>
      <c r="AM196" s="10">
        <f>+'A) Base RI'!AG196</f>
        <v>3441</v>
      </c>
      <c r="AN196" s="10">
        <f>+'A) Base RI'!AH196</f>
        <v>0</v>
      </c>
      <c r="AO196" s="10">
        <f>+'A) Base RI'!AI196</f>
        <v>0</v>
      </c>
      <c r="AP196" s="10">
        <f>+'A) Base RI'!AJ196</f>
        <v>0</v>
      </c>
      <c r="AQ196" s="10">
        <f>+'A) Base RI'!AK196</f>
        <v>0</v>
      </c>
      <c r="AR196" s="10">
        <f>'A) Base RI'!AN196</f>
        <v>3790</v>
      </c>
    </row>
    <row r="197" spans="1:44" x14ac:dyDescent="0.25">
      <c r="A197" s="8">
        <f>'A) Base RI'!A197</f>
        <v>5718</v>
      </c>
      <c r="B197" s="33" t="str">
        <f>'A) Base RI'!B197</f>
        <v>Genolier</v>
      </c>
      <c r="C197" s="10">
        <f>'A) Base RI'!C197+'A) Base RI'!D197</f>
        <v>8404987.2699999996</v>
      </c>
      <c r="D197" s="10">
        <f>'A) Base RI'!AO197</f>
        <v>-64682.38</v>
      </c>
      <c r="E197" s="32">
        <f>'A) Base RI'!AP197</f>
        <v>0</v>
      </c>
      <c r="F197" s="32">
        <f>'A) Base RI'!AQ197</f>
        <v>-2573.77</v>
      </c>
      <c r="G197" s="2">
        <f t="shared" si="12"/>
        <v>8337731.1200000001</v>
      </c>
      <c r="H197" s="10">
        <f>+'A) Base RI'!E197</f>
        <v>0</v>
      </c>
      <c r="I197" s="10">
        <f>+'A) Base RI'!F197</f>
        <v>0</v>
      </c>
      <c r="J197" s="10">
        <f>+'A) Base RI'!G197+'A) Base RI'!H197</f>
        <v>2884.50000000001</v>
      </c>
      <c r="K197" s="10">
        <f>+'A) Base RI'!I197</f>
        <v>99698.29</v>
      </c>
      <c r="L197" s="10">
        <f>+'A) Base RI'!J197</f>
        <v>220212.97</v>
      </c>
      <c r="M197" s="10">
        <f>+'A) Base RI'!K197</f>
        <v>44288.6</v>
      </c>
      <c r="N197" s="10">
        <f>+'A) Base RI'!Q197</f>
        <v>27852.79</v>
      </c>
      <c r="O197" s="10">
        <f t="shared" si="13"/>
        <v>647274.80000000005</v>
      </c>
      <c r="P197" s="10">
        <f>+'A) Base RI'!L197</f>
        <v>647274.80000000005</v>
      </c>
      <c r="Q197" s="35">
        <f>'A) Base RI'!AR197</f>
        <v>1</v>
      </c>
      <c r="R197" s="2">
        <f t="shared" si="14"/>
        <v>9379943.0700000003</v>
      </c>
      <c r="S197" s="34">
        <f>+'A) Base RI'!AM197</f>
        <v>55</v>
      </c>
      <c r="T197" s="2">
        <f t="shared" si="15"/>
        <v>8688379.6699999999</v>
      </c>
      <c r="U197" s="2">
        <f t="shared" si="16"/>
        <v>170544.41945454545</v>
      </c>
      <c r="V197" s="10">
        <f>+'A) Base RI'!O197</f>
        <v>714881.3</v>
      </c>
      <c r="W197" s="10">
        <f>+'A) Base RI'!P197</f>
        <v>353965.8</v>
      </c>
      <c r="X197" s="10">
        <f>+'A) Base RI'!R197</f>
        <v>221900.85</v>
      </c>
      <c r="Y197" s="2">
        <f t="shared" si="17"/>
        <v>1290747.9500000002</v>
      </c>
      <c r="Z197" s="10">
        <f>+'A) Base RI'!N197</f>
        <v>325758.59999999998</v>
      </c>
      <c r="AA197" s="10">
        <f>+'A) Base RI'!S197+'A) Base RI'!T197</f>
        <v>100</v>
      </c>
      <c r="AB197" s="10">
        <f>+'A) Base RI'!U197</f>
        <v>8900</v>
      </c>
      <c r="AC197" s="10">
        <f>+'A) Base RI'!V197</f>
        <v>0</v>
      </c>
      <c r="AD197" s="10">
        <f>+'A) Base RI'!W197</f>
        <v>0</v>
      </c>
      <c r="AE197" s="10">
        <f>+'A) Base RI'!Y197</f>
        <v>34059.800000000003</v>
      </c>
      <c r="AF197" s="10">
        <f>+'A) Base RI'!Z197</f>
        <v>0</v>
      </c>
      <c r="AG197" s="10">
        <f>+'A) Base RI'!AA197</f>
        <v>225013.15</v>
      </c>
      <c r="AH197" s="10">
        <f>+'A) Base RI'!AB197</f>
        <v>0</v>
      </c>
      <c r="AI197" s="10">
        <f>+'A) Base RI'!AC197</f>
        <v>190880</v>
      </c>
      <c r="AJ197" s="10">
        <f>+'A) Base RI'!AD197</f>
        <v>43811.199999999997</v>
      </c>
      <c r="AK197" s="10">
        <f>+'A) Base RI'!AE197</f>
        <v>0</v>
      </c>
      <c r="AL197" s="10">
        <f>+'A) Base RI'!AF197</f>
        <v>0</v>
      </c>
      <c r="AM197" s="10">
        <f>+'A) Base RI'!AG197</f>
        <v>21159.3</v>
      </c>
      <c r="AN197" s="10">
        <f>+'A) Base RI'!AH197</f>
        <v>0</v>
      </c>
      <c r="AO197" s="10">
        <f>+'A) Base RI'!AI197</f>
        <v>0</v>
      </c>
      <c r="AP197" s="10">
        <f>+'A) Base RI'!AJ197</f>
        <v>0</v>
      </c>
      <c r="AQ197" s="10">
        <f>+'A) Base RI'!AK197</f>
        <v>0</v>
      </c>
      <c r="AR197" s="10">
        <f>'A) Base RI'!AN197</f>
        <v>1961</v>
      </c>
    </row>
    <row r="198" spans="1:44" x14ac:dyDescent="0.25">
      <c r="A198" s="8">
        <f>'A) Base RI'!A198</f>
        <v>5719</v>
      </c>
      <c r="B198" s="33" t="str">
        <f>'A) Base RI'!B198</f>
        <v>Gingins</v>
      </c>
      <c r="C198" s="10">
        <f>'A) Base RI'!C198+'A) Base RI'!D198</f>
        <v>6122255.6600000001</v>
      </c>
      <c r="D198" s="10">
        <f>'A) Base RI'!AO198</f>
        <v>-17242.27</v>
      </c>
      <c r="E198" s="32">
        <f>'A) Base RI'!AP198</f>
        <v>0</v>
      </c>
      <c r="F198" s="32">
        <f>'A) Base RI'!AQ198</f>
        <v>-1925.1</v>
      </c>
      <c r="G198" s="2">
        <f t="shared" si="12"/>
        <v>6103088.290000001</v>
      </c>
      <c r="H198" s="10">
        <f>+'A) Base RI'!E198</f>
        <v>0</v>
      </c>
      <c r="I198" s="10">
        <f>+'A) Base RI'!F198</f>
        <v>0</v>
      </c>
      <c r="J198" s="10">
        <f>+'A) Base RI'!G198+'A) Base RI'!H198</f>
        <v>104209.7</v>
      </c>
      <c r="K198" s="10">
        <f>+'A) Base RI'!I198</f>
        <v>-334493.95</v>
      </c>
      <c r="L198" s="10">
        <f>+'A) Base RI'!J198</f>
        <v>48542.879999999997</v>
      </c>
      <c r="M198" s="10">
        <f>+'A) Base RI'!K198</f>
        <v>9138.35</v>
      </c>
      <c r="N198" s="10">
        <f>+'A) Base RI'!Q198</f>
        <v>26669.83</v>
      </c>
      <c r="O198" s="10">
        <f t="shared" si="13"/>
        <v>388069</v>
      </c>
      <c r="P198" s="10">
        <f>+'A) Base RI'!L198</f>
        <v>232841.4</v>
      </c>
      <c r="Q198" s="35">
        <f>'A) Base RI'!AR198</f>
        <v>0.6</v>
      </c>
      <c r="R198" s="2">
        <f t="shared" si="14"/>
        <v>6345224.1000000006</v>
      </c>
      <c r="S198" s="34">
        <f>+'A) Base RI'!AM198</f>
        <v>57</v>
      </c>
      <c r="T198" s="2">
        <f t="shared" si="15"/>
        <v>5948016.7500000009</v>
      </c>
      <c r="U198" s="2">
        <f t="shared" si="16"/>
        <v>111319.72105263159</v>
      </c>
      <c r="V198" s="10">
        <f>+'A) Base RI'!O198</f>
        <v>159463.1</v>
      </c>
      <c r="W198" s="10">
        <f>+'A) Base RI'!P198</f>
        <v>527321.5</v>
      </c>
      <c r="X198" s="10">
        <f>+'A) Base RI'!R198</f>
        <v>191782</v>
      </c>
      <c r="Y198" s="2">
        <f t="shared" si="17"/>
        <v>878566.6</v>
      </c>
      <c r="Z198" s="10">
        <f>+'A) Base RI'!N198</f>
        <v>59727.15</v>
      </c>
      <c r="AA198" s="10">
        <f>+'A) Base RI'!S198+'A) Base RI'!T198</f>
        <v>0</v>
      </c>
      <c r="AB198" s="10">
        <f>+'A) Base RI'!U198</f>
        <v>12600</v>
      </c>
      <c r="AC198" s="10">
        <f>+'A) Base RI'!V198</f>
        <v>0</v>
      </c>
      <c r="AD198" s="10">
        <f>+'A) Base RI'!W198</f>
        <v>0</v>
      </c>
      <c r="AE198" s="10">
        <f>+'A) Base RI'!Y198</f>
        <v>16800</v>
      </c>
      <c r="AF198" s="10">
        <f>+'A) Base RI'!Z198</f>
        <v>0</v>
      </c>
      <c r="AG198" s="10">
        <f>+'A) Base RI'!AA198</f>
        <v>86909.9</v>
      </c>
      <c r="AH198" s="10">
        <f>+'A) Base RI'!AB198</f>
        <v>0</v>
      </c>
      <c r="AI198" s="10">
        <f>+'A) Base RI'!AC198</f>
        <v>91416.320000000007</v>
      </c>
      <c r="AJ198" s="10">
        <f>+'A) Base RI'!AD198</f>
        <v>21000</v>
      </c>
      <c r="AK198" s="10">
        <f>+'A) Base RI'!AE198</f>
        <v>0</v>
      </c>
      <c r="AL198" s="10">
        <f>+'A) Base RI'!AF198</f>
        <v>0</v>
      </c>
      <c r="AM198" s="10">
        <f>+'A) Base RI'!AG198</f>
        <v>0</v>
      </c>
      <c r="AN198" s="10">
        <f>+'A) Base RI'!AH198</f>
        <v>0</v>
      </c>
      <c r="AO198" s="10">
        <f>+'A) Base RI'!AI198</f>
        <v>0</v>
      </c>
      <c r="AP198" s="10">
        <f>+'A) Base RI'!AJ198</f>
        <v>0</v>
      </c>
      <c r="AQ198" s="10">
        <f>+'A) Base RI'!AK198</f>
        <v>0</v>
      </c>
      <c r="AR198" s="10">
        <f>'A) Base RI'!AN198</f>
        <v>1226</v>
      </c>
    </row>
    <row r="199" spans="1:44" x14ac:dyDescent="0.25">
      <c r="A199" s="8">
        <f>'A) Base RI'!A199</f>
        <v>5720</v>
      </c>
      <c r="B199" s="33" t="str">
        <f>'A) Base RI'!B199</f>
        <v>Givrins</v>
      </c>
      <c r="C199" s="10">
        <f>'A) Base RI'!C199+'A) Base RI'!D199</f>
        <v>3806984.34</v>
      </c>
      <c r="D199" s="10">
        <f>'A) Base RI'!AO199</f>
        <v>-42411.87</v>
      </c>
      <c r="E199" s="32">
        <f>'A) Base RI'!AP199</f>
        <v>0</v>
      </c>
      <c r="F199" s="32">
        <f>'A) Base RI'!AQ199</f>
        <v>-2502.3200000000002</v>
      </c>
      <c r="G199" s="2">
        <f t="shared" si="12"/>
        <v>3762070.15</v>
      </c>
      <c r="H199" s="10">
        <f>+'A) Base RI'!E199</f>
        <v>0</v>
      </c>
      <c r="I199" s="10">
        <f>+'A) Base RI'!F199</f>
        <v>0</v>
      </c>
      <c r="J199" s="10">
        <f>+'A) Base RI'!G199+'A) Base RI'!H199</f>
        <v>41271.549999999996</v>
      </c>
      <c r="K199" s="10">
        <f>+'A) Base RI'!I199</f>
        <v>362718.47</v>
      </c>
      <c r="L199" s="10">
        <f>+'A) Base RI'!J199</f>
        <v>32265.08</v>
      </c>
      <c r="M199" s="10">
        <f>+'A) Base RI'!K199</f>
        <v>0</v>
      </c>
      <c r="N199" s="10">
        <f>+'A) Base RI'!Q199</f>
        <v>1129.56</v>
      </c>
      <c r="O199" s="10">
        <f t="shared" si="13"/>
        <v>290746.44444444444</v>
      </c>
      <c r="P199" s="10">
        <f>+'A) Base RI'!L199</f>
        <v>261671.8</v>
      </c>
      <c r="Q199" s="35">
        <f>'A) Base RI'!AR199</f>
        <v>0.9</v>
      </c>
      <c r="R199" s="2">
        <f t="shared" si="14"/>
        <v>4490201.2544444436</v>
      </c>
      <c r="S199" s="34">
        <f>+'A) Base RI'!AM199</f>
        <v>67</v>
      </c>
      <c r="T199" s="2">
        <f t="shared" si="15"/>
        <v>4199454.8099999996</v>
      </c>
      <c r="U199" s="2">
        <f t="shared" si="16"/>
        <v>67017.929170812597</v>
      </c>
      <c r="V199" s="10">
        <f>+'A) Base RI'!O199</f>
        <v>0</v>
      </c>
      <c r="W199" s="10">
        <f>+'A) Base RI'!P199</f>
        <v>256919.55</v>
      </c>
      <c r="X199" s="10">
        <f>+'A) Base RI'!R199</f>
        <v>63426.55</v>
      </c>
      <c r="Y199" s="2">
        <f t="shared" si="17"/>
        <v>320346.09999999998</v>
      </c>
      <c r="Z199" s="10">
        <f>+'A) Base RI'!N199</f>
        <v>9158.4500000000007</v>
      </c>
      <c r="AA199" s="10">
        <f>+'A) Base RI'!S199+'A) Base RI'!T199</f>
        <v>0</v>
      </c>
      <c r="AB199" s="10">
        <f>+'A) Base RI'!U199</f>
        <v>5640</v>
      </c>
      <c r="AC199" s="10">
        <f>+'A) Base RI'!V199</f>
        <v>0</v>
      </c>
      <c r="AD199" s="10">
        <f>+'A) Base RI'!W199</f>
        <v>0</v>
      </c>
      <c r="AE199" s="10">
        <f>+'A) Base RI'!Y199</f>
        <v>5082.3999999999996</v>
      </c>
      <c r="AF199" s="10">
        <f>+'A) Base RI'!Z199</f>
        <v>0</v>
      </c>
      <c r="AG199" s="10">
        <f>+'A) Base RI'!AA199</f>
        <v>190057.3</v>
      </c>
      <c r="AH199" s="10">
        <f>+'A) Base RI'!AB199</f>
        <v>0</v>
      </c>
      <c r="AI199" s="10">
        <f>+'A) Base RI'!AC199</f>
        <v>58508.95</v>
      </c>
      <c r="AJ199" s="10">
        <f>+'A) Base RI'!AD199</f>
        <v>3450.15</v>
      </c>
      <c r="AK199" s="10">
        <f>+'A) Base RI'!AE199</f>
        <v>0</v>
      </c>
      <c r="AL199" s="10">
        <f>+'A) Base RI'!AF199</f>
        <v>0</v>
      </c>
      <c r="AM199" s="10">
        <f>+'A) Base RI'!AG199</f>
        <v>1813.8</v>
      </c>
      <c r="AN199" s="10">
        <f>+'A) Base RI'!AH199</f>
        <v>0</v>
      </c>
      <c r="AO199" s="10">
        <f>+'A) Base RI'!AI199</f>
        <v>0</v>
      </c>
      <c r="AP199" s="10">
        <f>+'A) Base RI'!AJ199</f>
        <v>0</v>
      </c>
      <c r="AQ199" s="10">
        <f>+'A) Base RI'!AK199</f>
        <v>0</v>
      </c>
      <c r="AR199" s="10">
        <f>'A) Base RI'!AN199</f>
        <v>1033</v>
      </c>
    </row>
    <row r="200" spans="1:44" x14ac:dyDescent="0.25">
      <c r="A200" s="8">
        <f>'A) Base RI'!A200</f>
        <v>5721</v>
      </c>
      <c r="B200" s="33" t="str">
        <f>'A) Base RI'!B200</f>
        <v>Gland</v>
      </c>
      <c r="C200" s="10">
        <f>'A) Base RI'!C200+'A) Base RI'!D200</f>
        <v>32557115.969999999</v>
      </c>
      <c r="D200" s="10">
        <f>'A) Base RI'!AO200</f>
        <v>-497857.2</v>
      </c>
      <c r="E200" s="32">
        <f>'A) Base RI'!AP200</f>
        <v>0</v>
      </c>
      <c r="F200" s="32">
        <f>'A) Base RI'!AQ200</f>
        <v>-36214.92</v>
      </c>
      <c r="G200" s="2">
        <f t="shared" ref="G200:G263" si="18">SUM(C200:F200)</f>
        <v>32023043.849999998</v>
      </c>
      <c r="H200" s="10">
        <f>+'A) Base RI'!E200</f>
        <v>0</v>
      </c>
      <c r="I200" s="10">
        <f>+'A) Base RI'!F200</f>
        <v>0</v>
      </c>
      <c r="J200" s="10">
        <f>+'A) Base RI'!G200+'A) Base RI'!H200</f>
        <v>3627730.65</v>
      </c>
      <c r="K200" s="10">
        <f>+'A) Base RI'!I200</f>
        <v>833670.55</v>
      </c>
      <c r="L200" s="10">
        <f>+'A) Base RI'!J200</f>
        <v>1044042.29</v>
      </c>
      <c r="M200" s="10">
        <f>+'A) Base RI'!K200</f>
        <v>474228.4</v>
      </c>
      <c r="N200" s="10">
        <f>+'A) Base RI'!Q200</f>
        <v>155502.67000000001</v>
      </c>
      <c r="O200" s="10">
        <f t="shared" ref="O200:O263" si="19">(P200/Q200)*1</f>
        <v>2749543.9</v>
      </c>
      <c r="P200" s="10">
        <f>+'A) Base RI'!L200</f>
        <v>2749543.9</v>
      </c>
      <c r="Q200" s="35">
        <f>'A) Base RI'!AR200</f>
        <v>1</v>
      </c>
      <c r="R200" s="2">
        <f t="shared" ref="R200:R263" si="20">SUM(G200:O200)</f>
        <v>40907762.309999995</v>
      </c>
      <c r="S200" s="34">
        <f>+'A) Base RI'!AM200</f>
        <v>62.5</v>
      </c>
      <c r="T200" s="2">
        <f t="shared" ref="T200:T263" si="21">(G200+H200+J200+K200+L200+N200)</f>
        <v>37683990.009999998</v>
      </c>
      <c r="U200" s="2">
        <f t="shared" ref="U200:U263" si="22">R200/S200</f>
        <v>654524.19695999997</v>
      </c>
      <c r="V200" s="10">
        <f>+'A) Base RI'!O200</f>
        <v>78513.899999999994</v>
      </c>
      <c r="W200" s="10">
        <f>+'A) Base RI'!P200</f>
        <v>1969702.8</v>
      </c>
      <c r="X200" s="10">
        <f>+'A) Base RI'!R200</f>
        <v>952805.75</v>
      </c>
      <c r="Y200" s="2">
        <f t="shared" ref="Y200:Y263" si="23">SUM(V200:X200)</f>
        <v>3001022.45</v>
      </c>
      <c r="Z200" s="10">
        <f>+'A) Base RI'!N200</f>
        <v>1948987.2</v>
      </c>
      <c r="AA200" s="10">
        <f>+'A) Base RI'!S200+'A) Base RI'!T200</f>
        <v>0</v>
      </c>
      <c r="AB200" s="10">
        <f>+'A) Base RI'!U200</f>
        <v>65600</v>
      </c>
      <c r="AC200" s="10">
        <f>+'A) Base RI'!V200</f>
        <v>0</v>
      </c>
      <c r="AD200" s="10">
        <f>+'A) Base RI'!W200</f>
        <v>0</v>
      </c>
      <c r="AE200" s="10">
        <f>+'A) Base RI'!Y200</f>
        <v>67267.649999999994</v>
      </c>
      <c r="AF200" s="10">
        <f>+'A) Base RI'!Z200</f>
        <v>0</v>
      </c>
      <c r="AG200" s="10">
        <f>+'A) Base RI'!AA200</f>
        <v>1134790.3999999999</v>
      </c>
      <c r="AH200" s="10">
        <f>+'A) Base RI'!AB200</f>
        <v>0</v>
      </c>
      <c r="AI200" s="10">
        <f>+'A) Base RI'!AC200</f>
        <v>1558881.45</v>
      </c>
      <c r="AJ200" s="10">
        <f>+'A) Base RI'!AD200</f>
        <v>26906.95</v>
      </c>
      <c r="AK200" s="10">
        <f>+'A) Base RI'!AE200</f>
        <v>0</v>
      </c>
      <c r="AL200" s="10">
        <f>+'A) Base RI'!AF200</f>
        <v>0</v>
      </c>
      <c r="AM200" s="10">
        <f>+'A) Base RI'!AG200</f>
        <v>42381</v>
      </c>
      <c r="AN200" s="10">
        <f>+'A) Base RI'!AH200</f>
        <v>402897.5</v>
      </c>
      <c r="AO200" s="10">
        <f>+'A) Base RI'!AI200</f>
        <v>230215.74</v>
      </c>
      <c r="AP200" s="10">
        <f>+'A) Base RI'!AJ200</f>
        <v>402902.06</v>
      </c>
      <c r="AQ200" s="10">
        <f>+'A) Base RI'!AK200</f>
        <v>287822.05</v>
      </c>
      <c r="AR200" s="10">
        <f>'A) Base RI'!AN200</f>
        <v>13101</v>
      </c>
    </row>
    <row r="201" spans="1:44" x14ac:dyDescent="0.25">
      <c r="A201" s="8">
        <f>'A) Base RI'!A201</f>
        <v>5722</v>
      </c>
      <c r="B201" s="33" t="str">
        <f>'A) Base RI'!B201</f>
        <v>Grens</v>
      </c>
      <c r="C201" s="10">
        <f>'A) Base RI'!C201+'A) Base RI'!D201</f>
        <v>1244892.1199999999</v>
      </c>
      <c r="D201" s="10">
        <f>'A) Base RI'!AO201</f>
        <v>-487.43</v>
      </c>
      <c r="E201" s="32">
        <f>'A) Base RI'!AP201</f>
        <v>0</v>
      </c>
      <c r="F201" s="32">
        <f>'A) Base RI'!AQ201</f>
        <v>-369.17</v>
      </c>
      <c r="G201" s="2">
        <f t="shared" si="18"/>
        <v>1244035.52</v>
      </c>
      <c r="H201" s="10">
        <f>+'A) Base RI'!E201</f>
        <v>0</v>
      </c>
      <c r="I201" s="10">
        <f>+'A) Base RI'!F201</f>
        <v>0</v>
      </c>
      <c r="J201" s="10">
        <f>+'A) Base RI'!G201+'A) Base RI'!H201</f>
        <v>22358.75</v>
      </c>
      <c r="K201" s="10">
        <f>+'A) Base RI'!I201</f>
        <v>0</v>
      </c>
      <c r="L201" s="10">
        <f>+'A) Base RI'!J201</f>
        <v>19748.900000000001</v>
      </c>
      <c r="M201" s="10">
        <f>+'A) Base RI'!K201</f>
        <v>5655.6</v>
      </c>
      <c r="N201" s="10">
        <f>+'A) Base RI'!Q201</f>
        <v>226.44</v>
      </c>
      <c r="O201" s="10">
        <f t="shared" si="19"/>
        <v>83898.1</v>
      </c>
      <c r="P201" s="10">
        <f>+'A) Base RI'!L201</f>
        <v>83898.1</v>
      </c>
      <c r="Q201" s="35">
        <f>'A) Base RI'!AR201</f>
        <v>1</v>
      </c>
      <c r="R201" s="2">
        <f t="shared" si="20"/>
        <v>1375923.31</v>
      </c>
      <c r="S201" s="34">
        <f>+'A) Base RI'!AM201</f>
        <v>62</v>
      </c>
      <c r="T201" s="2">
        <f t="shared" si="21"/>
        <v>1286369.6099999999</v>
      </c>
      <c r="U201" s="2">
        <f t="shared" si="22"/>
        <v>22192.311451612903</v>
      </c>
      <c r="V201" s="10">
        <f>+'A) Base RI'!O201</f>
        <v>0</v>
      </c>
      <c r="W201" s="10">
        <f>+'A) Base RI'!P201</f>
        <v>17710</v>
      </c>
      <c r="X201" s="10">
        <f>+'A) Base RI'!R201</f>
        <v>0</v>
      </c>
      <c r="Y201" s="2">
        <f t="shared" si="23"/>
        <v>17710</v>
      </c>
      <c r="Z201" s="10">
        <f>+'A) Base RI'!N201</f>
        <v>21808.65</v>
      </c>
      <c r="AA201" s="10">
        <f>+'A) Base RI'!S201+'A) Base RI'!T201</f>
        <v>0</v>
      </c>
      <c r="AB201" s="10">
        <f>+'A) Base RI'!U201</f>
        <v>1525</v>
      </c>
      <c r="AC201" s="10">
        <f>+'A) Base RI'!V201</f>
        <v>0</v>
      </c>
      <c r="AD201" s="10">
        <f>+'A) Base RI'!W201</f>
        <v>0</v>
      </c>
      <c r="AE201" s="10">
        <f>+'A) Base RI'!Y201</f>
        <v>18175</v>
      </c>
      <c r="AF201" s="10">
        <f>+'A) Base RI'!Z201</f>
        <v>0</v>
      </c>
      <c r="AG201" s="10">
        <f>+'A) Base RI'!AA201</f>
        <v>44150.3</v>
      </c>
      <c r="AH201" s="10">
        <f>+'A) Base RI'!AB201</f>
        <v>0</v>
      </c>
      <c r="AI201" s="10">
        <f>+'A) Base RI'!AC201</f>
        <v>26700.05</v>
      </c>
      <c r="AJ201" s="10">
        <f>+'A) Base RI'!AD201</f>
        <v>0</v>
      </c>
      <c r="AK201" s="10">
        <f>+'A) Base RI'!AE201</f>
        <v>0</v>
      </c>
      <c r="AL201" s="10">
        <f>+'A) Base RI'!AF201</f>
        <v>0</v>
      </c>
      <c r="AM201" s="10">
        <f>+'A) Base RI'!AG201</f>
        <v>0</v>
      </c>
      <c r="AN201" s="10">
        <f>+'A) Base RI'!AH201</f>
        <v>11940.4</v>
      </c>
      <c r="AO201" s="10">
        <f>+'A) Base RI'!AI201</f>
        <v>0</v>
      </c>
      <c r="AP201" s="10">
        <f>+'A) Base RI'!AJ201</f>
        <v>0</v>
      </c>
      <c r="AQ201" s="10">
        <f>+'A) Base RI'!AK201</f>
        <v>0</v>
      </c>
      <c r="AR201" s="10">
        <f>'A) Base RI'!AN201</f>
        <v>391</v>
      </c>
    </row>
    <row r="202" spans="1:44" x14ac:dyDescent="0.25">
      <c r="A202" s="8">
        <f>'A) Base RI'!A202</f>
        <v>5723</v>
      </c>
      <c r="B202" s="33" t="str">
        <f>'A) Base RI'!B202</f>
        <v>Mies</v>
      </c>
      <c r="C202" s="10">
        <f>'A) Base RI'!C202+'A) Base RI'!D202</f>
        <v>23195498.800000001</v>
      </c>
      <c r="D202" s="10">
        <f>'A) Base RI'!AO202</f>
        <v>-118848.2</v>
      </c>
      <c r="E202" s="32">
        <f>'A) Base RI'!AP202</f>
        <v>0</v>
      </c>
      <c r="F202" s="32">
        <f>'A) Base RI'!AQ202</f>
        <v>-8877.7999999999993</v>
      </c>
      <c r="G202" s="2">
        <f t="shared" si="18"/>
        <v>23067772.800000001</v>
      </c>
      <c r="H202" s="10">
        <f>+'A) Base RI'!E202</f>
        <v>0</v>
      </c>
      <c r="I202" s="10">
        <f>+'A) Base RI'!F202</f>
        <v>0</v>
      </c>
      <c r="J202" s="10">
        <f>+'A) Base RI'!G202+'A) Base RI'!H202</f>
        <v>207106.05000000002</v>
      </c>
      <c r="K202" s="10">
        <f>+'A) Base RI'!I202</f>
        <v>660346.09</v>
      </c>
      <c r="L202" s="10">
        <f>+'A) Base RI'!J202</f>
        <v>285927.71999999997</v>
      </c>
      <c r="M202" s="10">
        <f>+'A) Base RI'!K202</f>
        <v>38632.5</v>
      </c>
      <c r="N202" s="10">
        <f>+'A) Base RI'!Q202</f>
        <v>-26852.25</v>
      </c>
      <c r="O202" s="10">
        <f t="shared" si="19"/>
        <v>780501.05</v>
      </c>
      <c r="P202" s="10">
        <f>+'A) Base RI'!L202</f>
        <v>780501.05</v>
      </c>
      <c r="Q202" s="35">
        <f>'A) Base RI'!AR202</f>
        <v>1</v>
      </c>
      <c r="R202" s="2">
        <f t="shared" si="20"/>
        <v>25013433.960000001</v>
      </c>
      <c r="S202" s="34">
        <f>+'A) Base RI'!AM202</f>
        <v>49</v>
      </c>
      <c r="T202" s="2">
        <f t="shared" si="21"/>
        <v>24194300.41</v>
      </c>
      <c r="U202" s="2">
        <f t="shared" si="22"/>
        <v>510478.2440816327</v>
      </c>
      <c r="V202" s="10">
        <f>+'A) Base RI'!O202</f>
        <v>184858.9</v>
      </c>
      <c r="W202" s="10">
        <f>+'A) Base RI'!P202</f>
        <v>687447</v>
      </c>
      <c r="X202" s="10">
        <f>+'A) Base RI'!R202</f>
        <v>739305.05</v>
      </c>
      <c r="Y202" s="2">
        <f t="shared" si="23"/>
        <v>1611610.9500000002</v>
      </c>
      <c r="Z202" s="10">
        <f>+'A) Base RI'!N202</f>
        <v>138805.70000000001</v>
      </c>
      <c r="AA202" s="10">
        <f>+'A) Base RI'!S202+'A) Base RI'!T202</f>
        <v>0</v>
      </c>
      <c r="AB202" s="10">
        <f>+'A) Base RI'!U202</f>
        <v>7050</v>
      </c>
      <c r="AC202" s="10">
        <f>+'A) Base RI'!V202</f>
        <v>0</v>
      </c>
      <c r="AD202" s="10">
        <f>+'A) Base RI'!W202</f>
        <v>0</v>
      </c>
      <c r="AE202" s="10">
        <f>+'A) Base RI'!Y202</f>
        <v>85542.399999999994</v>
      </c>
      <c r="AF202" s="10">
        <f>+'A) Base RI'!Z202</f>
        <v>0</v>
      </c>
      <c r="AG202" s="10">
        <f>+'A) Base RI'!AA202</f>
        <v>0</v>
      </c>
      <c r="AH202" s="10">
        <f>+'A) Base RI'!AB202</f>
        <v>0</v>
      </c>
      <c r="AI202" s="10">
        <f>+'A) Base RI'!AC202</f>
        <v>209607.45</v>
      </c>
      <c r="AJ202" s="10">
        <f>+'A) Base RI'!AD202</f>
        <v>0</v>
      </c>
      <c r="AK202" s="10">
        <f>+'A) Base RI'!AE202</f>
        <v>0</v>
      </c>
      <c r="AL202" s="10">
        <f>+'A) Base RI'!AF202</f>
        <v>0</v>
      </c>
      <c r="AM202" s="10">
        <f>+'A) Base RI'!AG202</f>
        <v>13249.25</v>
      </c>
      <c r="AN202" s="10">
        <f>+'A) Base RI'!AH202</f>
        <v>88350.55</v>
      </c>
      <c r="AO202" s="10">
        <f>+'A) Base RI'!AI202</f>
        <v>0</v>
      </c>
      <c r="AP202" s="10">
        <f>+'A) Base RI'!AJ202</f>
        <v>0</v>
      </c>
      <c r="AQ202" s="10">
        <f>+'A) Base RI'!AK202</f>
        <v>0</v>
      </c>
      <c r="AR202" s="10">
        <f>'A) Base RI'!AN202</f>
        <v>2075</v>
      </c>
    </row>
    <row r="203" spans="1:44" x14ac:dyDescent="0.25">
      <c r="A203" s="8">
        <f>'A) Base RI'!A203</f>
        <v>5724</v>
      </c>
      <c r="B203" s="33" t="str">
        <f>'A) Base RI'!B203</f>
        <v>Nyon</v>
      </c>
      <c r="C203" s="10">
        <f>'A) Base RI'!C203+'A) Base RI'!D203</f>
        <v>60831418.439999998</v>
      </c>
      <c r="D203" s="10">
        <f>'A) Base RI'!AO203</f>
        <v>-1082531.98</v>
      </c>
      <c r="E203" s="32">
        <f>'A) Base RI'!AP203</f>
        <v>0</v>
      </c>
      <c r="F203" s="32">
        <f>'A) Base RI'!AQ203</f>
        <v>-22185.85</v>
      </c>
      <c r="G203" s="2">
        <f t="shared" si="18"/>
        <v>59726700.609999999</v>
      </c>
      <c r="H203" s="10">
        <f>+'A) Base RI'!E203</f>
        <v>0</v>
      </c>
      <c r="I203" s="10">
        <f>+'A) Base RI'!F203</f>
        <v>0</v>
      </c>
      <c r="J203" s="10">
        <f>+'A) Base RI'!G203+'A) Base RI'!H203</f>
        <v>10744925.75</v>
      </c>
      <c r="K203" s="10">
        <f>+'A) Base RI'!I203</f>
        <v>1858366.67</v>
      </c>
      <c r="L203" s="10">
        <f>+'A) Base RI'!J203</f>
        <v>3157761.54</v>
      </c>
      <c r="M203" s="10">
        <f>+'A) Base RI'!K203</f>
        <v>783807.75</v>
      </c>
      <c r="N203" s="10">
        <f>+'A) Base RI'!Q203</f>
        <v>197746.37</v>
      </c>
      <c r="O203" s="10">
        <f t="shared" si="19"/>
        <v>5152477.538461538</v>
      </c>
      <c r="P203" s="10">
        <f>+'A) Base RI'!L203</f>
        <v>6698220.7999999998</v>
      </c>
      <c r="Q203" s="35">
        <f>'A) Base RI'!AR203</f>
        <v>1.3</v>
      </c>
      <c r="R203" s="2">
        <f t="shared" si="20"/>
        <v>81621786.228461549</v>
      </c>
      <c r="S203" s="34">
        <f>+'A) Base RI'!AM203</f>
        <v>61</v>
      </c>
      <c r="T203" s="2">
        <f t="shared" si="21"/>
        <v>75685500.940000013</v>
      </c>
      <c r="U203" s="2">
        <f t="shared" si="22"/>
        <v>1338062.0693190417</v>
      </c>
      <c r="V203" s="10">
        <f>+'A) Base RI'!O203</f>
        <v>2626556.1</v>
      </c>
      <c r="W203" s="10">
        <f>+'A) Base RI'!P203</f>
        <v>3941160</v>
      </c>
      <c r="X203" s="10">
        <f>+'A) Base RI'!R203</f>
        <v>2156509.5</v>
      </c>
      <c r="Y203" s="2">
        <f t="shared" si="23"/>
        <v>8724225.5999999996</v>
      </c>
      <c r="Z203" s="10">
        <f>+'A) Base RI'!N203</f>
        <v>4786782.4000000004</v>
      </c>
      <c r="AA203" s="10">
        <f>+'A) Base RI'!S203+'A) Base RI'!T203</f>
        <v>0</v>
      </c>
      <c r="AB203" s="10">
        <f>+'A) Base RI'!U203</f>
        <v>49505.2</v>
      </c>
      <c r="AC203" s="10">
        <f>+'A) Base RI'!V203</f>
        <v>0</v>
      </c>
      <c r="AD203" s="10">
        <f>+'A) Base RI'!W203</f>
        <v>0</v>
      </c>
      <c r="AE203" s="10">
        <f>+'A) Base RI'!Y203</f>
        <v>2806950.81</v>
      </c>
      <c r="AF203" s="10">
        <f>+'A) Base RI'!Z203</f>
        <v>0</v>
      </c>
      <c r="AG203" s="10">
        <f>+'A) Base RI'!AA203</f>
        <v>3673208.48</v>
      </c>
      <c r="AH203" s="10">
        <f>+'A) Base RI'!AB203</f>
        <v>0</v>
      </c>
      <c r="AI203" s="10">
        <f>+'A) Base RI'!AC203</f>
        <v>1891090.21</v>
      </c>
      <c r="AJ203" s="10">
        <f>+'A) Base RI'!AD203</f>
        <v>631173.30000000005</v>
      </c>
      <c r="AK203" s="10">
        <f>+'A) Base RI'!AE203</f>
        <v>0</v>
      </c>
      <c r="AL203" s="10">
        <f>+'A) Base RI'!AF203</f>
        <v>0</v>
      </c>
      <c r="AM203" s="10">
        <f>+'A) Base RI'!AG203</f>
        <v>195722</v>
      </c>
      <c r="AN203" s="10">
        <f>+'A) Base RI'!AH203</f>
        <v>717487.25</v>
      </c>
      <c r="AO203" s="10">
        <f>+'A) Base RI'!AI203</f>
        <v>819969.04</v>
      </c>
      <c r="AP203" s="10">
        <f>+'A) Base RI'!AJ203</f>
        <v>512588.79</v>
      </c>
      <c r="AQ203" s="10">
        <f>+'A) Base RI'!AK203</f>
        <v>205071.57</v>
      </c>
      <c r="AR203" s="10">
        <f>'A) Base RI'!AN203</f>
        <v>21239</v>
      </c>
    </row>
    <row r="204" spans="1:44" x14ac:dyDescent="0.25">
      <c r="A204" s="8">
        <f>'A) Base RI'!A204</f>
        <v>5725</v>
      </c>
      <c r="B204" s="33" t="str">
        <f>'A) Base RI'!B204</f>
        <v>Prangins</v>
      </c>
      <c r="C204" s="10">
        <f>'A) Base RI'!C204+'A) Base RI'!D204</f>
        <v>13791369.66</v>
      </c>
      <c r="D204" s="10">
        <f>'A) Base RI'!AO204</f>
        <v>-77679.02</v>
      </c>
      <c r="E204" s="32">
        <f>'A) Base RI'!AP204</f>
        <v>0</v>
      </c>
      <c r="F204" s="32">
        <f>'A) Base RI'!AQ204</f>
        <v>-6502.76</v>
      </c>
      <c r="G204" s="2">
        <f t="shared" si="18"/>
        <v>13707187.880000001</v>
      </c>
      <c r="H204" s="10">
        <f>+'A) Base RI'!E204</f>
        <v>0</v>
      </c>
      <c r="I204" s="10">
        <f>+'A) Base RI'!F204</f>
        <v>0</v>
      </c>
      <c r="J204" s="10">
        <f>+'A) Base RI'!G204+'A) Base RI'!H204</f>
        <v>2493436.1500000004</v>
      </c>
      <c r="K204" s="10">
        <f>+'A) Base RI'!I204</f>
        <v>319262.40999999997</v>
      </c>
      <c r="L204" s="10">
        <f>+'A) Base RI'!J204</f>
        <v>447458.24</v>
      </c>
      <c r="M204" s="10">
        <f>+'A) Base RI'!K204</f>
        <v>63987.5</v>
      </c>
      <c r="N204" s="10">
        <f>+'A) Base RI'!Q204</f>
        <v>32640.560000000001</v>
      </c>
      <c r="O204" s="10">
        <f t="shared" si="19"/>
        <v>1126775.107142857</v>
      </c>
      <c r="P204" s="10">
        <f>+'A) Base RI'!L204</f>
        <v>1577485.15</v>
      </c>
      <c r="Q204" s="35">
        <f>'A) Base RI'!AR204</f>
        <v>1.4</v>
      </c>
      <c r="R204" s="2">
        <f t="shared" si="20"/>
        <v>18190747.847142857</v>
      </c>
      <c r="S204" s="34">
        <f>+'A) Base RI'!AM204</f>
        <v>56</v>
      </c>
      <c r="T204" s="2">
        <f t="shared" si="21"/>
        <v>16999985.239999998</v>
      </c>
      <c r="U204" s="2">
        <f t="shared" si="22"/>
        <v>324834.78298469388</v>
      </c>
      <c r="V204" s="10">
        <f>+'A) Base RI'!O204</f>
        <v>242941.7</v>
      </c>
      <c r="W204" s="10">
        <f>+'A) Base RI'!P204</f>
        <v>1054492.7</v>
      </c>
      <c r="X204" s="10">
        <f>+'A) Base RI'!R204</f>
        <v>773222.15</v>
      </c>
      <c r="Y204" s="2">
        <f t="shared" si="23"/>
        <v>2070656.5499999998</v>
      </c>
      <c r="Z204" s="10">
        <f>+'A) Base RI'!N204</f>
        <v>1330506.95</v>
      </c>
      <c r="AA204" s="10">
        <f>+'A) Base RI'!S204+'A) Base RI'!T204</f>
        <v>0</v>
      </c>
      <c r="AB204" s="10">
        <f>+'A) Base RI'!U204</f>
        <v>15825</v>
      </c>
      <c r="AC204" s="10">
        <f>+'A) Base RI'!V204</f>
        <v>0</v>
      </c>
      <c r="AD204" s="10">
        <f>+'A) Base RI'!W204</f>
        <v>0</v>
      </c>
      <c r="AE204" s="10">
        <f>+'A) Base RI'!Y204</f>
        <v>25673.77</v>
      </c>
      <c r="AF204" s="10" t="str">
        <f>+'A) Base RI'!Z204</f>
        <v/>
      </c>
      <c r="AG204" s="10">
        <f>+'A) Base RI'!AA204</f>
        <v>358046.74</v>
      </c>
      <c r="AH204" s="10" t="str">
        <f>+'A) Base RI'!AB204</f>
        <v/>
      </c>
      <c r="AI204" s="10">
        <f>+'A) Base RI'!AC204</f>
        <v>303477.33</v>
      </c>
      <c r="AJ204" s="10" t="str">
        <f>+'A) Base RI'!AD204</f>
        <v/>
      </c>
      <c r="AK204" s="10" t="str">
        <f>+'A) Base RI'!AE204</f>
        <v/>
      </c>
      <c r="AL204" s="10" t="str">
        <f>+'A) Base RI'!AF204</f>
        <v/>
      </c>
      <c r="AM204" s="10">
        <f>+'A) Base RI'!AG204</f>
        <v>53649.25</v>
      </c>
      <c r="AN204" s="10">
        <f>+'A) Base RI'!AH204</f>
        <v>0</v>
      </c>
      <c r="AO204" s="10">
        <f>+'A) Base RI'!AI204</f>
        <v>0</v>
      </c>
      <c r="AP204" s="10">
        <f>+'A) Base RI'!AJ204</f>
        <v>198719.65</v>
      </c>
      <c r="AQ204" s="10">
        <f>+'A) Base RI'!AK204</f>
        <v>0</v>
      </c>
      <c r="AR204" s="10">
        <f>'A) Base RI'!AN204</f>
        <v>4040</v>
      </c>
    </row>
    <row r="205" spans="1:44" x14ac:dyDescent="0.25">
      <c r="A205" s="8">
        <f>'A) Base RI'!A205</f>
        <v>5726</v>
      </c>
      <c r="B205" s="33" t="str">
        <f>'A) Base RI'!B205</f>
        <v>La Rippe</v>
      </c>
      <c r="C205" s="10">
        <f>'A) Base RI'!C205+'A) Base RI'!D205</f>
        <v>3621070.5300000003</v>
      </c>
      <c r="D205" s="10">
        <f>'A) Base RI'!AO205</f>
        <v>-62865.88</v>
      </c>
      <c r="E205" s="32">
        <f>'A) Base RI'!AP205</f>
        <v>0</v>
      </c>
      <c r="F205" s="32">
        <f>'A) Base RI'!AQ205</f>
        <v>-469.14</v>
      </c>
      <c r="G205" s="2">
        <f t="shared" si="18"/>
        <v>3557735.5100000002</v>
      </c>
      <c r="H205" s="10">
        <f>+'A) Base RI'!E205</f>
        <v>0</v>
      </c>
      <c r="I205" s="10">
        <f>+'A) Base RI'!F205</f>
        <v>0</v>
      </c>
      <c r="J205" s="10">
        <f>+'A) Base RI'!G205+'A) Base RI'!H205</f>
        <v>28268.449999999997</v>
      </c>
      <c r="K205" s="10">
        <f>+'A) Base RI'!I205</f>
        <v>0</v>
      </c>
      <c r="L205" s="10">
        <f>+'A) Base RI'!J205</f>
        <v>41769.72</v>
      </c>
      <c r="M205" s="10">
        <f>+'A) Base RI'!K205</f>
        <v>4195.1499999999996</v>
      </c>
      <c r="N205" s="10">
        <f>+'A) Base RI'!Q205</f>
        <v>3.44</v>
      </c>
      <c r="O205" s="10">
        <f t="shared" si="19"/>
        <v>256589.05</v>
      </c>
      <c r="P205" s="10">
        <f>+'A) Base RI'!L205</f>
        <v>256589.05</v>
      </c>
      <c r="Q205" s="35">
        <f>'A) Base RI'!AR205</f>
        <v>1</v>
      </c>
      <c r="R205" s="2">
        <f t="shared" si="20"/>
        <v>3888561.3200000003</v>
      </c>
      <c r="S205" s="34">
        <f>+'A) Base RI'!AM205</f>
        <v>65</v>
      </c>
      <c r="T205" s="2">
        <f t="shared" si="21"/>
        <v>3627777.1200000006</v>
      </c>
      <c r="U205" s="2">
        <f t="shared" si="22"/>
        <v>59824.020307692314</v>
      </c>
      <c r="V205" s="10">
        <f>+'A) Base RI'!O205</f>
        <v>10.5</v>
      </c>
      <c r="W205" s="10">
        <f>+'A) Base RI'!P205</f>
        <v>45483.5</v>
      </c>
      <c r="X205" s="10">
        <f>+'A) Base RI'!R205</f>
        <v>43632.5</v>
      </c>
      <c r="Y205" s="2">
        <f t="shared" si="23"/>
        <v>89126.5</v>
      </c>
      <c r="Z205" s="10">
        <f>+'A) Base RI'!N205</f>
        <v>45807</v>
      </c>
      <c r="AA205" s="10">
        <f>+'A) Base RI'!S205+'A) Base RI'!T205</f>
        <v>0</v>
      </c>
      <c r="AB205" s="10">
        <f>+'A) Base RI'!U205</f>
        <v>8950</v>
      </c>
      <c r="AC205" s="10">
        <f>+'A) Base RI'!V205</f>
        <v>0</v>
      </c>
      <c r="AD205" s="10">
        <f>+'A) Base RI'!W205</f>
        <v>0</v>
      </c>
      <c r="AE205" s="10">
        <f>+'A) Base RI'!Y205</f>
        <v>677.02</v>
      </c>
      <c r="AF205" s="10">
        <f>+'A) Base RI'!Z205</f>
        <v>0</v>
      </c>
      <c r="AG205" s="10">
        <f>+'A) Base RI'!AA205</f>
        <v>167186.12</v>
      </c>
      <c r="AH205" s="10">
        <f>+'A) Base RI'!AB205</f>
        <v>0</v>
      </c>
      <c r="AI205" s="10">
        <f>+'A) Base RI'!AC205</f>
        <v>94542.8</v>
      </c>
      <c r="AJ205" s="10">
        <f>+'A) Base RI'!AD205</f>
        <v>1975.21</v>
      </c>
      <c r="AK205" s="10">
        <f>+'A) Base RI'!AE205</f>
        <v>0</v>
      </c>
      <c r="AL205" s="10">
        <f>+'A) Base RI'!AF205</f>
        <v>0</v>
      </c>
      <c r="AM205" s="10">
        <f>+'A) Base RI'!AG205</f>
        <v>7574.9</v>
      </c>
      <c r="AN205" s="10">
        <f>+'A) Base RI'!AH205</f>
        <v>0</v>
      </c>
      <c r="AO205" s="10">
        <f>+'A) Base RI'!AI205</f>
        <v>0</v>
      </c>
      <c r="AP205" s="10">
        <f>+'A) Base RI'!AJ205</f>
        <v>0</v>
      </c>
      <c r="AQ205" s="10">
        <f>+'A) Base RI'!AK205</f>
        <v>0</v>
      </c>
      <c r="AR205" s="10">
        <f>'A) Base RI'!AN205</f>
        <v>1161</v>
      </c>
    </row>
    <row r="206" spans="1:44" x14ac:dyDescent="0.25">
      <c r="A206" s="8">
        <f>'A) Base RI'!A206</f>
        <v>5727</v>
      </c>
      <c r="B206" s="33" t="str">
        <f>'A) Base RI'!B206</f>
        <v>Saint-Cergue</v>
      </c>
      <c r="C206" s="10">
        <f>'A) Base RI'!C206+'A) Base RI'!D206</f>
        <v>4923466.4399999995</v>
      </c>
      <c r="D206" s="10">
        <f>'A) Base RI'!AO206</f>
        <v>-134729.07999999999</v>
      </c>
      <c r="E206" s="32">
        <f>'A) Base RI'!AP206</f>
        <v>0</v>
      </c>
      <c r="F206" s="32">
        <f>'A) Base RI'!AQ206</f>
        <v>-394.5</v>
      </c>
      <c r="G206" s="2">
        <f t="shared" si="18"/>
        <v>4788342.8599999994</v>
      </c>
      <c r="H206" s="10">
        <f>+'A) Base RI'!E206</f>
        <v>0</v>
      </c>
      <c r="I206" s="10">
        <f>+'A) Base RI'!F206</f>
        <v>0</v>
      </c>
      <c r="J206" s="10">
        <f>+'A) Base RI'!G206+'A) Base RI'!H206</f>
        <v>5163.8999999999996</v>
      </c>
      <c r="K206" s="10">
        <f>+'A) Base RI'!I206</f>
        <v>100543.52</v>
      </c>
      <c r="L206" s="10">
        <f>+'A) Base RI'!J206</f>
        <v>176318.03</v>
      </c>
      <c r="M206" s="10">
        <f>+'A) Base RI'!K206</f>
        <v>12254.2</v>
      </c>
      <c r="N206" s="10">
        <f>+'A) Base RI'!Q206</f>
        <v>14790.08</v>
      </c>
      <c r="O206" s="10">
        <f t="shared" si="19"/>
        <v>495956.3666666667</v>
      </c>
      <c r="P206" s="10">
        <f>+'A) Base RI'!L206</f>
        <v>743934.55</v>
      </c>
      <c r="Q206" s="35">
        <f>'A) Base RI'!AR206</f>
        <v>1.5</v>
      </c>
      <c r="R206" s="2">
        <f t="shared" si="20"/>
        <v>5593368.956666667</v>
      </c>
      <c r="S206" s="34">
        <f>+'A) Base RI'!AM206</f>
        <v>66</v>
      </c>
      <c r="T206" s="2">
        <f t="shared" si="21"/>
        <v>5085158.3899999997</v>
      </c>
      <c r="U206" s="2">
        <f t="shared" si="22"/>
        <v>84748.014494949501</v>
      </c>
      <c r="V206" s="10">
        <f>+'A) Base RI'!O206</f>
        <v>1077.8</v>
      </c>
      <c r="W206" s="10">
        <f>+'A) Base RI'!P206</f>
        <v>317573.84999999998</v>
      </c>
      <c r="X206" s="10">
        <f>+'A) Base RI'!R206</f>
        <v>211195.35</v>
      </c>
      <c r="Y206" s="2">
        <f t="shared" si="23"/>
        <v>529847</v>
      </c>
      <c r="Z206" s="10">
        <f>+'A) Base RI'!N206</f>
        <v>153366.29999999999</v>
      </c>
      <c r="AA206" s="10">
        <f>+'A) Base RI'!S206+'A) Base RI'!T206</f>
        <v>0</v>
      </c>
      <c r="AB206" s="10">
        <f>+'A) Base RI'!U206</f>
        <v>12475</v>
      </c>
      <c r="AC206" s="10">
        <f>+'A) Base RI'!V206</f>
        <v>0</v>
      </c>
      <c r="AD206" s="10">
        <f>+'A) Base RI'!W206</f>
        <v>0</v>
      </c>
      <c r="AE206" s="10">
        <f>+'A) Base RI'!Y206</f>
        <v>160667.70000000001</v>
      </c>
      <c r="AF206" s="10">
        <f>+'A) Base RI'!Z206</f>
        <v>333010.33</v>
      </c>
      <c r="AG206" s="10" t="str">
        <f>+'A) Base RI'!AA206</f>
        <v/>
      </c>
      <c r="AH206" s="10" t="str">
        <f>+'A) Base RI'!AB206</f>
        <v/>
      </c>
      <c r="AI206" s="10">
        <f>+'A) Base RI'!AC206</f>
        <v>250834</v>
      </c>
      <c r="AJ206" s="10">
        <f>+'A) Base RI'!AD206</f>
        <v>160667.70000000001</v>
      </c>
      <c r="AK206" s="10" t="str">
        <f>+'A) Base RI'!AE206</f>
        <v/>
      </c>
      <c r="AL206" s="10" t="str">
        <f>+'A) Base RI'!AF206</f>
        <v/>
      </c>
      <c r="AM206" s="10">
        <f>+'A) Base RI'!AG206</f>
        <v>55826.65</v>
      </c>
      <c r="AN206" s="10">
        <f>+'A) Base RI'!AH206</f>
        <v>0</v>
      </c>
      <c r="AO206" s="10">
        <f>+'A) Base RI'!AI206</f>
        <v>0</v>
      </c>
      <c r="AP206" s="10">
        <f>+'A) Base RI'!AJ206</f>
        <v>0</v>
      </c>
      <c r="AQ206" s="10">
        <f>+'A) Base RI'!AK206</f>
        <v>0</v>
      </c>
      <c r="AR206" s="10">
        <f>'A) Base RI'!AN206</f>
        <v>2583</v>
      </c>
    </row>
    <row r="207" spans="1:44" x14ac:dyDescent="0.25">
      <c r="A207" s="8">
        <f>'A) Base RI'!A207</f>
        <v>5728</v>
      </c>
      <c r="B207" s="33" t="str">
        <f>'A) Base RI'!B207</f>
        <v>Signy-Avenex</v>
      </c>
      <c r="C207" s="10">
        <f>'A) Base RI'!C207+'A) Base RI'!D207</f>
        <v>1783867.81</v>
      </c>
      <c r="D207" s="10">
        <f>'A) Base RI'!AO207</f>
        <v>-12280.52</v>
      </c>
      <c r="E207" s="32">
        <f>'A) Base RI'!AP207</f>
        <v>0</v>
      </c>
      <c r="F207" s="32">
        <f>'A) Base RI'!AQ207</f>
        <v>-129.99</v>
      </c>
      <c r="G207" s="2">
        <f t="shared" si="18"/>
        <v>1771457.3</v>
      </c>
      <c r="H207" s="10">
        <f>+'A) Base RI'!E207</f>
        <v>0</v>
      </c>
      <c r="I207" s="10">
        <f>+'A) Base RI'!F207</f>
        <v>0</v>
      </c>
      <c r="J207" s="10">
        <f>+'A) Base RI'!G207+'A) Base RI'!H207</f>
        <v>307235.90000000002</v>
      </c>
      <c r="K207" s="10">
        <f>+'A) Base RI'!I207</f>
        <v>26389.15</v>
      </c>
      <c r="L207" s="10">
        <f>+'A) Base RI'!J207</f>
        <v>222859.4</v>
      </c>
      <c r="M207" s="10">
        <f>+'A) Base RI'!K207</f>
        <v>51296.45</v>
      </c>
      <c r="N207" s="10">
        <f>+'A) Base RI'!Q207</f>
        <v>384.21</v>
      </c>
      <c r="O207" s="10">
        <f t="shared" si="19"/>
        <v>213094</v>
      </c>
      <c r="P207" s="10">
        <f>+'A) Base RI'!L207</f>
        <v>213094</v>
      </c>
      <c r="Q207" s="35">
        <f>'A) Base RI'!AR207</f>
        <v>1</v>
      </c>
      <c r="R207" s="2">
        <f t="shared" si="20"/>
        <v>2592716.41</v>
      </c>
      <c r="S207" s="34">
        <f>+'A) Base RI'!AM207</f>
        <v>58</v>
      </c>
      <c r="T207" s="2">
        <f t="shared" si="21"/>
        <v>2328325.96</v>
      </c>
      <c r="U207" s="2">
        <f t="shared" si="22"/>
        <v>44702.007068965519</v>
      </c>
      <c r="V207" s="10">
        <f>+'A) Base RI'!O207</f>
        <v>0</v>
      </c>
      <c r="W207" s="10">
        <f>+'A) Base RI'!P207</f>
        <v>86005.85</v>
      </c>
      <c r="X207" s="10">
        <f>+'A) Base RI'!R207</f>
        <v>110099.6</v>
      </c>
      <c r="Y207" s="2">
        <f t="shared" si="23"/>
        <v>196105.45</v>
      </c>
      <c r="Z207" s="10">
        <f>+'A) Base RI'!N207</f>
        <v>225885.4</v>
      </c>
      <c r="AA207" s="10">
        <f>+'A) Base RI'!S207+'A) Base RI'!T207</f>
        <v>63409</v>
      </c>
      <c r="AB207" s="10">
        <f>+'A) Base RI'!U207</f>
        <v>1825</v>
      </c>
      <c r="AC207" s="10">
        <f>+'A) Base RI'!V207</f>
        <v>0</v>
      </c>
      <c r="AD207" s="10">
        <f>+'A) Base RI'!W207</f>
        <v>0</v>
      </c>
      <c r="AE207" s="10">
        <f>+'A) Base RI'!Y207</f>
        <v>0</v>
      </c>
      <c r="AF207" s="10">
        <f>+'A) Base RI'!Z207</f>
        <v>0</v>
      </c>
      <c r="AG207" s="10">
        <f>+'A) Base RI'!AA207</f>
        <v>97763.3</v>
      </c>
      <c r="AH207" s="10">
        <f>+'A) Base RI'!AB207</f>
        <v>0</v>
      </c>
      <c r="AI207" s="10">
        <f>+'A) Base RI'!AC207</f>
        <v>39210.050000000003</v>
      </c>
      <c r="AJ207" s="10">
        <f>+'A) Base RI'!AD207</f>
        <v>0</v>
      </c>
      <c r="AK207" s="10">
        <f>+'A) Base RI'!AE207</f>
        <v>0</v>
      </c>
      <c r="AL207" s="10">
        <f>+'A) Base RI'!AF207</f>
        <v>0</v>
      </c>
      <c r="AM207" s="10">
        <f>+'A) Base RI'!AG207</f>
        <v>224.25</v>
      </c>
      <c r="AN207" s="10">
        <f>+'A) Base RI'!AH207</f>
        <v>54652</v>
      </c>
      <c r="AO207" s="10">
        <f>+'A) Base RI'!AI207</f>
        <v>0</v>
      </c>
      <c r="AP207" s="10">
        <f>+'A) Base RI'!AJ207</f>
        <v>0</v>
      </c>
      <c r="AQ207" s="10">
        <f>+'A) Base RI'!AK207</f>
        <v>0</v>
      </c>
      <c r="AR207" s="10">
        <f>'A) Base RI'!AN207</f>
        <v>592</v>
      </c>
    </row>
    <row r="208" spans="1:44" x14ac:dyDescent="0.25">
      <c r="A208" s="8">
        <f>'A) Base RI'!A208</f>
        <v>5729</v>
      </c>
      <c r="B208" s="33" t="str">
        <f>'A) Base RI'!B208</f>
        <v>Tannay</v>
      </c>
      <c r="C208" s="10">
        <f>'A) Base RI'!C208+'A) Base RI'!D208</f>
        <v>7476884.6299999999</v>
      </c>
      <c r="D208" s="10">
        <f>'A) Base RI'!AO208</f>
        <v>-47005.3</v>
      </c>
      <c r="E208" s="32">
        <f>'A) Base RI'!AP208</f>
        <v>0</v>
      </c>
      <c r="F208" s="32">
        <f>'A) Base RI'!AQ208</f>
        <v>-3848.53</v>
      </c>
      <c r="G208" s="2">
        <f t="shared" si="18"/>
        <v>7426030.7999999998</v>
      </c>
      <c r="H208" s="10">
        <f>+'A) Base RI'!E208</f>
        <v>0</v>
      </c>
      <c r="I208" s="10">
        <f>+'A) Base RI'!F208</f>
        <v>0</v>
      </c>
      <c r="J208" s="10">
        <f>+'A) Base RI'!G208+'A) Base RI'!H208</f>
        <v>799778.29999999993</v>
      </c>
      <c r="K208" s="10">
        <f>+'A) Base RI'!I208</f>
        <v>150067.6</v>
      </c>
      <c r="L208" s="10">
        <f>+'A) Base RI'!J208</f>
        <v>38776.949999999997</v>
      </c>
      <c r="M208" s="10">
        <f>+'A) Base RI'!K208</f>
        <v>2658.25</v>
      </c>
      <c r="N208" s="10">
        <f>+'A) Base RI'!Q208</f>
        <v>6420.02</v>
      </c>
      <c r="O208" s="10">
        <f t="shared" si="19"/>
        <v>534342.73333333328</v>
      </c>
      <c r="P208" s="10">
        <f>+'A) Base RI'!L208</f>
        <v>801514.1</v>
      </c>
      <c r="Q208" s="35">
        <f>'A) Base RI'!AR208</f>
        <v>1.5</v>
      </c>
      <c r="R208" s="2">
        <f t="shared" si="20"/>
        <v>8958074.6533333305</v>
      </c>
      <c r="S208" s="34">
        <f>+'A) Base RI'!AM208</f>
        <v>61</v>
      </c>
      <c r="T208" s="2">
        <f t="shared" si="21"/>
        <v>8421073.6699999981</v>
      </c>
      <c r="U208" s="2">
        <f t="shared" si="22"/>
        <v>146853.68284153001</v>
      </c>
      <c r="V208" s="10">
        <f>+'A) Base RI'!O208</f>
        <v>0</v>
      </c>
      <c r="W208" s="10">
        <f>+'A) Base RI'!P208</f>
        <v>354462.1</v>
      </c>
      <c r="X208" s="10">
        <f>+'A) Base RI'!R208</f>
        <v>168773.95</v>
      </c>
      <c r="Y208" s="2">
        <f t="shared" si="23"/>
        <v>523236.05</v>
      </c>
      <c r="Z208" s="10">
        <f>+'A) Base RI'!N208</f>
        <v>26471.25</v>
      </c>
      <c r="AA208" s="10">
        <f>+'A) Base RI'!S208+'A) Base RI'!T208</f>
        <v>0</v>
      </c>
      <c r="AB208" s="10">
        <f>+'A) Base RI'!U208</f>
        <v>8640</v>
      </c>
      <c r="AC208" s="10">
        <f>+'A) Base RI'!V208</f>
        <v>0</v>
      </c>
      <c r="AD208" s="10">
        <f>+'A) Base RI'!W208</f>
        <v>0</v>
      </c>
      <c r="AE208" s="10">
        <f>+'A) Base RI'!Y208</f>
        <v>0</v>
      </c>
      <c r="AF208" s="10">
        <f>+'A) Base RI'!Z208</f>
        <v>0</v>
      </c>
      <c r="AG208" s="10">
        <f>+'A) Base RI'!AA208</f>
        <v>0</v>
      </c>
      <c r="AH208" s="10">
        <f>+'A) Base RI'!AB208</f>
        <v>0</v>
      </c>
      <c r="AI208" s="10">
        <f>+'A) Base RI'!AC208</f>
        <v>204056.4</v>
      </c>
      <c r="AJ208" s="10">
        <f>+'A) Base RI'!AD208</f>
        <v>0</v>
      </c>
      <c r="AK208" s="10">
        <f>+'A) Base RI'!AE208</f>
        <v>0</v>
      </c>
      <c r="AL208" s="10">
        <f>+'A) Base RI'!AF208</f>
        <v>0</v>
      </c>
      <c r="AM208" s="10">
        <f>+'A) Base RI'!AG208</f>
        <v>836.38</v>
      </c>
      <c r="AN208" s="10">
        <f>+'A) Base RI'!AH208</f>
        <v>0</v>
      </c>
      <c r="AO208" s="10">
        <f>+'A) Base RI'!AI208</f>
        <v>0</v>
      </c>
      <c r="AP208" s="10">
        <f>+'A) Base RI'!AJ208</f>
        <v>0</v>
      </c>
      <c r="AQ208" s="10">
        <f>+'A) Base RI'!AK208</f>
        <v>0</v>
      </c>
      <c r="AR208" s="10">
        <f>'A) Base RI'!AN208</f>
        <v>1593</v>
      </c>
    </row>
    <row r="209" spans="1:44" x14ac:dyDescent="0.25">
      <c r="A209" s="8">
        <f>'A) Base RI'!A209</f>
        <v>5730</v>
      </c>
      <c r="B209" s="33" t="str">
        <f>'A) Base RI'!B209</f>
        <v>Trélex</v>
      </c>
      <c r="C209" s="10">
        <f>'A) Base RI'!C209+'A) Base RI'!D209</f>
        <v>8489790.7699999996</v>
      </c>
      <c r="D209" s="10">
        <f>'A) Base RI'!AO209</f>
        <v>-15810.83</v>
      </c>
      <c r="E209" s="32">
        <f>'A) Base RI'!AP209</f>
        <v>0</v>
      </c>
      <c r="F209" s="32">
        <f>'A) Base RI'!AQ209</f>
        <v>-10364.26</v>
      </c>
      <c r="G209" s="2">
        <f t="shared" si="18"/>
        <v>8463615.6799999997</v>
      </c>
      <c r="H209" s="10">
        <f>+'A) Base RI'!E209</f>
        <v>0</v>
      </c>
      <c r="I209" s="10">
        <f>+'A) Base RI'!F209</f>
        <v>0</v>
      </c>
      <c r="J209" s="10">
        <f>+'A) Base RI'!G209+'A) Base RI'!H209</f>
        <v>79343.700000000012</v>
      </c>
      <c r="K209" s="10">
        <f>+'A) Base RI'!I209</f>
        <v>69731.100000000006</v>
      </c>
      <c r="L209" s="10">
        <f>+'A) Base RI'!J209</f>
        <v>87946.76</v>
      </c>
      <c r="M209" s="10">
        <f>+'A) Base RI'!K209</f>
        <v>6328.2</v>
      </c>
      <c r="N209" s="10">
        <f>+'A) Base RI'!Q209</f>
        <v>449.9</v>
      </c>
      <c r="O209" s="10">
        <f t="shared" si="19"/>
        <v>414134.5</v>
      </c>
      <c r="P209" s="10">
        <f>+'A) Base RI'!L209</f>
        <v>372721.05</v>
      </c>
      <c r="Q209" s="35">
        <f>'A) Base RI'!AR209</f>
        <v>0.9</v>
      </c>
      <c r="R209" s="2">
        <f t="shared" si="20"/>
        <v>9121549.839999998</v>
      </c>
      <c r="S209" s="34">
        <f>+'A) Base RI'!AM209</f>
        <v>57</v>
      </c>
      <c r="T209" s="2">
        <f t="shared" si="21"/>
        <v>8701087.1399999987</v>
      </c>
      <c r="U209" s="2">
        <f t="shared" si="22"/>
        <v>160027.19017543856</v>
      </c>
      <c r="V209" s="10">
        <f>+'A) Base RI'!O209</f>
        <v>57748.2</v>
      </c>
      <c r="W209" s="10">
        <f>+'A) Base RI'!P209</f>
        <v>243542.15</v>
      </c>
      <c r="X209" s="10">
        <f>+'A) Base RI'!R209</f>
        <v>242722.65</v>
      </c>
      <c r="Y209" s="2">
        <f t="shared" si="23"/>
        <v>544013</v>
      </c>
      <c r="Z209" s="10">
        <f>+'A) Base RI'!N209</f>
        <v>9936.85</v>
      </c>
      <c r="AA209" s="10">
        <f>+'A) Base RI'!S209+'A) Base RI'!T209</f>
        <v>0</v>
      </c>
      <c r="AB209" s="10">
        <f>+'A) Base RI'!U209</f>
        <v>4775</v>
      </c>
      <c r="AC209" s="10">
        <f>+'A) Base RI'!V209</f>
        <v>0</v>
      </c>
      <c r="AD209" s="10">
        <f>+'A) Base RI'!W209</f>
        <v>0</v>
      </c>
      <c r="AE209" s="10">
        <f>+'A) Base RI'!Y209</f>
        <v>0</v>
      </c>
      <c r="AF209" s="10">
        <f>+'A) Base RI'!Z209</f>
        <v>0</v>
      </c>
      <c r="AG209" s="10">
        <f>+'A) Base RI'!AA209</f>
        <v>171676.15</v>
      </c>
      <c r="AH209" s="10">
        <f>+'A) Base RI'!AB209</f>
        <v>0</v>
      </c>
      <c r="AI209" s="10">
        <f>+'A) Base RI'!AC209</f>
        <v>114473.88</v>
      </c>
      <c r="AJ209" s="10">
        <f>+'A) Base RI'!AD209</f>
        <v>0</v>
      </c>
      <c r="AK209" s="10">
        <f>+'A) Base RI'!AE209</f>
        <v>0</v>
      </c>
      <c r="AL209" s="10">
        <f>+'A) Base RI'!AF209</f>
        <v>0</v>
      </c>
      <c r="AM209" s="10">
        <f>+'A) Base RI'!AG209</f>
        <v>0</v>
      </c>
      <c r="AN209" s="10">
        <f>+'A) Base RI'!AH209</f>
        <v>0</v>
      </c>
      <c r="AO209" s="10">
        <f>+'A) Base RI'!AI209</f>
        <v>0</v>
      </c>
      <c r="AP209" s="10">
        <f>+'A) Base RI'!AJ209</f>
        <v>0</v>
      </c>
      <c r="AQ209" s="10">
        <f>+'A) Base RI'!AK209</f>
        <v>0</v>
      </c>
      <c r="AR209" s="10">
        <f>'A) Base RI'!AN209</f>
        <v>1408</v>
      </c>
    </row>
    <row r="210" spans="1:44" x14ac:dyDescent="0.25">
      <c r="A210" s="8">
        <f>'A) Base RI'!A210</f>
        <v>5731</v>
      </c>
      <c r="B210" s="33" t="str">
        <f>'A) Base RI'!B210</f>
        <v>Le Vaud</v>
      </c>
      <c r="C210" s="10">
        <f>'A) Base RI'!C210+'A) Base RI'!D210</f>
        <v>3706089.58</v>
      </c>
      <c r="D210" s="10">
        <f>'A) Base RI'!AO210</f>
        <v>-19927.46</v>
      </c>
      <c r="E210" s="32">
        <f>'A) Base RI'!AP210</f>
        <v>0</v>
      </c>
      <c r="F210" s="32">
        <f>'A) Base RI'!AQ210</f>
        <v>-74.930000000000007</v>
      </c>
      <c r="G210" s="2">
        <f t="shared" si="18"/>
        <v>3686087.19</v>
      </c>
      <c r="H210" s="10">
        <f>+'A) Base RI'!E210</f>
        <v>0</v>
      </c>
      <c r="I210" s="10">
        <f>+'A) Base RI'!F210</f>
        <v>0</v>
      </c>
      <c r="J210" s="10">
        <f>+'A) Base RI'!G210+'A) Base RI'!H210</f>
        <v>10232.299999999999</v>
      </c>
      <c r="K210" s="10">
        <f>+'A) Base RI'!I210</f>
        <v>0</v>
      </c>
      <c r="L210" s="10">
        <f>+'A) Base RI'!J210</f>
        <v>2853.35</v>
      </c>
      <c r="M210" s="10">
        <f>+'A) Base RI'!K210</f>
        <v>5195.5</v>
      </c>
      <c r="N210" s="10">
        <f>+'A) Base RI'!Q210</f>
        <v>6738.99</v>
      </c>
      <c r="O210" s="10">
        <f t="shared" si="19"/>
        <v>251492.76666666669</v>
      </c>
      <c r="P210" s="10">
        <f>+'A) Base RI'!L210</f>
        <v>377239.15</v>
      </c>
      <c r="Q210" s="35">
        <f>'A) Base RI'!AR210</f>
        <v>1.5</v>
      </c>
      <c r="R210" s="2">
        <f t="shared" si="20"/>
        <v>3962600.0966666667</v>
      </c>
      <c r="S210" s="34">
        <f>+'A) Base RI'!AM210</f>
        <v>75</v>
      </c>
      <c r="T210" s="2">
        <f t="shared" si="21"/>
        <v>3705911.83</v>
      </c>
      <c r="U210" s="2">
        <f t="shared" si="22"/>
        <v>52834.667955555553</v>
      </c>
      <c r="V210" s="10">
        <f>+'A) Base RI'!O210</f>
        <v>362519.3</v>
      </c>
      <c r="W210" s="10">
        <f>+'A) Base RI'!P210</f>
        <v>192199.85</v>
      </c>
      <c r="X210" s="10">
        <f>+'A) Base RI'!R210</f>
        <v>170338.2</v>
      </c>
      <c r="Y210" s="2">
        <f t="shared" si="23"/>
        <v>725057.35000000009</v>
      </c>
      <c r="Z210" s="10">
        <f>+'A) Base RI'!N210</f>
        <v>31194.65</v>
      </c>
      <c r="AA210" s="10">
        <f>+'A) Base RI'!S210+'A) Base RI'!T210</f>
        <v>886.95</v>
      </c>
      <c r="AB210" s="10">
        <f>+'A) Base RI'!U210</f>
        <v>12550</v>
      </c>
      <c r="AC210" s="10">
        <f>+'A) Base RI'!V210</f>
        <v>0</v>
      </c>
      <c r="AD210" s="10">
        <f>+'A) Base RI'!W210</f>
        <v>0</v>
      </c>
      <c r="AE210" s="10">
        <f>+'A) Base RI'!Y210</f>
        <v>191354.9</v>
      </c>
      <c r="AF210" s="10">
        <f>+'A) Base RI'!Z210</f>
        <v>0</v>
      </c>
      <c r="AG210" s="10">
        <f>+'A) Base RI'!AA210</f>
        <v>176330</v>
      </c>
      <c r="AH210" s="10">
        <f>+'A) Base RI'!AB210</f>
        <v>0</v>
      </c>
      <c r="AI210" s="10">
        <f>+'A) Base RI'!AC210</f>
        <v>126982.9</v>
      </c>
      <c r="AJ210" s="10">
        <f>+'A) Base RI'!AD210</f>
        <v>173464.9</v>
      </c>
      <c r="AK210" s="10">
        <f>+'A) Base RI'!AE210</f>
        <v>0</v>
      </c>
      <c r="AL210" s="10">
        <f>+'A) Base RI'!AF210</f>
        <v>0</v>
      </c>
      <c r="AM210" s="10">
        <f>+'A) Base RI'!AG210</f>
        <v>12919.35</v>
      </c>
      <c r="AN210" s="10">
        <f>+'A) Base RI'!AH210</f>
        <v>0</v>
      </c>
      <c r="AO210" s="10">
        <f>+'A) Base RI'!AI210</f>
        <v>0</v>
      </c>
      <c r="AP210" s="10">
        <f>+'A) Base RI'!AJ210</f>
        <v>0</v>
      </c>
      <c r="AQ210" s="10">
        <f>+'A) Base RI'!AK210</f>
        <v>0</v>
      </c>
      <c r="AR210" s="10">
        <f>'A) Base RI'!AN210</f>
        <v>1319</v>
      </c>
    </row>
    <row r="211" spans="1:44" x14ac:dyDescent="0.25">
      <c r="A211" s="8">
        <f>'A) Base RI'!A211</f>
        <v>5732</v>
      </c>
      <c r="B211" s="33" t="str">
        <f>'A) Base RI'!B211</f>
        <v>Vich</v>
      </c>
      <c r="C211" s="10">
        <f>'A) Base RI'!C211+'A) Base RI'!D211</f>
        <v>3512913.53</v>
      </c>
      <c r="D211" s="10">
        <f>'A) Base RI'!AO211</f>
        <v>-17198.080000000002</v>
      </c>
      <c r="E211" s="32">
        <f>'A) Base RI'!AP211</f>
        <v>0</v>
      </c>
      <c r="F211" s="32">
        <f>'A) Base RI'!AQ211</f>
        <v>-3641.54</v>
      </c>
      <c r="G211" s="2">
        <f t="shared" si="18"/>
        <v>3492073.9099999997</v>
      </c>
      <c r="H211" s="10">
        <f>+'A) Base RI'!E211</f>
        <v>0</v>
      </c>
      <c r="I211" s="10">
        <f>+'A) Base RI'!F211</f>
        <v>0</v>
      </c>
      <c r="J211" s="10">
        <f>+'A) Base RI'!G211+'A) Base RI'!H211</f>
        <v>228267.5</v>
      </c>
      <c r="K211" s="10">
        <f>+'A) Base RI'!I211</f>
        <v>125649.60000000001</v>
      </c>
      <c r="L211" s="10">
        <f>+'A) Base RI'!J211</f>
        <v>140975.57</v>
      </c>
      <c r="M211" s="10">
        <f>+'A) Base RI'!K211</f>
        <v>16095.4</v>
      </c>
      <c r="N211" s="10">
        <f>+'A) Base RI'!Q211</f>
        <v>11623.78</v>
      </c>
      <c r="O211" s="10">
        <f t="shared" si="19"/>
        <v>310281.3</v>
      </c>
      <c r="P211" s="10">
        <f>+'A) Base RI'!L211</f>
        <v>310281.3</v>
      </c>
      <c r="Q211" s="35">
        <f>'A) Base RI'!AR211</f>
        <v>1</v>
      </c>
      <c r="R211" s="2">
        <f t="shared" si="20"/>
        <v>4324967.0599999996</v>
      </c>
      <c r="S211" s="34">
        <f>+'A) Base RI'!AM211</f>
        <v>67</v>
      </c>
      <c r="T211" s="2">
        <f t="shared" si="21"/>
        <v>3998590.3599999994</v>
      </c>
      <c r="U211" s="2">
        <f t="shared" si="22"/>
        <v>64551.747164179098</v>
      </c>
      <c r="V211" s="10">
        <f>+'A) Base RI'!O211</f>
        <v>0</v>
      </c>
      <c r="W211" s="10">
        <f>+'A) Base RI'!P211</f>
        <v>484733.35</v>
      </c>
      <c r="X211" s="10">
        <f>+'A) Base RI'!R211</f>
        <v>264370.5</v>
      </c>
      <c r="Y211" s="2">
        <f t="shared" si="23"/>
        <v>749103.85</v>
      </c>
      <c r="Z211" s="10">
        <f>+'A) Base RI'!N211</f>
        <v>94359.45</v>
      </c>
      <c r="AA211" s="10">
        <f>+'A) Base RI'!S211+'A) Base RI'!T211</f>
        <v>0</v>
      </c>
      <c r="AB211" s="10">
        <f>+'A) Base RI'!U211</f>
        <v>6800</v>
      </c>
      <c r="AC211" s="10">
        <f>+'A) Base RI'!V211</f>
        <v>0</v>
      </c>
      <c r="AD211" s="10">
        <f>+'A) Base RI'!W211</f>
        <v>0</v>
      </c>
      <c r="AE211" s="10">
        <f>+'A) Base RI'!Y211</f>
        <v>140954.65</v>
      </c>
      <c r="AF211" s="10">
        <f>+'A) Base RI'!Z211</f>
        <v>0</v>
      </c>
      <c r="AG211" s="10">
        <f>+'A) Base RI'!AA211</f>
        <v>168667.55</v>
      </c>
      <c r="AH211" s="10">
        <f>+'A) Base RI'!AB211</f>
        <v>0</v>
      </c>
      <c r="AI211" s="10">
        <f>+'A) Base RI'!AC211</f>
        <v>75305</v>
      </c>
      <c r="AJ211" s="10">
        <f>+'A) Base RI'!AD211</f>
        <v>265587.8</v>
      </c>
      <c r="AK211" s="10">
        <f>+'A) Base RI'!AE211</f>
        <v>0</v>
      </c>
      <c r="AL211" s="10">
        <f>+'A) Base RI'!AF211</f>
        <v>0</v>
      </c>
      <c r="AM211" s="10">
        <f>+'A) Base RI'!AG211</f>
        <v>4347.2</v>
      </c>
      <c r="AN211" s="10">
        <f>+'A) Base RI'!AH211</f>
        <v>57232</v>
      </c>
      <c r="AO211" s="10">
        <f>+'A) Base RI'!AI211</f>
        <v>0</v>
      </c>
      <c r="AP211" s="10">
        <f>+'A) Base RI'!AJ211</f>
        <v>0</v>
      </c>
      <c r="AQ211" s="10">
        <f>+'A) Base RI'!AK211</f>
        <v>0</v>
      </c>
      <c r="AR211" s="10">
        <f>'A) Base RI'!AN211</f>
        <v>1039</v>
      </c>
    </row>
    <row r="212" spans="1:44" x14ac:dyDescent="0.25">
      <c r="A212" s="8">
        <f>'A) Base RI'!A212</f>
        <v>5741</v>
      </c>
      <c r="B212" s="33" t="str">
        <f>'A) Base RI'!B212</f>
        <v>L'Abergement</v>
      </c>
      <c r="C212" s="10">
        <f>'A) Base RI'!C212+'A) Base RI'!D212</f>
        <v>576853.89</v>
      </c>
      <c r="D212" s="10">
        <f>'A) Base RI'!AO212</f>
        <v>-21458.67</v>
      </c>
      <c r="E212" s="32">
        <f>'A) Base RI'!AP212</f>
        <v>0</v>
      </c>
      <c r="F212" s="32">
        <f>'A) Base RI'!AQ212</f>
        <v>-8.48</v>
      </c>
      <c r="G212" s="2">
        <f t="shared" si="18"/>
        <v>555386.74</v>
      </c>
      <c r="H212" s="10">
        <f>+'A) Base RI'!E212</f>
        <v>0</v>
      </c>
      <c r="I212" s="10">
        <f>+'A) Base RI'!F212</f>
        <v>1430</v>
      </c>
      <c r="J212" s="10">
        <f>+'A) Base RI'!G212+'A) Base RI'!H212</f>
        <v>8362.1</v>
      </c>
      <c r="K212" s="10">
        <f>+'A) Base RI'!I212</f>
        <v>0</v>
      </c>
      <c r="L212" s="10">
        <f>+'A) Base RI'!J212</f>
        <v>1758.91</v>
      </c>
      <c r="M212" s="10">
        <f>+'A) Base RI'!K212</f>
        <v>0</v>
      </c>
      <c r="N212" s="10">
        <f>+'A) Base RI'!Q212</f>
        <v>1982.75</v>
      </c>
      <c r="O212" s="10">
        <f t="shared" si="19"/>
        <v>35690.250000000007</v>
      </c>
      <c r="P212" s="10">
        <f>+'A) Base RI'!L212</f>
        <v>42828.3</v>
      </c>
      <c r="Q212" s="35">
        <f>'A) Base RI'!AR212</f>
        <v>1.2</v>
      </c>
      <c r="R212" s="2">
        <f t="shared" si="20"/>
        <v>604610.75</v>
      </c>
      <c r="S212" s="34">
        <f>+'A) Base RI'!AM212</f>
        <v>81</v>
      </c>
      <c r="T212" s="2">
        <f t="shared" si="21"/>
        <v>567490.5</v>
      </c>
      <c r="U212" s="2">
        <f t="shared" si="22"/>
        <v>7464.3302469135806</v>
      </c>
      <c r="V212" s="10">
        <f>+'A) Base RI'!O212</f>
        <v>0</v>
      </c>
      <c r="W212" s="10">
        <f>+'A) Base RI'!P212</f>
        <v>19970.599999999999</v>
      </c>
      <c r="X212" s="10">
        <f>+'A) Base RI'!R212</f>
        <v>23772.9</v>
      </c>
      <c r="Y212" s="2">
        <f t="shared" si="23"/>
        <v>43743.5</v>
      </c>
      <c r="Z212" s="10">
        <f>+'A) Base RI'!N212</f>
        <v>6488.75</v>
      </c>
      <c r="AA212" s="10">
        <f>+'A) Base RI'!S212+'A) Base RI'!T212</f>
        <v>0</v>
      </c>
      <c r="AB212" s="10">
        <f>+'A) Base RI'!U212</f>
        <v>1060</v>
      </c>
      <c r="AC212" s="10">
        <f>+'A) Base RI'!V212</f>
        <v>0</v>
      </c>
      <c r="AD212" s="10">
        <f>+'A) Base RI'!W212</f>
        <v>0</v>
      </c>
      <c r="AE212" s="10">
        <f>+'A) Base RI'!Y212</f>
        <v>21830</v>
      </c>
      <c r="AF212" s="10">
        <f>+'A) Base RI'!Z212</f>
        <v>800</v>
      </c>
      <c r="AG212" s="10">
        <f>+'A) Base RI'!AA212</f>
        <v>33912.5</v>
      </c>
      <c r="AH212" s="10">
        <f>+'A) Base RI'!AB212</f>
        <v>3183</v>
      </c>
      <c r="AI212" s="10">
        <f>+'A) Base RI'!AC212</f>
        <v>2201</v>
      </c>
      <c r="AJ212" s="10">
        <f>+'A) Base RI'!AD212</f>
        <v>26651.8</v>
      </c>
      <c r="AK212" s="10">
        <f>+'A) Base RI'!AE212</f>
        <v>14780.95</v>
      </c>
      <c r="AL212" s="10">
        <f>+'A) Base RI'!AF212</f>
        <v>880</v>
      </c>
      <c r="AM212" s="10">
        <f>+'A) Base RI'!AG212</f>
        <v>0</v>
      </c>
      <c r="AN212" s="10">
        <f>+'A) Base RI'!AH212</f>
        <v>0</v>
      </c>
      <c r="AO212" s="10">
        <f>+'A) Base RI'!AI212</f>
        <v>0</v>
      </c>
      <c r="AP212" s="10">
        <f>+'A) Base RI'!AJ212</f>
        <v>0</v>
      </c>
      <c r="AQ212" s="10">
        <f>+'A) Base RI'!AK212</f>
        <v>0</v>
      </c>
      <c r="AR212" s="10">
        <f>'A) Base RI'!AN212</f>
        <v>248</v>
      </c>
    </row>
    <row r="213" spans="1:44" x14ac:dyDescent="0.25">
      <c r="A213" s="8">
        <f>'A) Base RI'!A213</f>
        <v>5742</v>
      </c>
      <c r="B213" s="33" t="str">
        <f>'A) Base RI'!B213</f>
        <v>Agiez</v>
      </c>
      <c r="C213" s="10">
        <f>'A) Base RI'!C213+'A) Base RI'!D213</f>
        <v>605911.62</v>
      </c>
      <c r="D213" s="10">
        <f>'A) Base RI'!AO213</f>
        <v>-2413.75</v>
      </c>
      <c r="E213" s="32">
        <f>'A) Base RI'!AP213</f>
        <v>0</v>
      </c>
      <c r="F213" s="32">
        <f>'A) Base RI'!AQ213</f>
        <v>0</v>
      </c>
      <c r="G213" s="2">
        <f t="shared" si="18"/>
        <v>603497.87</v>
      </c>
      <c r="H213" s="10">
        <f>+'A) Base RI'!E213</f>
        <v>0</v>
      </c>
      <c r="I213" s="10">
        <f>+'A) Base RI'!F213</f>
        <v>0</v>
      </c>
      <c r="J213" s="10">
        <f>+'A) Base RI'!G213+'A) Base RI'!H213</f>
        <v>14935.75</v>
      </c>
      <c r="K213" s="10">
        <f>+'A) Base RI'!I213</f>
        <v>0</v>
      </c>
      <c r="L213" s="10">
        <f>+'A) Base RI'!J213</f>
        <v>24860.81</v>
      </c>
      <c r="M213" s="10">
        <f>+'A) Base RI'!K213</f>
        <v>743.3</v>
      </c>
      <c r="N213" s="10">
        <f>+'A) Base RI'!Q213</f>
        <v>0</v>
      </c>
      <c r="O213" s="10">
        <f t="shared" si="19"/>
        <v>50032.5</v>
      </c>
      <c r="P213" s="10">
        <f>+'A) Base RI'!L213</f>
        <v>25016.25</v>
      </c>
      <c r="Q213" s="35">
        <f>'A) Base RI'!AR213</f>
        <v>0.5</v>
      </c>
      <c r="R213" s="2">
        <f t="shared" si="20"/>
        <v>694070.2300000001</v>
      </c>
      <c r="S213" s="34">
        <f>+'A) Base RI'!AM213</f>
        <v>76</v>
      </c>
      <c r="T213" s="2">
        <f t="shared" si="21"/>
        <v>643294.43000000005</v>
      </c>
      <c r="U213" s="2">
        <f t="shared" si="22"/>
        <v>9132.5030263157914</v>
      </c>
      <c r="V213" s="10">
        <f>+'A) Base RI'!O213</f>
        <v>74.599999999999994</v>
      </c>
      <c r="W213" s="10">
        <f>+'A) Base RI'!P213</f>
        <v>8781.7000000000007</v>
      </c>
      <c r="X213" s="10">
        <f>+'A) Base RI'!R213</f>
        <v>13127.9</v>
      </c>
      <c r="Y213" s="2">
        <f t="shared" si="23"/>
        <v>21984.2</v>
      </c>
      <c r="Z213" s="10">
        <f>+'A) Base RI'!N213</f>
        <v>0</v>
      </c>
      <c r="AA213" s="10">
        <f>+'A) Base RI'!S213+'A) Base RI'!T213</f>
        <v>0</v>
      </c>
      <c r="AB213" s="10">
        <f>+'A) Base RI'!U213</f>
        <v>2040</v>
      </c>
      <c r="AC213" s="10">
        <f>+'A) Base RI'!V213</f>
        <v>0</v>
      </c>
      <c r="AD213" s="10">
        <f>+'A) Base RI'!W213</f>
        <v>0</v>
      </c>
      <c r="AE213" s="10">
        <f>+'A) Base RI'!Y213</f>
        <v>0</v>
      </c>
      <c r="AF213" s="10">
        <f>+'A) Base RI'!Z213</f>
        <v>0</v>
      </c>
      <c r="AG213" s="10">
        <f>+'A) Base RI'!AA213</f>
        <v>30086.75</v>
      </c>
      <c r="AH213" s="10">
        <f>+'A) Base RI'!AB213</f>
        <v>0</v>
      </c>
      <c r="AI213" s="10">
        <f>+'A) Base RI'!AC213</f>
        <v>28851</v>
      </c>
      <c r="AJ213" s="10">
        <f>+'A) Base RI'!AD213</f>
        <v>4415</v>
      </c>
      <c r="AK213" s="10">
        <f>+'A) Base RI'!AE213</f>
        <v>0</v>
      </c>
      <c r="AL213" s="10">
        <f>+'A) Base RI'!AF213</f>
        <v>0</v>
      </c>
      <c r="AM213" s="10">
        <f>+'A) Base RI'!AG213</f>
        <v>0</v>
      </c>
      <c r="AN213" s="10">
        <f>+'A) Base RI'!AH213</f>
        <v>0</v>
      </c>
      <c r="AO213" s="10">
        <f>+'A) Base RI'!AI213</f>
        <v>0</v>
      </c>
      <c r="AP213" s="10">
        <f>+'A) Base RI'!AJ213</f>
        <v>0</v>
      </c>
      <c r="AQ213" s="10">
        <f>+'A) Base RI'!AK213</f>
        <v>0</v>
      </c>
      <c r="AR213" s="10">
        <f>'A) Base RI'!AN213</f>
        <v>327</v>
      </c>
    </row>
    <row r="214" spans="1:44" x14ac:dyDescent="0.25">
      <c r="A214" s="8">
        <f>'A) Base RI'!A214</f>
        <v>5743</v>
      </c>
      <c r="B214" s="33" t="str">
        <f>'A) Base RI'!B214</f>
        <v>Arnex-sur-Orbe</v>
      </c>
      <c r="C214" s="10">
        <f>'A) Base RI'!C214+'A) Base RI'!D214</f>
        <v>1232174.49</v>
      </c>
      <c r="D214" s="10">
        <f>'A) Base RI'!AO214</f>
        <v>-10345.41</v>
      </c>
      <c r="E214" s="32">
        <f>'A) Base RI'!AP214</f>
        <v>0</v>
      </c>
      <c r="F214" s="32">
        <f>'A) Base RI'!AQ214</f>
        <v>-89.1</v>
      </c>
      <c r="G214" s="2">
        <f t="shared" si="18"/>
        <v>1221739.98</v>
      </c>
      <c r="H214" s="10">
        <f>+'A) Base RI'!E214</f>
        <v>0</v>
      </c>
      <c r="I214" s="10">
        <f>+'A) Base RI'!F214</f>
        <v>0</v>
      </c>
      <c r="J214" s="10">
        <f>+'A) Base RI'!G214+'A) Base RI'!H214</f>
        <v>-510.75000000000011</v>
      </c>
      <c r="K214" s="10">
        <f>+'A) Base RI'!I214</f>
        <v>0</v>
      </c>
      <c r="L214" s="10">
        <f>+'A) Base RI'!J214</f>
        <v>26297.83</v>
      </c>
      <c r="M214" s="10">
        <f>+'A) Base RI'!K214</f>
        <v>0</v>
      </c>
      <c r="N214" s="10">
        <f>+'A) Base RI'!Q214</f>
        <v>9230.08</v>
      </c>
      <c r="O214" s="10">
        <f t="shared" si="19"/>
        <v>83734.937499999985</v>
      </c>
      <c r="P214" s="10">
        <f>+'A) Base RI'!L214</f>
        <v>66987.95</v>
      </c>
      <c r="Q214" s="35">
        <f>'A) Base RI'!AR214</f>
        <v>0.8</v>
      </c>
      <c r="R214" s="2">
        <f t="shared" si="20"/>
        <v>1340492.0775000001</v>
      </c>
      <c r="S214" s="34">
        <f>+'A) Base RI'!AM214</f>
        <v>73</v>
      </c>
      <c r="T214" s="2">
        <f t="shared" si="21"/>
        <v>1256757.1400000001</v>
      </c>
      <c r="U214" s="2">
        <f t="shared" si="22"/>
        <v>18362.90517123288</v>
      </c>
      <c r="V214" s="10">
        <f>+'A) Base RI'!O214</f>
        <v>210098.3</v>
      </c>
      <c r="W214" s="10">
        <f>+'A) Base RI'!P214</f>
        <v>23557.8</v>
      </c>
      <c r="X214" s="10">
        <f>+'A) Base RI'!R214</f>
        <v>49618.7</v>
      </c>
      <c r="Y214" s="2">
        <f t="shared" si="23"/>
        <v>283274.8</v>
      </c>
      <c r="Z214" s="10">
        <f>+'A) Base RI'!N214</f>
        <v>28250.799999999999</v>
      </c>
      <c r="AA214" s="10">
        <f>+'A) Base RI'!S214+'A) Base RI'!T214</f>
        <v>0</v>
      </c>
      <c r="AB214" s="10">
        <f>+'A) Base RI'!U214</f>
        <v>2290</v>
      </c>
      <c r="AC214" s="10">
        <f>+'A) Base RI'!V214</f>
        <v>0</v>
      </c>
      <c r="AD214" s="10">
        <f>+'A) Base RI'!W214</f>
        <v>0</v>
      </c>
      <c r="AE214" s="10">
        <f>+'A) Base RI'!Y214</f>
        <v>27268</v>
      </c>
      <c r="AF214" s="10">
        <f>+'A) Base RI'!Z214</f>
        <v>0</v>
      </c>
      <c r="AG214" s="10">
        <f>+'A) Base RI'!AA214</f>
        <v>55600.2</v>
      </c>
      <c r="AH214" s="10">
        <f>+'A) Base RI'!AB214</f>
        <v>0</v>
      </c>
      <c r="AI214" s="10">
        <f>+'A) Base RI'!AC214</f>
        <v>29057.7</v>
      </c>
      <c r="AJ214" s="10">
        <f>+'A) Base RI'!AD214</f>
        <v>551.29999999999995</v>
      </c>
      <c r="AK214" s="10">
        <f>+'A) Base RI'!AE214</f>
        <v>0</v>
      </c>
      <c r="AL214" s="10">
        <f>+'A) Base RI'!AF214</f>
        <v>0</v>
      </c>
      <c r="AM214" s="10">
        <f>+'A) Base RI'!AG214</f>
        <v>0</v>
      </c>
      <c r="AN214" s="10">
        <f>+'A) Base RI'!AH214</f>
        <v>0</v>
      </c>
      <c r="AO214" s="10">
        <f>+'A) Base RI'!AI214</f>
        <v>0</v>
      </c>
      <c r="AP214" s="10">
        <f>+'A) Base RI'!AJ214</f>
        <v>0</v>
      </c>
      <c r="AQ214" s="10">
        <f>+'A) Base RI'!AK214</f>
        <v>0</v>
      </c>
      <c r="AR214" s="10">
        <f>'A) Base RI'!AN214</f>
        <v>631</v>
      </c>
    </row>
    <row r="215" spans="1:44" x14ac:dyDescent="0.25">
      <c r="A215" s="8">
        <f>'A) Base RI'!A215</f>
        <v>5744</v>
      </c>
      <c r="B215" s="33" t="str">
        <f>'A) Base RI'!B215</f>
        <v>Ballaigues</v>
      </c>
      <c r="C215" s="10">
        <f>'A) Base RI'!C215+'A) Base RI'!D215</f>
        <v>1605838.1400000001</v>
      </c>
      <c r="D215" s="10">
        <f>'A) Base RI'!AO215</f>
        <v>-67670.95</v>
      </c>
      <c r="E215" s="32">
        <f>'A) Base RI'!AP215</f>
        <v>0</v>
      </c>
      <c r="F215" s="32">
        <f>'A) Base RI'!AQ215</f>
        <v>-515.66</v>
      </c>
      <c r="G215" s="2">
        <f t="shared" si="18"/>
        <v>1537651.5300000003</v>
      </c>
      <c r="H215" s="10">
        <f>+'A) Base RI'!E215</f>
        <v>0</v>
      </c>
      <c r="I215" s="10">
        <f>+'A) Base RI'!F215</f>
        <v>6180</v>
      </c>
      <c r="J215" s="10">
        <f>+'A) Base RI'!G215+'A) Base RI'!H215</f>
        <v>1305938.05</v>
      </c>
      <c r="K215" s="10">
        <f>+'A) Base RI'!I215</f>
        <v>0</v>
      </c>
      <c r="L215" s="10">
        <f>+'A) Base RI'!J215</f>
        <v>20499.759999999998</v>
      </c>
      <c r="M215" s="10">
        <f>+'A) Base RI'!K215</f>
        <v>0</v>
      </c>
      <c r="N215" s="10">
        <f>+'A) Base RI'!Q215</f>
        <v>-2184.1</v>
      </c>
      <c r="O215" s="10">
        <f t="shared" si="19"/>
        <v>168929.9</v>
      </c>
      <c r="P215" s="10">
        <f>+'A) Base RI'!L215</f>
        <v>168929.9</v>
      </c>
      <c r="Q215" s="35">
        <f>'A) Base RI'!AR215</f>
        <v>1</v>
      </c>
      <c r="R215" s="2">
        <f t="shared" si="20"/>
        <v>3037015.1399999997</v>
      </c>
      <c r="S215" s="34">
        <f>+'A) Base RI'!AM215</f>
        <v>66</v>
      </c>
      <c r="T215" s="2">
        <f t="shared" si="21"/>
        <v>2861905.2399999998</v>
      </c>
      <c r="U215" s="2">
        <f t="shared" si="22"/>
        <v>46015.380909090905</v>
      </c>
      <c r="V215" s="10">
        <f>+'A) Base RI'!O215</f>
        <v>48906</v>
      </c>
      <c r="W215" s="10">
        <f>+'A) Base RI'!P215</f>
        <v>37562.1</v>
      </c>
      <c r="X215" s="10">
        <f>+'A) Base RI'!R215</f>
        <v>31561.599999999999</v>
      </c>
      <c r="Y215" s="2">
        <f t="shared" si="23"/>
        <v>118029.70000000001</v>
      </c>
      <c r="Z215" s="10">
        <f>+'A) Base RI'!N215</f>
        <v>1259054.6499999999</v>
      </c>
      <c r="AA215" s="10">
        <f>+'A) Base RI'!S215+'A) Base RI'!T215</f>
        <v>125</v>
      </c>
      <c r="AB215" s="10">
        <f>+'A) Base RI'!U215</f>
        <v>4245</v>
      </c>
      <c r="AC215" s="10">
        <f>+'A) Base RI'!V215</f>
        <v>60</v>
      </c>
      <c r="AD215" s="10">
        <f>+'A) Base RI'!W215</f>
        <v>0</v>
      </c>
      <c r="AE215" s="10">
        <f>+'A) Base RI'!Y215</f>
        <v>37418.699999999997</v>
      </c>
      <c r="AF215" s="10">
        <f>+'A) Base RI'!Z215</f>
        <v>0</v>
      </c>
      <c r="AG215" s="10">
        <f>+'A) Base RI'!AA215</f>
        <v>65096.6</v>
      </c>
      <c r="AH215" s="10">
        <f>+'A) Base RI'!AB215</f>
        <v>0</v>
      </c>
      <c r="AI215" s="10">
        <f>+'A) Base RI'!AC215</f>
        <v>103388.6</v>
      </c>
      <c r="AJ215" s="10">
        <f>+'A) Base RI'!AD215</f>
        <v>38611.699999999997</v>
      </c>
      <c r="AK215" s="10">
        <f>+'A) Base RI'!AE215</f>
        <v>0</v>
      </c>
      <c r="AL215" s="10">
        <f>+'A) Base RI'!AF215</f>
        <v>0</v>
      </c>
      <c r="AM215" s="10">
        <f>+'A) Base RI'!AG215</f>
        <v>0</v>
      </c>
      <c r="AN215" s="10">
        <f>+'A) Base RI'!AH215</f>
        <v>105975.8</v>
      </c>
      <c r="AO215" s="10">
        <f>+'A) Base RI'!AI215</f>
        <v>0</v>
      </c>
      <c r="AP215" s="10">
        <f>+'A) Base RI'!AJ215</f>
        <v>0</v>
      </c>
      <c r="AQ215" s="10">
        <f>+'A) Base RI'!AK215</f>
        <v>0</v>
      </c>
      <c r="AR215" s="10">
        <f>'A) Base RI'!AN215</f>
        <v>1075</v>
      </c>
    </row>
    <row r="216" spans="1:44" x14ac:dyDescent="0.25">
      <c r="A216" s="8">
        <f>'A) Base RI'!A216</f>
        <v>5745</v>
      </c>
      <c r="B216" s="33" t="str">
        <f>'A) Base RI'!B216</f>
        <v>Baulmes</v>
      </c>
      <c r="C216" s="10">
        <f>'A) Base RI'!C216+'A) Base RI'!D216</f>
        <v>1923440.61</v>
      </c>
      <c r="D216" s="10">
        <f>'A) Base RI'!AO216</f>
        <v>-66102.69</v>
      </c>
      <c r="E216" s="32">
        <f>'A) Base RI'!AP216</f>
        <v>0</v>
      </c>
      <c r="F216" s="32">
        <f>'A) Base RI'!AQ216</f>
        <v>-24.58</v>
      </c>
      <c r="G216" s="2">
        <f t="shared" si="18"/>
        <v>1857313.34</v>
      </c>
      <c r="H216" s="10">
        <f>+'A) Base RI'!E216</f>
        <v>0</v>
      </c>
      <c r="I216" s="10">
        <f>+'A) Base RI'!F216</f>
        <v>0</v>
      </c>
      <c r="J216" s="10">
        <f>+'A) Base RI'!G216+'A) Base RI'!H216</f>
        <v>96830.15</v>
      </c>
      <c r="K216" s="10">
        <f>+'A) Base RI'!I216</f>
        <v>0</v>
      </c>
      <c r="L216" s="10">
        <f>+'A) Base RI'!J216</f>
        <v>20439.599999999999</v>
      </c>
      <c r="M216" s="10">
        <f>+'A) Base RI'!K216</f>
        <v>0</v>
      </c>
      <c r="N216" s="10">
        <f>+'A) Base RI'!Q216</f>
        <v>10009.02</v>
      </c>
      <c r="O216" s="10">
        <f t="shared" si="19"/>
        <v>124424.6</v>
      </c>
      <c r="P216" s="10">
        <f>+'A) Base RI'!L216</f>
        <v>124424.6</v>
      </c>
      <c r="Q216" s="35">
        <f>'A) Base RI'!AR216</f>
        <v>1</v>
      </c>
      <c r="R216" s="2">
        <f t="shared" si="20"/>
        <v>2109016.71</v>
      </c>
      <c r="S216" s="34">
        <f>+'A) Base RI'!AM216</f>
        <v>78</v>
      </c>
      <c r="T216" s="2">
        <f t="shared" si="21"/>
        <v>1984592.11</v>
      </c>
      <c r="U216" s="2">
        <f t="shared" si="22"/>
        <v>27038.675769230769</v>
      </c>
      <c r="V216" s="10">
        <f>+'A) Base RI'!O216</f>
        <v>115901.1</v>
      </c>
      <c r="W216" s="10">
        <f>+'A) Base RI'!P216</f>
        <v>79709.55</v>
      </c>
      <c r="X216" s="10">
        <f>+'A) Base RI'!R216</f>
        <v>107866.15</v>
      </c>
      <c r="Y216" s="2">
        <f t="shared" si="23"/>
        <v>303476.80000000005</v>
      </c>
      <c r="Z216" s="10">
        <f>+'A) Base RI'!N216</f>
        <v>206170.15</v>
      </c>
      <c r="AA216" s="10">
        <f>+'A) Base RI'!S216+'A) Base RI'!T216</f>
        <v>0</v>
      </c>
      <c r="AB216" s="10">
        <f>+'A) Base RI'!U216</f>
        <v>3175</v>
      </c>
      <c r="AC216" s="10">
        <f>+'A) Base RI'!V216</f>
        <v>0</v>
      </c>
      <c r="AD216" s="10">
        <f>+'A) Base RI'!W216</f>
        <v>0</v>
      </c>
      <c r="AE216" s="10">
        <f>+'A) Base RI'!Y216</f>
        <v>0</v>
      </c>
      <c r="AF216" s="10">
        <f>+'A) Base RI'!Z216</f>
        <v>0</v>
      </c>
      <c r="AG216" s="10">
        <f>+'A) Base RI'!AA216</f>
        <v>131504.07</v>
      </c>
      <c r="AH216" s="10">
        <f>+'A) Base RI'!AB216</f>
        <v>0</v>
      </c>
      <c r="AI216" s="10">
        <f>+'A) Base RI'!AC216</f>
        <v>66873.45</v>
      </c>
      <c r="AJ216" s="10">
        <f>+'A) Base RI'!AD216</f>
        <v>0</v>
      </c>
      <c r="AK216" s="10">
        <f>+'A) Base RI'!AE216</f>
        <v>0</v>
      </c>
      <c r="AL216" s="10">
        <f>+'A) Base RI'!AF216</f>
        <v>0</v>
      </c>
      <c r="AM216" s="10">
        <f>+'A) Base RI'!AG216</f>
        <v>0</v>
      </c>
      <c r="AN216" s="10">
        <f>+'A) Base RI'!AH216</f>
        <v>25092.45</v>
      </c>
      <c r="AO216" s="10">
        <f>+'A) Base RI'!AI216</f>
        <v>0</v>
      </c>
      <c r="AP216" s="10">
        <f>+'A) Base RI'!AJ216</f>
        <v>0</v>
      </c>
      <c r="AQ216" s="10">
        <f>+'A) Base RI'!AK216</f>
        <v>0</v>
      </c>
      <c r="AR216" s="10">
        <f>'A) Base RI'!AN216</f>
        <v>1027</v>
      </c>
    </row>
    <row r="217" spans="1:44" x14ac:dyDescent="0.25">
      <c r="A217" s="8">
        <f>'A) Base RI'!A217</f>
        <v>5746</v>
      </c>
      <c r="B217" s="33" t="str">
        <f>'A) Base RI'!B217</f>
        <v>Bavois</v>
      </c>
      <c r="C217" s="10">
        <f>'A) Base RI'!C217+'A) Base RI'!D217</f>
        <v>1775493.96</v>
      </c>
      <c r="D217" s="10">
        <f>'A) Base RI'!AO217</f>
        <v>-65197.52</v>
      </c>
      <c r="E217" s="32">
        <f>'A) Base RI'!AP217</f>
        <v>0</v>
      </c>
      <c r="F217" s="32">
        <f>'A) Base RI'!AQ217</f>
        <v>-34.4</v>
      </c>
      <c r="G217" s="2">
        <f t="shared" si="18"/>
        <v>1710262.04</v>
      </c>
      <c r="H217" s="10">
        <f>+'A) Base RI'!E217</f>
        <v>0</v>
      </c>
      <c r="I217" s="10">
        <f>+'A) Base RI'!F217</f>
        <v>0</v>
      </c>
      <c r="J217" s="10">
        <f>+'A) Base RI'!G217+'A) Base RI'!H217</f>
        <v>32952.85</v>
      </c>
      <c r="K217" s="10">
        <f>+'A) Base RI'!I217</f>
        <v>0</v>
      </c>
      <c r="L217" s="10">
        <f>+'A) Base RI'!J217</f>
        <v>21384.93</v>
      </c>
      <c r="M217" s="10">
        <f>+'A) Base RI'!K217</f>
        <v>0</v>
      </c>
      <c r="N217" s="10">
        <f>+'A) Base RI'!Q217</f>
        <v>18143.740000000002</v>
      </c>
      <c r="O217" s="10">
        <f t="shared" si="19"/>
        <v>170264.41666666666</v>
      </c>
      <c r="P217" s="10">
        <f>+'A) Base RI'!L217</f>
        <v>204317.3</v>
      </c>
      <c r="Q217" s="35">
        <f>'A) Base RI'!AR217</f>
        <v>1.2</v>
      </c>
      <c r="R217" s="2">
        <f t="shared" si="20"/>
        <v>1953007.9766666668</v>
      </c>
      <c r="S217" s="34">
        <f>+'A) Base RI'!AM217</f>
        <v>73</v>
      </c>
      <c r="T217" s="2">
        <f t="shared" si="21"/>
        <v>1782743.56</v>
      </c>
      <c r="U217" s="2">
        <f t="shared" si="22"/>
        <v>26753.53392694064</v>
      </c>
      <c r="V217" s="10">
        <f>+'A) Base RI'!O217</f>
        <v>3444.1</v>
      </c>
      <c r="W217" s="10">
        <f>+'A) Base RI'!P217</f>
        <v>92831.15</v>
      </c>
      <c r="X217" s="10">
        <f>+'A) Base RI'!R217</f>
        <v>31771.25</v>
      </c>
      <c r="Y217" s="2">
        <f t="shared" si="23"/>
        <v>128046.5</v>
      </c>
      <c r="Z217" s="10">
        <f>+'A) Base RI'!N217</f>
        <v>25740.55</v>
      </c>
      <c r="AA217" s="10">
        <f>+'A) Base RI'!S217+'A) Base RI'!T217</f>
        <v>1922.25</v>
      </c>
      <c r="AB217" s="10">
        <f>+'A) Base RI'!U217</f>
        <v>5160</v>
      </c>
      <c r="AC217" s="10">
        <f>+'A) Base RI'!V217</f>
        <v>681.15</v>
      </c>
      <c r="AD217" s="10">
        <f>+'A) Base RI'!W217</f>
        <v>0</v>
      </c>
      <c r="AE217" s="10">
        <f>+'A) Base RI'!Y217</f>
        <v>26001</v>
      </c>
      <c r="AF217" s="10">
        <f>+'A) Base RI'!Z217</f>
        <v>0</v>
      </c>
      <c r="AG217" s="10">
        <f>+'A) Base RI'!AA217</f>
        <v>104561.8</v>
      </c>
      <c r="AH217" s="10">
        <f>+'A) Base RI'!AB217</f>
        <v>0</v>
      </c>
      <c r="AI217" s="10">
        <f>+'A) Base RI'!AC217</f>
        <v>67669.399999999994</v>
      </c>
      <c r="AJ217" s="10">
        <f>+'A) Base RI'!AD217</f>
        <v>3718.1</v>
      </c>
      <c r="AK217" s="10">
        <f>+'A) Base RI'!AE217</f>
        <v>0</v>
      </c>
      <c r="AL217" s="10">
        <f>+'A) Base RI'!AF217</f>
        <v>0</v>
      </c>
      <c r="AM217" s="10">
        <f>+'A) Base RI'!AG217</f>
        <v>0</v>
      </c>
      <c r="AN217" s="10">
        <f>+'A) Base RI'!AH217</f>
        <v>29104.3</v>
      </c>
      <c r="AO217" s="10">
        <f>+'A) Base RI'!AI217</f>
        <v>0</v>
      </c>
      <c r="AP217" s="10">
        <f>+'A) Base RI'!AJ217</f>
        <v>0</v>
      </c>
      <c r="AQ217" s="10">
        <f>+'A) Base RI'!AK217</f>
        <v>0</v>
      </c>
      <c r="AR217" s="10">
        <f>'A) Base RI'!AN217</f>
        <v>942</v>
      </c>
    </row>
    <row r="218" spans="1:44" x14ac:dyDescent="0.25">
      <c r="A218" s="8">
        <f>'A) Base RI'!A218</f>
        <v>5747</v>
      </c>
      <c r="B218" s="33" t="str">
        <f>'A) Base RI'!B218</f>
        <v>Bofflens</v>
      </c>
      <c r="C218" s="10">
        <f>'A) Base RI'!C218+'A) Base RI'!D218</f>
        <v>316080.33999999997</v>
      </c>
      <c r="D218" s="10">
        <f>'A) Base RI'!AO218</f>
        <v>-3497.6</v>
      </c>
      <c r="E218" s="32">
        <f>'A) Base RI'!AP218</f>
        <v>0</v>
      </c>
      <c r="F218" s="32">
        <f>'A) Base RI'!AQ218</f>
        <v>0</v>
      </c>
      <c r="G218" s="2">
        <f t="shared" si="18"/>
        <v>312582.74</v>
      </c>
      <c r="H218" s="10">
        <f>+'A) Base RI'!E218</f>
        <v>0</v>
      </c>
      <c r="I218" s="10">
        <f>+'A) Base RI'!F218</f>
        <v>0</v>
      </c>
      <c r="J218" s="10">
        <f>+'A) Base RI'!G218+'A) Base RI'!H218</f>
        <v>2294.25</v>
      </c>
      <c r="K218" s="10">
        <f>+'A) Base RI'!I218</f>
        <v>0</v>
      </c>
      <c r="L218" s="10">
        <f>+'A) Base RI'!J218</f>
        <v>120.99</v>
      </c>
      <c r="M218" s="10">
        <f>+'A) Base RI'!K218</f>
        <v>0</v>
      </c>
      <c r="N218" s="10">
        <f>+'A) Base RI'!Q218</f>
        <v>0</v>
      </c>
      <c r="O218" s="10">
        <f t="shared" si="19"/>
        <v>28996.75</v>
      </c>
      <c r="P218" s="10">
        <f>+'A) Base RI'!L218</f>
        <v>28996.75</v>
      </c>
      <c r="Q218" s="35">
        <f>'A) Base RI'!AR218</f>
        <v>1</v>
      </c>
      <c r="R218" s="2">
        <f t="shared" si="20"/>
        <v>343994.73</v>
      </c>
      <c r="S218" s="34">
        <f>+'A) Base RI'!AM218</f>
        <v>69</v>
      </c>
      <c r="T218" s="2">
        <f t="shared" si="21"/>
        <v>314997.98</v>
      </c>
      <c r="U218" s="2">
        <f t="shared" si="22"/>
        <v>4985.4308695652171</v>
      </c>
      <c r="V218" s="10">
        <f>+'A) Base RI'!O218</f>
        <v>4093.2</v>
      </c>
      <c r="W218" s="10">
        <f>+'A) Base RI'!P218</f>
        <v>25300</v>
      </c>
      <c r="X218" s="10">
        <f>+'A) Base RI'!R218</f>
        <v>9631.4</v>
      </c>
      <c r="Y218" s="2">
        <f t="shared" si="23"/>
        <v>39024.6</v>
      </c>
      <c r="Z218" s="10">
        <f>+'A) Base RI'!N218</f>
        <v>0</v>
      </c>
      <c r="AA218" s="10">
        <f>+'A) Base RI'!S218+'A) Base RI'!T218</f>
        <v>0</v>
      </c>
      <c r="AB218" s="10">
        <f>+'A) Base RI'!U218</f>
        <v>520</v>
      </c>
      <c r="AC218" s="10">
        <f>+'A) Base RI'!V218</f>
        <v>0</v>
      </c>
      <c r="AD218" s="10">
        <f>+'A) Base RI'!W218</f>
        <v>0</v>
      </c>
      <c r="AE218" s="10" t="str">
        <f>+'A) Base RI'!Y218</f>
        <v/>
      </c>
      <c r="AF218" s="10" t="str">
        <f>+'A) Base RI'!Z218</f>
        <v/>
      </c>
      <c r="AG218" s="10">
        <f>+'A) Base RI'!AA218</f>
        <v>18790</v>
      </c>
      <c r="AH218" s="10" t="str">
        <f>+'A) Base RI'!AB218</f>
        <v/>
      </c>
      <c r="AI218" s="10">
        <f>+'A) Base RI'!AC218</f>
        <v>16672.25</v>
      </c>
      <c r="AJ218" s="10">
        <f>+'A) Base RI'!AD218</f>
        <v>8640</v>
      </c>
      <c r="AK218" s="10" t="str">
        <f>+'A) Base RI'!AE218</f>
        <v/>
      </c>
      <c r="AL218" s="10" t="str">
        <f>+'A) Base RI'!AF218</f>
        <v/>
      </c>
      <c r="AM218" s="10" t="str">
        <f>+'A) Base RI'!AG218</f>
        <v/>
      </c>
      <c r="AN218" s="10">
        <f>+'A) Base RI'!AH218</f>
        <v>0</v>
      </c>
      <c r="AO218" s="10">
        <f>+'A) Base RI'!AI218</f>
        <v>0</v>
      </c>
      <c r="AP218" s="10">
        <f>+'A) Base RI'!AJ218</f>
        <v>0</v>
      </c>
      <c r="AQ218" s="10">
        <f>+'A) Base RI'!AK218</f>
        <v>0</v>
      </c>
      <c r="AR218" s="10">
        <f>'A) Base RI'!AN218</f>
        <v>196</v>
      </c>
    </row>
    <row r="219" spans="1:44" x14ac:dyDescent="0.25">
      <c r="A219" s="8">
        <f>'A) Base RI'!A219</f>
        <v>5748</v>
      </c>
      <c r="B219" s="33" t="str">
        <f>'A) Base RI'!B219</f>
        <v>Bretonnières</v>
      </c>
      <c r="C219" s="10">
        <f>'A) Base RI'!C219+'A) Base RI'!D219</f>
        <v>369519.30000000005</v>
      </c>
      <c r="D219" s="10">
        <f>'A) Base RI'!AO219</f>
        <v>-9761.6299999999992</v>
      </c>
      <c r="E219" s="32">
        <f>'A) Base RI'!AP219</f>
        <v>0</v>
      </c>
      <c r="F219" s="32">
        <f>'A) Base RI'!AQ219</f>
        <v>0</v>
      </c>
      <c r="G219" s="2">
        <f t="shared" si="18"/>
        <v>359757.67000000004</v>
      </c>
      <c r="H219" s="10">
        <f>+'A) Base RI'!E219</f>
        <v>0</v>
      </c>
      <c r="I219" s="10">
        <f>+'A) Base RI'!F219</f>
        <v>2110</v>
      </c>
      <c r="J219" s="10">
        <f>+'A) Base RI'!G219+'A) Base RI'!H219</f>
        <v>1047.4000000000001</v>
      </c>
      <c r="K219" s="10">
        <f>+'A) Base RI'!I219</f>
        <v>0</v>
      </c>
      <c r="L219" s="10">
        <f>+'A) Base RI'!J219</f>
        <v>1202.69</v>
      </c>
      <c r="M219" s="10">
        <f>+'A) Base RI'!K219</f>
        <v>0</v>
      </c>
      <c r="N219" s="10">
        <f>+'A) Base RI'!Q219</f>
        <v>0</v>
      </c>
      <c r="O219" s="10">
        <f t="shared" si="19"/>
        <v>35722.916666666672</v>
      </c>
      <c r="P219" s="10">
        <f>+'A) Base RI'!L219</f>
        <v>21433.75</v>
      </c>
      <c r="Q219" s="35">
        <f>'A) Base RI'!AR219</f>
        <v>0.6</v>
      </c>
      <c r="R219" s="2">
        <f t="shared" si="20"/>
        <v>399840.67666666675</v>
      </c>
      <c r="S219" s="34">
        <f>+'A) Base RI'!AM219</f>
        <v>72</v>
      </c>
      <c r="T219" s="2">
        <f t="shared" si="21"/>
        <v>362007.76000000007</v>
      </c>
      <c r="U219" s="2">
        <f t="shared" si="22"/>
        <v>5553.3427314814826</v>
      </c>
      <c r="V219" s="10">
        <f>+'A) Base RI'!O219</f>
        <v>27639.599999999999</v>
      </c>
      <c r="W219" s="10">
        <f>+'A) Base RI'!P219</f>
        <v>11385</v>
      </c>
      <c r="X219" s="10">
        <f>+'A) Base RI'!R219</f>
        <v>5162.5</v>
      </c>
      <c r="Y219" s="2">
        <f t="shared" si="23"/>
        <v>44187.1</v>
      </c>
      <c r="Z219" s="10">
        <f>+'A) Base RI'!N219</f>
        <v>5549.6</v>
      </c>
      <c r="AA219" s="10">
        <f>+'A) Base RI'!S219+'A) Base RI'!T219</f>
        <v>75</v>
      </c>
      <c r="AB219" s="10">
        <f>+'A) Base RI'!U219</f>
        <v>1375</v>
      </c>
      <c r="AC219" s="10">
        <f>+'A) Base RI'!V219</f>
        <v>0</v>
      </c>
      <c r="AD219" s="10">
        <f>+'A) Base RI'!W219</f>
        <v>0</v>
      </c>
      <c r="AE219" s="10">
        <f>+'A) Base RI'!Y219</f>
        <v>3414</v>
      </c>
      <c r="AF219" s="10">
        <f>+'A) Base RI'!Z219</f>
        <v>366</v>
      </c>
      <c r="AG219" s="10">
        <f>+'A) Base RI'!AA219</f>
        <v>31370</v>
      </c>
      <c r="AH219" s="10">
        <f>+'A) Base RI'!AB219</f>
        <v>0</v>
      </c>
      <c r="AI219" s="10">
        <f>+'A) Base RI'!AC219</f>
        <v>23828</v>
      </c>
      <c r="AJ219" s="10">
        <f>+'A) Base RI'!AD219</f>
        <v>2049</v>
      </c>
      <c r="AK219" s="10">
        <f>+'A) Base RI'!AE219</f>
        <v>733</v>
      </c>
      <c r="AL219" s="10">
        <f>+'A) Base RI'!AF219</f>
        <v>0</v>
      </c>
      <c r="AM219" s="10">
        <f>+'A) Base RI'!AG219</f>
        <v>0</v>
      </c>
      <c r="AN219" s="10">
        <f>+'A) Base RI'!AH219</f>
        <v>0</v>
      </c>
      <c r="AO219" s="10">
        <f>+'A) Base RI'!AI219</f>
        <v>0</v>
      </c>
      <c r="AP219" s="10">
        <f>+'A) Base RI'!AJ219</f>
        <v>0</v>
      </c>
      <c r="AQ219" s="10">
        <f>+'A) Base RI'!AK219</f>
        <v>0</v>
      </c>
      <c r="AR219" s="10">
        <f>'A) Base RI'!AN219</f>
        <v>265</v>
      </c>
    </row>
    <row r="220" spans="1:44" x14ac:dyDescent="0.25">
      <c r="A220" s="8">
        <f>'A) Base RI'!A220</f>
        <v>5749</v>
      </c>
      <c r="B220" s="33" t="str">
        <f>'A) Base RI'!B220</f>
        <v>Chavornay</v>
      </c>
      <c r="C220" s="10">
        <f>'A) Base RI'!C220+'A) Base RI'!D220</f>
        <v>8569530.2599999998</v>
      </c>
      <c r="D220" s="10">
        <f>'A) Base RI'!AO220</f>
        <v>-215149.95</v>
      </c>
      <c r="E220" s="32">
        <f>'A) Base RI'!AP220</f>
        <v>0</v>
      </c>
      <c r="F220" s="32">
        <f>'A) Base RI'!AQ220</f>
        <v>-696.82</v>
      </c>
      <c r="G220" s="2">
        <f t="shared" si="18"/>
        <v>8353683.4899999993</v>
      </c>
      <c r="H220" s="10">
        <f>+'A) Base RI'!E220</f>
        <v>0</v>
      </c>
      <c r="I220" s="10">
        <f>+'A) Base RI'!F220</f>
        <v>0</v>
      </c>
      <c r="J220" s="10">
        <f>+'A) Base RI'!G220+'A) Base RI'!H220</f>
        <v>680344.1</v>
      </c>
      <c r="K220" s="10">
        <f>+'A) Base RI'!I220</f>
        <v>0</v>
      </c>
      <c r="L220" s="10">
        <f>+'A) Base RI'!J220</f>
        <v>194960.79</v>
      </c>
      <c r="M220" s="10">
        <f>+'A) Base RI'!K220</f>
        <v>68217.850000000006</v>
      </c>
      <c r="N220" s="10">
        <f>+'A) Base RI'!Q220</f>
        <v>66804.34</v>
      </c>
      <c r="O220" s="10">
        <f t="shared" si="19"/>
        <v>771803.55</v>
      </c>
      <c r="P220" s="10">
        <f>+'A) Base RI'!L220</f>
        <v>771803.55</v>
      </c>
      <c r="Q220" s="35">
        <f>'A) Base RI'!AR220</f>
        <v>1</v>
      </c>
      <c r="R220" s="2">
        <f t="shared" si="20"/>
        <v>10135814.119999999</v>
      </c>
      <c r="S220" s="34">
        <f>+'A) Base RI'!AM220</f>
        <v>72</v>
      </c>
      <c r="T220" s="2">
        <f t="shared" si="21"/>
        <v>9295792.7199999988</v>
      </c>
      <c r="U220" s="2">
        <f t="shared" si="22"/>
        <v>140775.19611111109</v>
      </c>
      <c r="V220" s="10">
        <f>+'A) Base RI'!O220</f>
        <v>5808</v>
      </c>
      <c r="W220" s="10">
        <f>+'A) Base RI'!P220</f>
        <v>243609.45</v>
      </c>
      <c r="X220" s="10">
        <f>+'A) Base RI'!R220</f>
        <v>140242.1</v>
      </c>
      <c r="Y220" s="2">
        <f t="shared" si="23"/>
        <v>389659.55000000005</v>
      </c>
      <c r="Z220" s="10">
        <f>+'A) Base RI'!N220</f>
        <v>656402.80000000005</v>
      </c>
      <c r="AA220" s="10">
        <f>+'A) Base RI'!S220+'A) Base RI'!T220</f>
        <v>10979.45</v>
      </c>
      <c r="AB220" s="10">
        <f>+'A) Base RI'!U220</f>
        <v>26200</v>
      </c>
      <c r="AC220" s="10">
        <f>+'A) Base RI'!V220</f>
        <v>0</v>
      </c>
      <c r="AD220" s="10">
        <f>+'A) Base RI'!W220</f>
        <v>0</v>
      </c>
      <c r="AE220" s="10">
        <f>+'A) Base RI'!Y220</f>
        <v>68463.899999999994</v>
      </c>
      <c r="AF220" s="10">
        <f>+'A) Base RI'!Z220</f>
        <v>0</v>
      </c>
      <c r="AG220" s="10">
        <f>+'A) Base RI'!AA220</f>
        <v>739432.8</v>
      </c>
      <c r="AH220" s="10">
        <f>+'A) Base RI'!AB220</f>
        <v>0</v>
      </c>
      <c r="AI220" s="10">
        <f>+'A) Base RI'!AC220</f>
        <v>620168.77</v>
      </c>
      <c r="AJ220" s="10">
        <f>+'A) Base RI'!AD220</f>
        <v>56294.05</v>
      </c>
      <c r="AK220" s="10">
        <f>+'A) Base RI'!AE220</f>
        <v>0</v>
      </c>
      <c r="AL220" s="10">
        <f>+'A) Base RI'!AF220</f>
        <v>0</v>
      </c>
      <c r="AM220" s="10">
        <f>+'A) Base RI'!AG220</f>
        <v>0</v>
      </c>
      <c r="AN220" s="10">
        <f>+'A) Base RI'!AH220</f>
        <v>173620.15</v>
      </c>
      <c r="AO220" s="10">
        <f>+'A) Base RI'!AI220</f>
        <v>0</v>
      </c>
      <c r="AP220" s="10">
        <f>+'A) Base RI'!AJ220</f>
        <v>0</v>
      </c>
      <c r="AQ220" s="10">
        <f>+'A) Base RI'!AK220</f>
        <v>0</v>
      </c>
      <c r="AR220" s="10">
        <f>'A) Base RI'!AN220</f>
        <v>4996</v>
      </c>
    </row>
    <row r="221" spans="1:44" x14ac:dyDescent="0.25">
      <c r="A221" s="8">
        <f>'A) Base RI'!A221</f>
        <v>5750</v>
      </c>
      <c r="B221" s="33" t="str">
        <f>'A) Base RI'!B221</f>
        <v>Les Clées</v>
      </c>
      <c r="C221" s="10">
        <f>'A) Base RI'!C221+'A) Base RI'!D221</f>
        <v>408281.97000000003</v>
      </c>
      <c r="D221" s="10">
        <f>'A) Base RI'!AO221</f>
        <v>-60324.88</v>
      </c>
      <c r="E221" s="32">
        <f>'A) Base RI'!AP221</f>
        <v>0</v>
      </c>
      <c r="F221" s="32">
        <f>'A) Base RI'!AQ221</f>
        <v>-337.25</v>
      </c>
      <c r="G221" s="2">
        <f t="shared" si="18"/>
        <v>347619.84000000003</v>
      </c>
      <c r="H221" s="10">
        <f>+'A) Base RI'!E221</f>
        <v>0</v>
      </c>
      <c r="I221" s="10">
        <f>+'A) Base RI'!F221</f>
        <v>1070</v>
      </c>
      <c r="J221" s="10">
        <f>+'A) Base RI'!G221+'A) Base RI'!H221</f>
        <v>-652.19999999999993</v>
      </c>
      <c r="K221" s="10">
        <f>+'A) Base RI'!I221</f>
        <v>0</v>
      </c>
      <c r="L221" s="10">
        <f>+'A) Base RI'!J221</f>
        <v>10349.67</v>
      </c>
      <c r="M221" s="10">
        <f>+'A) Base RI'!K221</f>
        <v>230.65</v>
      </c>
      <c r="N221" s="10">
        <f>+'A) Base RI'!Q221</f>
        <v>31379.14</v>
      </c>
      <c r="O221" s="10">
        <f t="shared" si="19"/>
        <v>22428.250000000004</v>
      </c>
      <c r="P221" s="10">
        <f>+'A) Base RI'!L221</f>
        <v>13456.95</v>
      </c>
      <c r="Q221" s="35">
        <f>'A) Base RI'!AR221</f>
        <v>0.6</v>
      </c>
      <c r="R221" s="2">
        <f t="shared" si="20"/>
        <v>412425.35000000003</v>
      </c>
      <c r="S221" s="34">
        <f>+'A) Base RI'!AM221</f>
        <v>80</v>
      </c>
      <c r="T221" s="2">
        <f t="shared" si="21"/>
        <v>388696.45</v>
      </c>
      <c r="U221" s="2">
        <f t="shared" si="22"/>
        <v>5155.3168750000004</v>
      </c>
      <c r="V221" s="10">
        <f>+'A) Base RI'!O221</f>
        <v>0</v>
      </c>
      <c r="W221" s="10">
        <f>+'A) Base RI'!P221</f>
        <v>0</v>
      </c>
      <c r="X221" s="10">
        <f>+'A) Base RI'!R221</f>
        <v>174.95</v>
      </c>
      <c r="Y221" s="2">
        <f t="shared" si="23"/>
        <v>174.95</v>
      </c>
      <c r="Z221" s="10">
        <f>+'A) Base RI'!N221</f>
        <v>0</v>
      </c>
      <c r="AA221" s="10">
        <f>+'A) Base RI'!S221+'A) Base RI'!T221</f>
        <v>0</v>
      </c>
      <c r="AB221" s="10">
        <f>+'A) Base RI'!U221</f>
        <v>800</v>
      </c>
      <c r="AC221" s="10">
        <f>+'A) Base RI'!V221</f>
        <v>0</v>
      </c>
      <c r="AD221" s="10">
        <f>+'A) Base RI'!W221</f>
        <v>0</v>
      </c>
      <c r="AE221" s="10">
        <f>+'A) Base RI'!Y221</f>
        <v>1707.3</v>
      </c>
      <c r="AF221" s="10">
        <f>+'A) Base RI'!Z221</f>
        <v>0</v>
      </c>
      <c r="AG221" s="10">
        <f>+'A) Base RI'!AA221</f>
        <v>35234</v>
      </c>
      <c r="AH221" s="10">
        <f>+'A) Base RI'!AB221</f>
        <v>0</v>
      </c>
      <c r="AI221" s="10">
        <f>+'A) Base RI'!AC221</f>
        <v>20241.02</v>
      </c>
      <c r="AJ221" s="10">
        <f>+'A) Base RI'!AD221</f>
        <v>1748.85</v>
      </c>
      <c r="AK221" s="10" t="str">
        <f>+'A) Base RI'!AE221</f>
        <v/>
      </c>
      <c r="AL221" s="10" t="str">
        <f>+'A) Base RI'!AF221</f>
        <v/>
      </c>
      <c r="AM221" s="10">
        <f>+'A) Base RI'!AG221</f>
        <v>246</v>
      </c>
      <c r="AN221" s="10">
        <f>+'A) Base RI'!AH221</f>
        <v>4688.1499999999996</v>
      </c>
      <c r="AO221" s="10">
        <f>+'A) Base RI'!AI221</f>
        <v>0</v>
      </c>
      <c r="AP221" s="10">
        <f>+'A) Base RI'!AJ221</f>
        <v>0</v>
      </c>
      <c r="AQ221" s="10">
        <f>+'A) Base RI'!AK221</f>
        <v>0</v>
      </c>
      <c r="AR221" s="10">
        <f>'A) Base RI'!AN221</f>
        <v>185</v>
      </c>
    </row>
    <row r="222" spans="1:44" x14ac:dyDescent="0.25">
      <c r="A222" s="8">
        <f>'A) Base RI'!A222</f>
        <v>5752</v>
      </c>
      <c r="B222" s="33" t="str">
        <f>'A) Base RI'!B222</f>
        <v>Croy</v>
      </c>
      <c r="C222" s="10">
        <f>'A) Base RI'!C222+'A) Base RI'!D222</f>
        <v>767349.99</v>
      </c>
      <c r="D222" s="10">
        <f>'A) Base RI'!AO222</f>
        <v>-47433.3</v>
      </c>
      <c r="E222" s="32">
        <f>'A) Base RI'!AP222</f>
        <v>0</v>
      </c>
      <c r="F222" s="32">
        <f>'A) Base RI'!AQ222</f>
        <v>-1430.85</v>
      </c>
      <c r="G222" s="2">
        <f t="shared" si="18"/>
        <v>718485.84</v>
      </c>
      <c r="H222" s="10">
        <f>+'A) Base RI'!E222</f>
        <v>0</v>
      </c>
      <c r="I222" s="10">
        <f>+'A) Base RI'!F222</f>
        <v>0</v>
      </c>
      <c r="J222" s="10">
        <f>+'A) Base RI'!G222+'A) Base RI'!H222</f>
        <v>1786.75</v>
      </c>
      <c r="K222" s="10">
        <f>+'A) Base RI'!I222</f>
        <v>0</v>
      </c>
      <c r="L222" s="10">
        <f>+'A) Base RI'!J222</f>
        <v>16741.73</v>
      </c>
      <c r="M222" s="10">
        <f>+'A) Base RI'!K222</f>
        <v>741.3</v>
      </c>
      <c r="N222" s="10">
        <f>+'A) Base RI'!Q222</f>
        <v>4712.21</v>
      </c>
      <c r="O222" s="10">
        <f t="shared" si="19"/>
        <v>53254.571428571428</v>
      </c>
      <c r="P222" s="10">
        <f>+'A) Base RI'!L222</f>
        <v>37278.199999999997</v>
      </c>
      <c r="Q222" s="35">
        <f>'A) Base RI'!AR222</f>
        <v>0.7</v>
      </c>
      <c r="R222" s="2">
        <f t="shared" si="20"/>
        <v>795722.40142857144</v>
      </c>
      <c r="S222" s="34">
        <f>+'A) Base RI'!AM222</f>
        <v>74</v>
      </c>
      <c r="T222" s="2">
        <f t="shared" si="21"/>
        <v>741726.52999999991</v>
      </c>
      <c r="U222" s="2">
        <f t="shared" si="22"/>
        <v>10753.005424710425</v>
      </c>
      <c r="V222" s="10">
        <f>+'A) Base RI'!O222</f>
        <v>6783.4</v>
      </c>
      <c r="W222" s="10">
        <f>+'A) Base RI'!P222</f>
        <v>16997.2</v>
      </c>
      <c r="X222" s="10">
        <f>+'A) Base RI'!R222</f>
        <v>13223.5</v>
      </c>
      <c r="Y222" s="2">
        <f t="shared" si="23"/>
        <v>37004.1</v>
      </c>
      <c r="Z222" s="10">
        <f>+'A) Base RI'!N222</f>
        <v>27809.35</v>
      </c>
      <c r="AA222" s="10">
        <f>+'A) Base RI'!S222+'A) Base RI'!T222</f>
        <v>0</v>
      </c>
      <c r="AB222" s="10">
        <f>+'A) Base RI'!U222</f>
        <v>1850</v>
      </c>
      <c r="AC222" s="10">
        <f>+'A) Base RI'!V222</f>
        <v>0</v>
      </c>
      <c r="AD222" s="10">
        <f>+'A) Base RI'!W222</f>
        <v>0</v>
      </c>
      <c r="AE222" s="10">
        <f>+'A) Base RI'!Y222</f>
        <v>0</v>
      </c>
      <c r="AF222" s="10">
        <f>+'A) Base RI'!Z222</f>
        <v>0</v>
      </c>
      <c r="AG222" s="10">
        <f>+'A) Base RI'!AA222</f>
        <v>58804.800000000003</v>
      </c>
      <c r="AH222" s="10">
        <f>+'A) Base RI'!AB222</f>
        <v>0</v>
      </c>
      <c r="AI222" s="10">
        <f>+'A) Base RI'!AC222</f>
        <v>28735</v>
      </c>
      <c r="AJ222" s="10">
        <f>+'A) Base RI'!AD222</f>
        <v>0</v>
      </c>
      <c r="AK222" s="10">
        <f>+'A) Base RI'!AE222</f>
        <v>0</v>
      </c>
      <c r="AL222" s="10">
        <f>+'A) Base RI'!AF222</f>
        <v>0</v>
      </c>
      <c r="AM222" s="10">
        <f>+'A) Base RI'!AG222</f>
        <v>0</v>
      </c>
      <c r="AN222" s="10">
        <f>+'A) Base RI'!AH222</f>
        <v>0</v>
      </c>
      <c r="AO222" s="10">
        <f>+'A) Base RI'!AI222</f>
        <v>0</v>
      </c>
      <c r="AP222" s="10">
        <f>+'A) Base RI'!AJ222</f>
        <v>0</v>
      </c>
      <c r="AQ222" s="10">
        <f>+'A) Base RI'!AK222</f>
        <v>0</v>
      </c>
      <c r="AR222" s="10">
        <f>'A) Base RI'!AN222</f>
        <v>404</v>
      </c>
    </row>
    <row r="223" spans="1:44" x14ac:dyDescent="0.25">
      <c r="A223" s="8">
        <f>'A) Base RI'!A223</f>
        <v>5754</v>
      </c>
      <c r="B223" s="33" t="str">
        <f>'A) Base RI'!B223</f>
        <v>Juriens</v>
      </c>
      <c r="C223" s="10">
        <f>'A) Base RI'!C223+'A) Base RI'!D223</f>
        <v>582363.94000000006</v>
      </c>
      <c r="D223" s="10">
        <f>'A) Base RI'!AO223</f>
        <v>-1905.45</v>
      </c>
      <c r="E223" s="32">
        <f>'A) Base RI'!AP223</f>
        <v>0</v>
      </c>
      <c r="F223" s="32">
        <f>'A) Base RI'!AQ223</f>
        <v>-35.479999999999997</v>
      </c>
      <c r="G223" s="2">
        <f t="shared" si="18"/>
        <v>580423.01000000013</v>
      </c>
      <c r="H223" s="10">
        <f>+'A) Base RI'!E223</f>
        <v>0</v>
      </c>
      <c r="I223" s="10">
        <f>+'A) Base RI'!F223</f>
        <v>0</v>
      </c>
      <c r="J223" s="10">
        <f>+'A) Base RI'!G223+'A) Base RI'!H223</f>
        <v>1418.1999999999998</v>
      </c>
      <c r="K223" s="10">
        <f>+'A) Base RI'!I223</f>
        <v>0</v>
      </c>
      <c r="L223" s="10">
        <f>+'A) Base RI'!J223</f>
        <v>13714.27</v>
      </c>
      <c r="M223" s="10">
        <f>+'A) Base RI'!K223</f>
        <v>931</v>
      </c>
      <c r="N223" s="10">
        <f>+'A) Base RI'!Q223</f>
        <v>0</v>
      </c>
      <c r="O223" s="10">
        <f t="shared" si="19"/>
        <v>38354.1</v>
      </c>
      <c r="P223" s="10">
        <f>+'A) Base RI'!L223</f>
        <v>38354.1</v>
      </c>
      <c r="Q223" s="35">
        <f>'A) Base RI'!AR223</f>
        <v>1</v>
      </c>
      <c r="R223" s="2">
        <f t="shared" si="20"/>
        <v>634840.58000000007</v>
      </c>
      <c r="S223" s="34">
        <f>+'A) Base RI'!AM223</f>
        <v>79</v>
      </c>
      <c r="T223" s="2">
        <f t="shared" si="21"/>
        <v>595555.4800000001</v>
      </c>
      <c r="U223" s="2">
        <f t="shared" si="22"/>
        <v>8035.95670886076</v>
      </c>
      <c r="V223" s="10">
        <f>+'A) Base RI'!O223</f>
        <v>0</v>
      </c>
      <c r="W223" s="10">
        <f>+'A) Base RI'!P223</f>
        <v>8614.9</v>
      </c>
      <c r="X223" s="10">
        <f>+'A) Base RI'!R223</f>
        <v>0</v>
      </c>
      <c r="Y223" s="2">
        <f t="shared" si="23"/>
        <v>8614.9</v>
      </c>
      <c r="Z223" s="10">
        <f>+'A) Base RI'!N223</f>
        <v>1446.55</v>
      </c>
      <c r="AA223" s="10">
        <f>+'A) Base RI'!S223+'A) Base RI'!T223</f>
        <v>0</v>
      </c>
      <c r="AB223" s="10">
        <f>+'A) Base RI'!U223</f>
        <v>1520</v>
      </c>
      <c r="AC223" s="10">
        <f>+'A) Base RI'!V223</f>
        <v>0</v>
      </c>
      <c r="AD223" s="10">
        <f>+'A) Base RI'!W223</f>
        <v>0</v>
      </c>
      <c r="AE223" s="10">
        <f>+'A) Base RI'!Y223</f>
        <v>22150</v>
      </c>
      <c r="AF223" s="10">
        <f>+'A) Base RI'!Z223</f>
        <v>0</v>
      </c>
      <c r="AG223" s="10">
        <f>+'A) Base RI'!AA223</f>
        <v>39590</v>
      </c>
      <c r="AH223" s="10">
        <f>+'A) Base RI'!AB223</f>
        <v>0</v>
      </c>
      <c r="AI223" s="10">
        <f>+'A) Base RI'!AC223</f>
        <v>20613</v>
      </c>
      <c r="AJ223" s="10">
        <f>+'A) Base RI'!AD223</f>
        <v>7760</v>
      </c>
      <c r="AK223" s="10">
        <f>+'A) Base RI'!AE223</f>
        <v>0</v>
      </c>
      <c r="AL223" s="10">
        <f>+'A) Base RI'!AF223</f>
        <v>0</v>
      </c>
      <c r="AM223" s="10">
        <f>+'A) Base RI'!AG223</f>
        <v>0</v>
      </c>
      <c r="AN223" s="10">
        <f>+'A) Base RI'!AH223</f>
        <v>6949</v>
      </c>
      <c r="AO223" s="10">
        <f>+'A) Base RI'!AI223</f>
        <v>0</v>
      </c>
      <c r="AP223" s="10">
        <f>+'A) Base RI'!AJ223</f>
        <v>0</v>
      </c>
      <c r="AQ223" s="10">
        <f>+'A) Base RI'!AK223</f>
        <v>0</v>
      </c>
      <c r="AR223" s="10">
        <f>'A) Base RI'!AN223</f>
        <v>308</v>
      </c>
    </row>
    <row r="224" spans="1:44" x14ac:dyDescent="0.25">
      <c r="A224" s="8">
        <f>'A) Base RI'!A224</f>
        <v>5755</v>
      </c>
      <c r="B224" s="33" t="str">
        <f>'A) Base RI'!B224</f>
        <v>Lignerolle</v>
      </c>
      <c r="C224" s="10">
        <f>'A) Base RI'!C224+'A) Base RI'!D224</f>
        <v>689195</v>
      </c>
      <c r="D224" s="10">
        <f>'A) Base RI'!AO224</f>
        <v>-17680.38</v>
      </c>
      <c r="E224" s="32">
        <f>'A) Base RI'!AP224</f>
        <v>0</v>
      </c>
      <c r="F224" s="32">
        <f>'A) Base RI'!AQ224</f>
        <v>-16.329999999999998</v>
      </c>
      <c r="G224" s="2">
        <f t="shared" si="18"/>
        <v>671498.29</v>
      </c>
      <c r="H224" s="10">
        <f>+'A) Base RI'!E224</f>
        <v>0</v>
      </c>
      <c r="I224" s="10">
        <f>+'A) Base RI'!F224</f>
        <v>0</v>
      </c>
      <c r="J224" s="10">
        <f>+'A) Base RI'!G224+'A) Base RI'!H224</f>
        <v>16087.25</v>
      </c>
      <c r="K224" s="10">
        <f>+'A) Base RI'!I224</f>
        <v>7604</v>
      </c>
      <c r="L224" s="10">
        <f>+'A) Base RI'!J224</f>
        <v>11297.85</v>
      </c>
      <c r="M224" s="10">
        <f>+'A) Base RI'!K224</f>
        <v>852.6</v>
      </c>
      <c r="N224" s="10">
        <f>+'A) Base RI'!Q224</f>
        <v>449.88</v>
      </c>
      <c r="O224" s="10">
        <f t="shared" si="19"/>
        <v>58993.142857142855</v>
      </c>
      <c r="P224" s="10">
        <f>+'A) Base RI'!L224</f>
        <v>41295.199999999997</v>
      </c>
      <c r="Q224" s="35">
        <f>'A) Base RI'!AR224</f>
        <v>0.7</v>
      </c>
      <c r="R224" s="2">
        <f t="shared" si="20"/>
        <v>766783.01285714284</v>
      </c>
      <c r="S224" s="34">
        <f>+'A) Base RI'!AM224</f>
        <v>80</v>
      </c>
      <c r="T224" s="2">
        <f t="shared" si="21"/>
        <v>706937.27</v>
      </c>
      <c r="U224" s="2">
        <f t="shared" si="22"/>
        <v>9584.7876607142862</v>
      </c>
      <c r="V224" s="10">
        <f>+'A) Base RI'!O224</f>
        <v>0</v>
      </c>
      <c r="W224" s="10">
        <f>+'A) Base RI'!P224</f>
        <v>22234.65</v>
      </c>
      <c r="X224" s="10">
        <f>+'A) Base RI'!R224</f>
        <v>8883.5</v>
      </c>
      <c r="Y224" s="2">
        <f t="shared" si="23"/>
        <v>31118.15</v>
      </c>
      <c r="Z224" s="10">
        <f>+'A) Base RI'!N224</f>
        <v>18805.45</v>
      </c>
      <c r="AA224" s="10">
        <f>+'A) Base RI'!S224+'A) Base RI'!T224</f>
        <v>0</v>
      </c>
      <c r="AB224" s="10">
        <f>+'A) Base RI'!U224</f>
        <v>2850</v>
      </c>
      <c r="AC224" s="10">
        <f>+'A) Base RI'!V224</f>
        <v>0</v>
      </c>
      <c r="AD224" s="10">
        <f>+'A) Base RI'!W224</f>
        <v>0</v>
      </c>
      <c r="AE224" s="10">
        <f>+'A) Base RI'!Y224</f>
        <v>4320</v>
      </c>
      <c r="AF224" s="10">
        <f>+'A) Base RI'!Z224</f>
        <v>0</v>
      </c>
      <c r="AG224" s="10">
        <f>+'A) Base RI'!AA224</f>
        <v>59396.75</v>
      </c>
      <c r="AH224" s="10">
        <f>+'A) Base RI'!AB224</f>
        <v>0</v>
      </c>
      <c r="AI224" s="10">
        <f>+'A) Base RI'!AC224</f>
        <v>48284.98</v>
      </c>
      <c r="AJ224" s="10">
        <f>+'A) Base RI'!AD224</f>
        <v>4320</v>
      </c>
      <c r="AK224" s="10">
        <f>+'A) Base RI'!AE224</f>
        <v>0</v>
      </c>
      <c r="AL224" s="10">
        <f>+'A) Base RI'!AF224</f>
        <v>0</v>
      </c>
      <c r="AM224" s="10">
        <f>+'A) Base RI'!AG224</f>
        <v>0</v>
      </c>
      <c r="AN224" s="10">
        <f>+'A) Base RI'!AH224</f>
        <v>0</v>
      </c>
      <c r="AO224" s="10">
        <f>+'A) Base RI'!AI224</f>
        <v>0</v>
      </c>
      <c r="AP224" s="10">
        <f>+'A) Base RI'!AJ224</f>
        <v>0</v>
      </c>
      <c r="AQ224" s="10">
        <f>+'A) Base RI'!AK224</f>
        <v>0</v>
      </c>
      <c r="AR224" s="10">
        <f>'A) Base RI'!AN224</f>
        <v>422</v>
      </c>
    </row>
    <row r="225" spans="1:44" x14ac:dyDescent="0.25">
      <c r="A225" s="8">
        <f>'A) Base RI'!A225</f>
        <v>5756</v>
      </c>
      <c r="B225" s="33" t="str">
        <f>'A) Base RI'!B225</f>
        <v>Montcherand</v>
      </c>
      <c r="C225" s="10">
        <f>'A) Base RI'!C225+'A) Base RI'!D225</f>
        <v>1125450.1099999999</v>
      </c>
      <c r="D225" s="10">
        <f>'A) Base RI'!AO225</f>
        <v>-8166.04</v>
      </c>
      <c r="E225" s="32">
        <f>'A) Base RI'!AP225</f>
        <v>0</v>
      </c>
      <c r="F225" s="32">
        <f>'A) Base RI'!AQ225</f>
        <v>0</v>
      </c>
      <c r="G225" s="2">
        <f t="shared" si="18"/>
        <v>1117284.0699999998</v>
      </c>
      <c r="H225" s="10">
        <f>+'A) Base RI'!E225</f>
        <v>0</v>
      </c>
      <c r="I225" s="10">
        <f>+'A) Base RI'!F225</f>
        <v>0</v>
      </c>
      <c r="J225" s="10">
        <f>+'A) Base RI'!G225+'A) Base RI'!H225</f>
        <v>-75419.600000000006</v>
      </c>
      <c r="K225" s="10">
        <f>+'A) Base RI'!I225</f>
        <v>0</v>
      </c>
      <c r="L225" s="10">
        <f>+'A) Base RI'!J225</f>
        <v>13298.65</v>
      </c>
      <c r="M225" s="10">
        <f>+'A) Base RI'!K225</f>
        <v>214.3</v>
      </c>
      <c r="N225" s="10">
        <f>+'A) Base RI'!Q225</f>
        <v>3430.66</v>
      </c>
      <c r="O225" s="10">
        <f t="shared" si="19"/>
        <v>82008.2</v>
      </c>
      <c r="P225" s="10">
        <f>+'A) Base RI'!L225</f>
        <v>82008.2</v>
      </c>
      <c r="Q225" s="35">
        <f>'A) Base RI'!AR225</f>
        <v>1</v>
      </c>
      <c r="R225" s="2">
        <f t="shared" si="20"/>
        <v>1140816.2799999998</v>
      </c>
      <c r="S225" s="34">
        <f>+'A) Base RI'!AM225</f>
        <v>72</v>
      </c>
      <c r="T225" s="2">
        <f t="shared" si="21"/>
        <v>1058593.7799999998</v>
      </c>
      <c r="U225" s="2">
        <f t="shared" si="22"/>
        <v>15844.670555555553</v>
      </c>
      <c r="V225" s="10">
        <f>+'A) Base RI'!O225</f>
        <v>0</v>
      </c>
      <c r="W225" s="10">
        <f>+'A) Base RI'!P225</f>
        <v>13260.8</v>
      </c>
      <c r="X225" s="10">
        <f>+'A) Base RI'!R225</f>
        <v>1978.45</v>
      </c>
      <c r="Y225" s="2">
        <f t="shared" si="23"/>
        <v>15239.25</v>
      </c>
      <c r="Z225" s="10">
        <f>+'A) Base RI'!N225</f>
        <v>22927.65</v>
      </c>
      <c r="AA225" s="10">
        <f>+'A) Base RI'!S225+'A) Base RI'!T225</f>
        <v>1425</v>
      </c>
      <c r="AB225" s="10">
        <f>+'A) Base RI'!U225</f>
        <v>2700</v>
      </c>
      <c r="AC225" s="10">
        <f>+'A) Base RI'!V225</f>
        <v>0</v>
      </c>
      <c r="AD225" s="10">
        <f>+'A) Base RI'!W225</f>
        <v>0</v>
      </c>
      <c r="AE225" s="10">
        <f>+'A) Base RI'!Y225</f>
        <v>4393.3500000000004</v>
      </c>
      <c r="AF225" s="10">
        <f>+'A) Base RI'!Z225</f>
        <v>0</v>
      </c>
      <c r="AG225" s="10">
        <f>+'A) Base RI'!AA225</f>
        <v>55046</v>
      </c>
      <c r="AH225" s="10">
        <f>+'A) Base RI'!AB225</f>
        <v>0</v>
      </c>
      <c r="AI225" s="10">
        <f>+'A) Base RI'!AC225</f>
        <v>29933</v>
      </c>
      <c r="AJ225" s="10">
        <f>+'A) Base RI'!AD225</f>
        <v>1537.65</v>
      </c>
      <c r="AK225" s="10">
        <f>+'A) Base RI'!AE225</f>
        <v>0</v>
      </c>
      <c r="AL225" s="10">
        <f>+'A) Base RI'!AF225</f>
        <v>0</v>
      </c>
      <c r="AM225" s="10">
        <f>+'A) Base RI'!AG225</f>
        <v>172.8</v>
      </c>
      <c r="AN225" s="10">
        <f>+'A) Base RI'!AH225</f>
        <v>9951.25</v>
      </c>
      <c r="AO225" s="10">
        <f>+'A) Base RI'!AI225</f>
        <v>0</v>
      </c>
      <c r="AP225" s="10">
        <f>+'A) Base RI'!AJ225</f>
        <v>0</v>
      </c>
      <c r="AQ225" s="10">
        <f>+'A) Base RI'!AK225</f>
        <v>0</v>
      </c>
      <c r="AR225" s="10">
        <f>'A) Base RI'!AN225</f>
        <v>489</v>
      </c>
    </row>
    <row r="226" spans="1:44" x14ac:dyDescent="0.25">
      <c r="A226" s="8">
        <f>'A) Base RI'!A226</f>
        <v>5757</v>
      </c>
      <c r="B226" s="33" t="str">
        <f>'A) Base RI'!B226</f>
        <v>Orbe</v>
      </c>
      <c r="C226" s="10">
        <f>'A) Base RI'!C226+'A) Base RI'!D226</f>
        <v>12031977.07</v>
      </c>
      <c r="D226" s="10">
        <f>'A) Base RI'!AO226</f>
        <v>-315448.21000000002</v>
      </c>
      <c r="E226" s="32">
        <f>'A) Base RI'!AP226</f>
        <v>0</v>
      </c>
      <c r="F226" s="32">
        <f>'A) Base RI'!AQ226</f>
        <v>-464.95</v>
      </c>
      <c r="G226" s="2">
        <f t="shared" si="18"/>
        <v>11716063.91</v>
      </c>
      <c r="H226" s="10">
        <f>+'A) Base RI'!E226</f>
        <v>0</v>
      </c>
      <c r="I226" s="10">
        <f>+'A) Base RI'!F226</f>
        <v>0</v>
      </c>
      <c r="J226" s="10">
        <f>+'A) Base RI'!G226+'A) Base RI'!H226</f>
        <v>3893350.7</v>
      </c>
      <c r="K226" s="10">
        <f>+'A) Base RI'!I226</f>
        <v>0</v>
      </c>
      <c r="L226" s="10">
        <f>+'A) Base RI'!J226</f>
        <v>382468.85</v>
      </c>
      <c r="M226" s="10">
        <f>+'A) Base RI'!K226</f>
        <v>88823.9</v>
      </c>
      <c r="N226" s="10">
        <f>+'A) Base RI'!Q226</f>
        <v>159287.6</v>
      </c>
      <c r="O226" s="10">
        <f t="shared" si="19"/>
        <v>1281024.1499999999</v>
      </c>
      <c r="P226" s="10">
        <f>+'A) Base RI'!L226</f>
        <v>1281024.1499999999</v>
      </c>
      <c r="Q226" s="35">
        <f>'A) Base RI'!AR226</f>
        <v>1</v>
      </c>
      <c r="R226" s="2">
        <f t="shared" si="20"/>
        <v>17521019.109999999</v>
      </c>
      <c r="S226" s="34">
        <f>+'A) Base RI'!AM226</f>
        <v>77</v>
      </c>
      <c r="T226" s="2">
        <f t="shared" si="21"/>
        <v>16151171.059999999</v>
      </c>
      <c r="U226" s="2">
        <f t="shared" si="22"/>
        <v>227545.70272727273</v>
      </c>
      <c r="V226" s="10">
        <f>+'A) Base RI'!O226</f>
        <v>355462.8</v>
      </c>
      <c r="W226" s="10">
        <f>+'A) Base RI'!P226</f>
        <v>492875.3</v>
      </c>
      <c r="X226" s="10">
        <f>+'A) Base RI'!R226</f>
        <v>334359.05</v>
      </c>
      <c r="Y226" s="2">
        <f t="shared" si="23"/>
        <v>1182697.1499999999</v>
      </c>
      <c r="Z226" s="10">
        <f>+'A) Base RI'!N226</f>
        <v>2769162.05</v>
      </c>
      <c r="AA226" s="10">
        <f>+'A) Base RI'!S226+'A) Base RI'!T226</f>
        <v>39837.5</v>
      </c>
      <c r="AB226" s="10">
        <f>+'A) Base RI'!U226</f>
        <v>45680</v>
      </c>
      <c r="AC226" s="10">
        <f>+'A) Base RI'!V226</f>
        <v>618</v>
      </c>
      <c r="AD226" s="10">
        <f>+'A) Base RI'!W226</f>
        <v>0</v>
      </c>
      <c r="AE226" s="10">
        <f>+'A) Base RI'!Y226</f>
        <v>505975</v>
      </c>
      <c r="AF226" s="10">
        <f>+'A) Base RI'!Z226</f>
        <v>0</v>
      </c>
      <c r="AG226" s="10">
        <f>+'A) Base RI'!AA226</f>
        <v>1370463.29</v>
      </c>
      <c r="AH226" s="10">
        <f>+'A) Base RI'!AB226</f>
        <v>0</v>
      </c>
      <c r="AI226" s="10">
        <f>+'A) Base RI'!AC226</f>
        <v>930251.07</v>
      </c>
      <c r="AJ226" s="10">
        <f>+'A) Base RI'!AD226</f>
        <v>382474.8</v>
      </c>
      <c r="AK226" s="10">
        <f>+'A) Base RI'!AE226</f>
        <v>0</v>
      </c>
      <c r="AL226" s="10">
        <f>+'A) Base RI'!AF226</f>
        <v>0</v>
      </c>
      <c r="AM226" s="10">
        <f>+'A) Base RI'!AG226</f>
        <v>15209.8</v>
      </c>
      <c r="AN226" s="10">
        <f>+'A) Base RI'!AH226</f>
        <v>0</v>
      </c>
      <c r="AO226" s="10">
        <f>+'A) Base RI'!AI226</f>
        <v>159597.79999999999</v>
      </c>
      <c r="AP226" s="10">
        <f>+'A) Base RI'!AJ226</f>
        <v>159597.75</v>
      </c>
      <c r="AQ226" s="10">
        <f>+'A) Base RI'!AK226</f>
        <v>0</v>
      </c>
      <c r="AR226" s="10">
        <f>'A) Base RI'!AN226</f>
        <v>6942</v>
      </c>
    </row>
    <row r="227" spans="1:44" x14ac:dyDescent="0.25">
      <c r="A227" s="8">
        <f>'A) Base RI'!A227</f>
        <v>5758</v>
      </c>
      <c r="B227" s="33" t="str">
        <f>'A) Base RI'!B227</f>
        <v>La Praz</v>
      </c>
      <c r="C227" s="10">
        <f>'A) Base RI'!C227+'A) Base RI'!D227</f>
        <v>342850.74</v>
      </c>
      <c r="D227" s="10">
        <f>'A) Base RI'!AO227</f>
        <v>-1057.51</v>
      </c>
      <c r="E227" s="32">
        <f>'A) Base RI'!AP227</f>
        <v>0</v>
      </c>
      <c r="F227" s="32">
        <f>'A) Base RI'!AQ227</f>
        <v>0</v>
      </c>
      <c r="G227" s="2">
        <f t="shared" si="18"/>
        <v>341793.23</v>
      </c>
      <c r="H227" s="10">
        <f>+'A) Base RI'!E227</f>
        <v>0</v>
      </c>
      <c r="I227" s="10">
        <f>+'A) Base RI'!F227</f>
        <v>980</v>
      </c>
      <c r="J227" s="10">
        <f>+'A) Base RI'!G227+'A) Base RI'!H227</f>
        <v>1821.1499999999999</v>
      </c>
      <c r="K227" s="10">
        <f>+'A) Base RI'!I227</f>
        <v>0</v>
      </c>
      <c r="L227" s="10">
        <f>+'A) Base RI'!J227</f>
        <v>1215.27</v>
      </c>
      <c r="M227" s="10">
        <f>+'A) Base RI'!K227</f>
        <v>0</v>
      </c>
      <c r="N227" s="10">
        <f>+'A) Base RI'!Q227</f>
        <v>0</v>
      </c>
      <c r="O227" s="10">
        <f t="shared" si="19"/>
        <v>23739.333333333336</v>
      </c>
      <c r="P227" s="10">
        <f>+'A) Base RI'!L227</f>
        <v>21365.4</v>
      </c>
      <c r="Q227" s="35">
        <f>'A) Base RI'!AR227</f>
        <v>0.9</v>
      </c>
      <c r="R227" s="2">
        <f t="shared" si="20"/>
        <v>369548.98333333334</v>
      </c>
      <c r="S227" s="34">
        <f>+'A) Base RI'!AM227</f>
        <v>83</v>
      </c>
      <c r="T227" s="2">
        <f t="shared" si="21"/>
        <v>344829.65</v>
      </c>
      <c r="U227" s="2">
        <f t="shared" si="22"/>
        <v>4452.397389558233</v>
      </c>
      <c r="V227" s="10">
        <f>+'A) Base RI'!O227</f>
        <v>3013</v>
      </c>
      <c r="W227" s="10">
        <f>+'A) Base RI'!P227</f>
        <v>31142.35</v>
      </c>
      <c r="X227" s="10">
        <f>+'A) Base RI'!R227</f>
        <v>31124.3</v>
      </c>
      <c r="Y227" s="2">
        <f t="shared" si="23"/>
        <v>65279.649999999994</v>
      </c>
      <c r="Z227" s="10">
        <f>+'A) Base RI'!N227</f>
        <v>0</v>
      </c>
      <c r="AA227" s="10">
        <f>+'A) Base RI'!S227+'A) Base RI'!T227</f>
        <v>0</v>
      </c>
      <c r="AB227" s="10">
        <f>+'A) Base RI'!U227</f>
        <v>940</v>
      </c>
      <c r="AC227" s="10">
        <f>+'A) Base RI'!V227</f>
        <v>0</v>
      </c>
      <c r="AD227" s="10">
        <f>+'A) Base RI'!W227</f>
        <v>0</v>
      </c>
      <c r="AE227" s="10">
        <f>+'A) Base RI'!Y227</f>
        <v>5121</v>
      </c>
      <c r="AF227" s="10">
        <f>+'A) Base RI'!Z227</f>
        <v>0</v>
      </c>
      <c r="AG227" s="10">
        <f>+'A) Base RI'!AA227</f>
        <v>44548.2</v>
      </c>
      <c r="AH227" s="10">
        <f>+'A) Base RI'!AB227</f>
        <v>0</v>
      </c>
      <c r="AI227" s="10">
        <f>+'A) Base RI'!AC227</f>
        <v>13160.05</v>
      </c>
      <c r="AJ227" s="10">
        <f>+'A) Base RI'!AD227</f>
        <v>16900</v>
      </c>
      <c r="AK227" s="10">
        <f>+'A) Base RI'!AE227</f>
        <v>0</v>
      </c>
      <c r="AL227" s="10">
        <f>+'A) Base RI'!AF227</f>
        <v>0</v>
      </c>
      <c r="AM227" s="10">
        <f>+'A) Base RI'!AG227</f>
        <v>0</v>
      </c>
      <c r="AN227" s="10">
        <f>+'A) Base RI'!AH227</f>
        <v>4069.45</v>
      </c>
      <c r="AO227" s="10">
        <f>+'A) Base RI'!AI227</f>
        <v>0</v>
      </c>
      <c r="AP227" s="10">
        <f>+'A) Base RI'!AJ227</f>
        <v>0</v>
      </c>
      <c r="AQ227" s="10">
        <f>+'A) Base RI'!AK227</f>
        <v>0</v>
      </c>
      <c r="AR227" s="10">
        <f>'A) Base RI'!AN227</f>
        <v>165</v>
      </c>
    </row>
    <row r="228" spans="1:44" x14ac:dyDescent="0.25">
      <c r="A228" s="8">
        <f>'A) Base RI'!A228</f>
        <v>5759</v>
      </c>
      <c r="B228" s="33" t="str">
        <f>'A) Base RI'!B228</f>
        <v>Premier</v>
      </c>
      <c r="C228" s="10">
        <f>'A) Base RI'!C228+'A) Base RI'!D228</f>
        <v>357602.4</v>
      </c>
      <c r="D228" s="10">
        <f>'A) Base RI'!AO228</f>
        <v>-6732.12</v>
      </c>
      <c r="E228" s="32">
        <f>'A) Base RI'!AP228</f>
        <v>0</v>
      </c>
      <c r="F228" s="32">
        <f>'A) Base RI'!AQ228</f>
        <v>-29.68</v>
      </c>
      <c r="G228" s="2">
        <f t="shared" si="18"/>
        <v>350840.60000000003</v>
      </c>
      <c r="H228" s="10">
        <f>+'A) Base RI'!E228</f>
        <v>0</v>
      </c>
      <c r="I228" s="10">
        <f>+'A) Base RI'!F228</f>
        <v>0</v>
      </c>
      <c r="J228" s="10">
        <f>+'A) Base RI'!G228+'A) Base RI'!H228</f>
        <v>2.0000000000000693</v>
      </c>
      <c r="K228" s="10">
        <f>+'A) Base RI'!I228</f>
        <v>0</v>
      </c>
      <c r="L228" s="10">
        <f>+'A) Base RI'!J228</f>
        <v>5748.19</v>
      </c>
      <c r="M228" s="10">
        <f>+'A) Base RI'!K228</f>
        <v>242.95</v>
      </c>
      <c r="N228" s="10">
        <f>+'A) Base RI'!Q228</f>
        <v>813.8</v>
      </c>
      <c r="O228" s="10">
        <f t="shared" si="19"/>
        <v>26670.5</v>
      </c>
      <c r="P228" s="10">
        <f>+'A) Base RI'!L228</f>
        <v>26670.5</v>
      </c>
      <c r="Q228" s="35">
        <f>'A) Base RI'!AR228</f>
        <v>1</v>
      </c>
      <c r="R228" s="2">
        <f t="shared" si="20"/>
        <v>384318.04000000004</v>
      </c>
      <c r="S228" s="34">
        <f>+'A) Base RI'!AM228</f>
        <v>81</v>
      </c>
      <c r="T228" s="2">
        <f t="shared" si="21"/>
        <v>357404.59</v>
      </c>
      <c r="U228" s="2">
        <f t="shared" si="22"/>
        <v>4744.6671604938274</v>
      </c>
      <c r="V228" s="10">
        <f>+'A) Base RI'!O228</f>
        <v>0</v>
      </c>
      <c r="W228" s="10">
        <f>+'A) Base RI'!P228</f>
        <v>37367</v>
      </c>
      <c r="X228" s="10">
        <f>+'A) Base RI'!R228</f>
        <v>22213.4</v>
      </c>
      <c r="Y228" s="2">
        <f t="shared" si="23"/>
        <v>59580.4</v>
      </c>
      <c r="Z228" s="10">
        <f>+'A) Base RI'!N228</f>
        <v>2720.8</v>
      </c>
      <c r="AA228" s="10">
        <f>+'A) Base RI'!S228+'A) Base RI'!T228</f>
        <v>0</v>
      </c>
      <c r="AB228" s="10">
        <f>+'A) Base RI'!U228</f>
        <v>950</v>
      </c>
      <c r="AC228" s="10">
        <f>+'A) Base RI'!V228</f>
        <v>0</v>
      </c>
      <c r="AD228" s="10">
        <f>+'A) Base RI'!W228</f>
        <v>0</v>
      </c>
      <c r="AE228" s="10">
        <f>+'A) Base RI'!Y228</f>
        <v>0</v>
      </c>
      <c r="AF228" s="10">
        <f>+'A) Base RI'!Z228</f>
        <v>0</v>
      </c>
      <c r="AG228" s="10">
        <f>+'A) Base RI'!AA228</f>
        <v>27122.85</v>
      </c>
      <c r="AH228" s="10">
        <f>+'A) Base RI'!AB228</f>
        <v>0</v>
      </c>
      <c r="AI228" s="10">
        <f>+'A) Base RI'!AC228</f>
        <v>18003</v>
      </c>
      <c r="AJ228" s="10">
        <f>+'A) Base RI'!AD228</f>
        <v>0</v>
      </c>
      <c r="AK228" s="10">
        <f>+'A) Base RI'!AE228</f>
        <v>0</v>
      </c>
      <c r="AL228" s="10">
        <f>+'A) Base RI'!AF228</f>
        <v>0</v>
      </c>
      <c r="AM228" s="10">
        <f>+'A) Base RI'!AG228</f>
        <v>0</v>
      </c>
      <c r="AN228" s="10">
        <f>+'A) Base RI'!AH228</f>
        <v>0</v>
      </c>
      <c r="AO228" s="10">
        <f>+'A) Base RI'!AI228</f>
        <v>0</v>
      </c>
      <c r="AP228" s="10">
        <f>+'A) Base RI'!AJ228</f>
        <v>0</v>
      </c>
      <c r="AQ228" s="10">
        <f>+'A) Base RI'!AK228</f>
        <v>0</v>
      </c>
      <c r="AR228" s="10">
        <f>'A) Base RI'!AN228</f>
        <v>213</v>
      </c>
    </row>
    <row r="229" spans="1:44" x14ac:dyDescent="0.25">
      <c r="A229" s="8">
        <f>'A) Base RI'!A229</f>
        <v>5760</v>
      </c>
      <c r="B229" s="33" t="str">
        <f>'A) Base RI'!B229</f>
        <v>Rances</v>
      </c>
      <c r="C229" s="10">
        <f>'A) Base RI'!C229+'A) Base RI'!D229</f>
        <v>834066.66999999993</v>
      </c>
      <c r="D229" s="10">
        <f>'A) Base RI'!AO229</f>
        <v>-16440.45</v>
      </c>
      <c r="E229" s="32">
        <f>'A) Base RI'!AP229</f>
        <v>0</v>
      </c>
      <c r="F229" s="32">
        <f>'A) Base RI'!AQ229</f>
        <v>-1362.07</v>
      </c>
      <c r="G229" s="2">
        <f t="shared" si="18"/>
        <v>816264.15</v>
      </c>
      <c r="H229" s="10">
        <f>+'A) Base RI'!E229</f>
        <v>0</v>
      </c>
      <c r="I229" s="10">
        <f>+'A) Base RI'!F229</f>
        <v>0</v>
      </c>
      <c r="J229" s="10">
        <f>+'A) Base RI'!G229+'A) Base RI'!H229</f>
        <v>3363.75</v>
      </c>
      <c r="K229" s="10">
        <f>+'A) Base RI'!I229</f>
        <v>0</v>
      </c>
      <c r="L229" s="10">
        <f>+'A) Base RI'!J229</f>
        <v>1336.93</v>
      </c>
      <c r="M229" s="10">
        <f>+'A) Base RI'!K229</f>
        <v>0</v>
      </c>
      <c r="N229" s="10">
        <f>+'A) Base RI'!Q229</f>
        <v>752.95</v>
      </c>
      <c r="O229" s="10">
        <f t="shared" si="19"/>
        <v>69651.766666666663</v>
      </c>
      <c r="P229" s="10">
        <f>+'A) Base RI'!L229</f>
        <v>104477.65</v>
      </c>
      <c r="Q229" s="35">
        <f>'A) Base RI'!AR229</f>
        <v>1.5</v>
      </c>
      <c r="R229" s="2">
        <f t="shared" si="20"/>
        <v>891369.54666666663</v>
      </c>
      <c r="S229" s="34">
        <f>+'A) Base RI'!AM229</f>
        <v>78</v>
      </c>
      <c r="T229" s="2">
        <f t="shared" si="21"/>
        <v>821717.78</v>
      </c>
      <c r="U229" s="2">
        <f t="shared" si="22"/>
        <v>11427.8147008547</v>
      </c>
      <c r="V229" s="10">
        <f>+'A) Base RI'!O229</f>
        <v>15202.8</v>
      </c>
      <c r="W229" s="10">
        <f>+'A) Base RI'!P229</f>
        <v>38335.199999999997</v>
      </c>
      <c r="X229" s="10">
        <f>+'A) Base RI'!R229</f>
        <v>22201.35</v>
      </c>
      <c r="Y229" s="2">
        <f t="shared" si="23"/>
        <v>75739.350000000006</v>
      </c>
      <c r="Z229" s="10">
        <f>+'A) Base RI'!N229</f>
        <v>17708.400000000001</v>
      </c>
      <c r="AA229" s="10">
        <f>+'A) Base RI'!S229+'A) Base RI'!T229</f>
        <v>0</v>
      </c>
      <c r="AB229" s="10">
        <f>+'A) Base RI'!U229</f>
        <v>2915</v>
      </c>
      <c r="AC229" s="10">
        <f>+'A) Base RI'!V229</f>
        <v>0</v>
      </c>
      <c r="AD229" s="10">
        <f>+'A) Base RI'!W229</f>
        <v>0</v>
      </c>
      <c r="AE229" s="10" t="str">
        <f>+'A) Base RI'!Y229</f>
        <v/>
      </c>
      <c r="AF229" s="10">
        <f>+'A) Base RI'!Z229</f>
        <v>1191.75</v>
      </c>
      <c r="AG229" s="10">
        <f>+'A) Base RI'!AA229</f>
        <v>43450.1</v>
      </c>
      <c r="AH229" s="10">
        <f>+'A) Base RI'!AB229</f>
        <v>62193.25</v>
      </c>
      <c r="AI229" s="10">
        <f>+'A) Base RI'!AC229</f>
        <v>26186.95</v>
      </c>
      <c r="AJ229" s="10" t="str">
        <f>+'A) Base RI'!AD229</f>
        <v/>
      </c>
      <c r="AK229" s="10" t="str">
        <f>+'A) Base RI'!AE229</f>
        <v/>
      </c>
      <c r="AL229" s="10" t="str">
        <f>+'A) Base RI'!AF229</f>
        <v/>
      </c>
      <c r="AM229" s="10" t="str">
        <f>+'A) Base RI'!AG229</f>
        <v/>
      </c>
      <c r="AN229" s="10">
        <f>+'A) Base RI'!AH229</f>
        <v>0</v>
      </c>
      <c r="AO229" s="10">
        <f>+'A) Base RI'!AI229</f>
        <v>0</v>
      </c>
      <c r="AP229" s="10">
        <f>+'A) Base RI'!AJ229</f>
        <v>0</v>
      </c>
      <c r="AQ229" s="10">
        <f>+'A) Base RI'!AK229</f>
        <v>0</v>
      </c>
      <c r="AR229" s="10">
        <f>'A) Base RI'!AN229</f>
        <v>482</v>
      </c>
    </row>
    <row r="230" spans="1:44" x14ac:dyDescent="0.25">
      <c r="A230" s="8">
        <f>'A) Base RI'!A230</f>
        <v>5761</v>
      </c>
      <c r="B230" s="33" t="str">
        <f>'A) Base RI'!B230</f>
        <v>Romainmôtier-Envy</v>
      </c>
      <c r="C230" s="10">
        <f>'A) Base RI'!C230+'A) Base RI'!D230</f>
        <v>1082385.05</v>
      </c>
      <c r="D230" s="10">
        <f>'A) Base RI'!AO230</f>
        <v>-36432.97</v>
      </c>
      <c r="E230" s="32">
        <f>'A) Base RI'!AP230</f>
        <v>0</v>
      </c>
      <c r="F230" s="32">
        <f>'A) Base RI'!AQ230</f>
        <v>0</v>
      </c>
      <c r="G230" s="2">
        <f t="shared" si="18"/>
        <v>1045952.0800000001</v>
      </c>
      <c r="H230" s="10">
        <f>+'A) Base RI'!E230</f>
        <v>0</v>
      </c>
      <c r="I230" s="10">
        <f>+'A) Base RI'!F230</f>
        <v>0</v>
      </c>
      <c r="J230" s="10">
        <f>+'A) Base RI'!G230+'A) Base RI'!H230</f>
        <v>52223.75</v>
      </c>
      <c r="K230" s="10">
        <f>+'A) Base RI'!I230</f>
        <v>0</v>
      </c>
      <c r="L230" s="10">
        <f>+'A) Base RI'!J230</f>
        <v>12301.44</v>
      </c>
      <c r="M230" s="10">
        <f>+'A) Base RI'!K230</f>
        <v>-1363.45</v>
      </c>
      <c r="N230" s="10">
        <f>+'A) Base RI'!Q230</f>
        <v>17663.939999999999</v>
      </c>
      <c r="O230" s="10">
        <f t="shared" si="19"/>
        <v>75535.636363636353</v>
      </c>
      <c r="P230" s="10">
        <f>+'A) Base RI'!L230</f>
        <v>83089.2</v>
      </c>
      <c r="Q230" s="35">
        <f>'A) Base RI'!AR230</f>
        <v>1.1000000000000001</v>
      </c>
      <c r="R230" s="2">
        <f t="shared" si="20"/>
        <v>1202313.3963636365</v>
      </c>
      <c r="S230" s="34">
        <f>+'A) Base RI'!AM230</f>
        <v>81</v>
      </c>
      <c r="T230" s="2">
        <f t="shared" si="21"/>
        <v>1128141.21</v>
      </c>
      <c r="U230" s="2">
        <f t="shared" si="22"/>
        <v>14843.375263748598</v>
      </c>
      <c r="V230" s="10">
        <f>+'A) Base RI'!O230</f>
        <v>1307.5</v>
      </c>
      <c r="W230" s="10">
        <f>+'A) Base RI'!P230</f>
        <v>38763.35</v>
      </c>
      <c r="X230" s="10">
        <f>+'A) Base RI'!R230</f>
        <v>43319.65</v>
      </c>
      <c r="Y230" s="2">
        <f t="shared" si="23"/>
        <v>83390.5</v>
      </c>
      <c r="Z230" s="10">
        <f>+'A) Base RI'!N230</f>
        <v>53214.400000000001</v>
      </c>
      <c r="AA230" s="10">
        <f>+'A) Base RI'!S230+'A) Base RI'!T230</f>
        <v>1070.7</v>
      </c>
      <c r="AB230" s="10">
        <f>+'A) Base RI'!U230</f>
        <v>3132</v>
      </c>
      <c r="AC230" s="10">
        <f>+'A) Base RI'!V230</f>
        <v>4222.2</v>
      </c>
      <c r="AD230" s="10">
        <f>+'A) Base RI'!W230</f>
        <v>0</v>
      </c>
      <c r="AE230" s="10">
        <f>+'A) Base RI'!Y230</f>
        <v>1914</v>
      </c>
      <c r="AF230" s="10">
        <f>+'A) Base RI'!Z230</f>
        <v>0</v>
      </c>
      <c r="AG230" s="10">
        <f>+'A) Base RI'!AA230</f>
        <v>93102.85</v>
      </c>
      <c r="AH230" s="10">
        <f>+'A) Base RI'!AB230</f>
        <v>0</v>
      </c>
      <c r="AI230" s="10">
        <f>+'A) Base RI'!AC230</f>
        <v>51357.25</v>
      </c>
      <c r="AJ230" s="10">
        <f>+'A) Base RI'!AD230</f>
        <v>1015.2</v>
      </c>
      <c r="AK230" s="10">
        <f>+'A) Base RI'!AE230</f>
        <v>0</v>
      </c>
      <c r="AL230" s="10">
        <f>+'A) Base RI'!AF230</f>
        <v>0</v>
      </c>
      <c r="AM230" s="10">
        <f>+'A) Base RI'!AG230</f>
        <v>0</v>
      </c>
      <c r="AN230" s="10">
        <f>+'A) Base RI'!AH230</f>
        <v>15974.5</v>
      </c>
      <c r="AO230" s="10">
        <f>+'A) Base RI'!AI230</f>
        <v>0</v>
      </c>
      <c r="AP230" s="10">
        <f>+'A) Base RI'!AJ230</f>
        <v>0</v>
      </c>
      <c r="AQ230" s="10">
        <f>+'A) Base RI'!AK230</f>
        <v>0</v>
      </c>
      <c r="AR230" s="10">
        <f>'A) Base RI'!AN230</f>
        <v>540</v>
      </c>
    </row>
    <row r="231" spans="1:44" x14ac:dyDescent="0.25">
      <c r="A231" s="8">
        <f>'A) Base RI'!A231</f>
        <v>5762</v>
      </c>
      <c r="B231" s="33" t="str">
        <f>'A) Base RI'!B231</f>
        <v>Sergey</v>
      </c>
      <c r="C231" s="10">
        <f>'A) Base RI'!C231+'A) Base RI'!D231</f>
        <v>268223.14</v>
      </c>
      <c r="D231" s="10">
        <f>'A) Base RI'!AO231</f>
        <v>-55.46</v>
      </c>
      <c r="E231" s="32">
        <f>'A) Base RI'!AP231</f>
        <v>0</v>
      </c>
      <c r="F231" s="32">
        <f>'A) Base RI'!AQ231</f>
        <v>0</v>
      </c>
      <c r="G231" s="2">
        <f t="shared" si="18"/>
        <v>268167.67999999999</v>
      </c>
      <c r="H231" s="10">
        <f>+'A) Base RI'!E231</f>
        <v>0</v>
      </c>
      <c r="I231" s="10">
        <f>+'A) Base RI'!F231</f>
        <v>0</v>
      </c>
      <c r="J231" s="10">
        <f>+'A) Base RI'!G231+'A) Base RI'!H231</f>
        <v>9260.7999999999993</v>
      </c>
      <c r="K231" s="10">
        <f>+'A) Base RI'!I231</f>
        <v>0</v>
      </c>
      <c r="L231" s="10">
        <f>+'A) Base RI'!J231</f>
        <v>402.1</v>
      </c>
      <c r="M231" s="10">
        <f>+'A) Base RI'!K231</f>
        <v>75</v>
      </c>
      <c r="N231" s="10">
        <f>+'A) Base RI'!Q231</f>
        <v>0</v>
      </c>
      <c r="O231" s="10">
        <f t="shared" si="19"/>
        <v>19828.599999999999</v>
      </c>
      <c r="P231" s="10">
        <f>+'A) Base RI'!L231</f>
        <v>19828.599999999999</v>
      </c>
      <c r="Q231" s="35">
        <f>'A) Base RI'!AR231</f>
        <v>1</v>
      </c>
      <c r="R231" s="2">
        <f t="shared" si="20"/>
        <v>297734.17999999993</v>
      </c>
      <c r="S231" s="34">
        <f>+'A) Base RI'!AM231</f>
        <v>78</v>
      </c>
      <c r="T231" s="2">
        <f t="shared" si="21"/>
        <v>277830.57999999996</v>
      </c>
      <c r="U231" s="2">
        <f t="shared" si="22"/>
        <v>3817.1048717948711</v>
      </c>
      <c r="V231" s="10">
        <f>+'A) Base RI'!O231</f>
        <v>0</v>
      </c>
      <c r="W231" s="10">
        <f>+'A) Base RI'!P231</f>
        <v>1924.95</v>
      </c>
      <c r="X231" s="10">
        <f>+'A) Base RI'!R231</f>
        <v>746.75</v>
      </c>
      <c r="Y231" s="2">
        <f t="shared" si="23"/>
        <v>2671.7</v>
      </c>
      <c r="Z231" s="10">
        <f>+'A) Base RI'!N231</f>
        <v>2645.8</v>
      </c>
      <c r="AA231" s="10">
        <f>+'A) Base RI'!S231+'A) Base RI'!T231</f>
        <v>0</v>
      </c>
      <c r="AB231" s="10">
        <f>+'A) Base RI'!U231</f>
        <v>1200</v>
      </c>
      <c r="AC231" s="10">
        <f>+'A) Base RI'!V231</f>
        <v>0</v>
      </c>
      <c r="AD231" s="10">
        <f>+'A) Base RI'!W231</f>
        <v>0</v>
      </c>
      <c r="AE231" s="10">
        <f>+'A) Base RI'!Y231</f>
        <v>0</v>
      </c>
      <c r="AF231" s="10">
        <f>+'A) Base RI'!Z231</f>
        <v>0</v>
      </c>
      <c r="AG231" s="10">
        <f>+'A) Base RI'!AA231</f>
        <v>5828</v>
      </c>
      <c r="AH231" s="10">
        <f>+'A) Base RI'!AB231</f>
        <v>0</v>
      </c>
      <c r="AI231" s="10">
        <f>+'A) Base RI'!AC231</f>
        <v>14087.3</v>
      </c>
      <c r="AJ231" s="10">
        <f>+'A) Base RI'!AD231</f>
        <v>0</v>
      </c>
      <c r="AK231" s="10">
        <f>+'A) Base RI'!AE231</f>
        <v>0</v>
      </c>
      <c r="AL231" s="10">
        <f>+'A) Base RI'!AF231</f>
        <v>0</v>
      </c>
      <c r="AM231" s="10">
        <f>+'A) Base RI'!AG231</f>
        <v>0</v>
      </c>
      <c r="AN231" s="10">
        <f>+'A) Base RI'!AH231</f>
        <v>0</v>
      </c>
      <c r="AO231" s="10">
        <f>+'A) Base RI'!AI231</f>
        <v>0</v>
      </c>
      <c r="AP231" s="10">
        <f>+'A) Base RI'!AJ231</f>
        <v>0</v>
      </c>
      <c r="AQ231" s="10">
        <f>+'A) Base RI'!AK231</f>
        <v>0</v>
      </c>
      <c r="AR231" s="10">
        <f>'A) Base RI'!AN231</f>
        <v>146</v>
      </c>
    </row>
    <row r="232" spans="1:44" x14ac:dyDescent="0.25">
      <c r="A232" s="8">
        <f>'A) Base RI'!A232</f>
        <v>5763</v>
      </c>
      <c r="B232" s="33" t="str">
        <f>'A) Base RI'!B232</f>
        <v>Valeyres-sous-Rances</v>
      </c>
      <c r="C232" s="10">
        <f>'A) Base RI'!C232+'A) Base RI'!D232</f>
        <v>1241693.46</v>
      </c>
      <c r="D232" s="10">
        <f>'A) Base RI'!AO232</f>
        <v>-2612.66</v>
      </c>
      <c r="E232" s="32">
        <f>'A) Base RI'!AP232</f>
        <v>0</v>
      </c>
      <c r="F232" s="32">
        <f>'A) Base RI'!AQ232</f>
        <v>-97.74</v>
      </c>
      <c r="G232" s="2">
        <f t="shared" si="18"/>
        <v>1238983.06</v>
      </c>
      <c r="H232" s="10">
        <f>+'A) Base RI'!E232</f>
        <v>0</v>
      </c>
      <c r="I232" s="10">
        <f>+'A) Base RI'!F232</f>
        <v>3300</v>
      </c>
      <c r="J232" s="10">
        <f>+'A) Base RI'!G232+'A) Base RI'!H232</f>
        <v>17406.100000000002</v>
      </c>
      <c r="K232" s="10">
        <f>+'A) Base RI'!I232</f>
        <v>0</v>
      </c>
      <c r="L232" s="10">
        <f>+'A) Base RI'!J232</f>
        <v>17396.189999999999</v>
      </c>
      <c r="M232" s="10">
        <f>+'A) Base RI'!K232</f>
        <v>3554.35</v>
      </c>
      <c r="N232" s="10">
        <f>+'A) Base RI'!Q232</f>
        <v>895.5</v>
      </c>
      <c r="O232" s="10">
        <f t="shared" si="19"/>
        <v>86290.95</v>
      </c>
      <c r="P232" s="10">
        <f>+'A) Base RI'!L232</f>
        <v>86290.95</v>
      </c>
      <c r="Q232" s="35">
        <f>'A) Base RI'!AR232</f>
        <v>1</v>
      </c>
      <c r="R232" s="2">
        <f t="shared" si="20"/>
        <v>1367826.1500000001</v>
      </c>
      <c r="S232" s="34">
        <f>+'A) Base RI'!AM232</f>
        <v>65</v>
      </c>
      <c r="T232" s="2">
        <f t="shared" si="21"/>
        <v>1274680.8500000001</v>
      </c>
      <c r="U232" s="2">
        <f t="shared" si="22"/>
        <v>21043.479230769233</v>
      </c>
      <c r="V232" s="10">
        <f>+'A) Base RI'!O232</f>
        <v>0</v>
      </c>
      <c r="W232" s="10">
        <f>+'A) Base RI'!P232</f>
        <v>6944.55</v>
      </c>
      <c r="X232" s="10">
        <f>+'A) Base RI'!R232</f>
        <v>-18894.849999999999</v>
      </c>
      <c r="Y232" s="2">
        <f t="shared" si="23"/>
        <v>-11950.3</v>
      </c>
      <c r="Z232" s="10">
        <f>+'A) Base RI'!N232</f>
        <v>37741.050000000003</v>
      </c>
      <c r="AA232" s="10">
        <f>+'A) Base RI'!S232+'A) Base RI'!T232</f>
        <v>2801.8</v>
      </c>
      <c r="AB232" s="10">
        <f>+'A) Base RI'!U232</f>
        <v>4750</v>
      </c>
      <c r="AC232" s="10">
        <f>+'A) Base RI'!V232</f>
        <v>0</v>
      </c>
      <c r="AD232" s="10">
        <f>+'A) Base RI'!W232</f>
        <v>0</v>
      </c>
      <c r="AE232" s="10">
        <f>+'A) Base RI'!Y232</f>
        <v>10667.35</v>
      </c>
      <c r="AF232" s="10">
        <f>+'A) Base RI'!Z232</f>
        <v>0</v>
      </c>
      <c r="AG232" s="10">
        <f>+'A) Base RI'!AA232</f>
        <v>96926.2</v>
      </c>
      <c r="AH232" s="10">
        <f>+'A) Base RI'!AB232</f>
        <v>0</v>
      </c>
      <c r="AI232" s="10">
        <f>+'A) Base RI'!AC232</f>
        <v>53720.1</v>
      </c>
      <c r="AJ232" s="10">
        <f>+'A) Base RI'!AD232</f>
        <v>4529</v>
      </c>
      <c r="AK232" s="10">
        <f>+'A) Base RI'!AE232</f>
        <v>0</v>
      </c>
      <c r="AL232" s="10">
        <f>+'A) Base RI'!AF232</f>
        <v>0</v>
      </c>
      <c r="AM232" s="10">
        <f>+'A) Base RI'!AG232</f>
        <v>0</v>
      </c>
      <c r="AN232" s="10">
        <f>+'A) Base RI'!AH232</f>
        <v>0</v>
      </c>
      <c r="AO232" s="10">
        <f>+'A) Base RI'!AI232</f>
        <v>0</v>
      </c>
      <c r="AP232" s="10">
        <f>+'A) Base RI'!AJ232</f>
        <v>0</v>
      </c>
      <c r="AQ232" s="10">
        <f>+'A) Base RI'!AK232</f>
        <v>0</v>
      </c>
      <c r="AR232" s="10">
        <f>'A) Base RI'!AN232</f>
        <v>622</v>
      </c>
    </row>
    <row r="233" spans="1:44" x14ac:dyDescent="0.25">
      <c r="A233" s="8">
        <f>'A) Base RI'!A233</f>
        <v>5764</v>
      </c>
      <c r="B233" s="33" t="str">
        <f>'A) Base RI'!B233</f>
        <v>Vallorbe</v>
      </c>
      <c r="C233" s="10">
        <f>'A) Base RI'!C233+'A) Base RI'!D233</f>
        <v>5256853.99</v>
      </c>
      <c r="D233" s="10">
        <f>'A) Base RI'!AO233</f>
        <v>-213166.29</v>
      </c>
      <c r="E233" s="32">
        <f>'A) Base RI'!AP233</f>
        <v>0</v>
      </c>
      <c r="F233" s="32">
        <f>'A) Base RI'!AQ233</f>
        <v>-385.34</v>
      </c>
      <c r="G233" s="2">
        <f t="shared" si="18"/>
        <v>5043302.3600000003</v>
      </c>
      <c r="H233" s="10">
        <f>+'A) Base RI'!E233</f>
        <v>0</v>
      </c>
      <c r="I233" s="10">
        <f>+'A) Base RI'!F233</f>
        <v>0</v>
      </c>
      <c r="J233" s="10">
        <f>+'A) Base RI'!G233+'A) Base RI'!H233</f>
        <v>551084.94999999995</v>
      </c>
      <c r="K233" s="10">
        <f>+'A) Base RI'!I233</f>
        <v>0</v>
      </c>
      <c r="L233" s="10">
        <f>+'A) Base RI'!J233</f>
        <v>199584.39</v>
      </c>
      <c r="M233" s="10">
        <f>+'A) Base RI'!K233</f>
        <v>27389.25</v>
      </c>
      <c r="N233" s="10">
        <f>+'A) Base RI'!Q233</f>
        <v>42914.03</v>
      </c>
      <c r="O233" s="10">
        <f t="shared" si="19"/>
        <v>434829.6</v>
      </c>
      <c r="P233" s="10">
        <f>+'A) Base RI'!L233</f>
        <v>434829.6</v>
      </c>
      <c r="Q233" s="35">
        <f>'A) Base RI'!AR233</f>
        <v>1</v>
      </c>
      <c r="R233" s="2">
        <f t="shared" si="20"/>
        <v>6299104.5800000001</v>
      </c>
      <c r="S233" s="34">
        <f>+'A) Base RI'!AM233</f>
        <v>73</v>
      </c>
      <c r="T233" s="2">
        <f t="shared" si="21"/>
        <v>5836885.7300000004</v>
      </c>
      <c r="U233" s="2">
        <f t="shared" si="22"/>
        <v>86289.103835616435</v>
      </c>
      <c r="V233" s="10">
        <f>+'A) Base RI'!O233</f>
        <v>39526.300000000003</v>
      </c>
      <c r="W233" s="10">
        <f>+'A) Base RI'!P233</f>
        <v>153058.45000000001</v>
      </c>
      <c r="X233" s="10">
        <f>+'A) Base RI'!R233</f>
        <v>131337.29999999999</v>
      </c>
      <c r="Y233" s="2">
        <f t="shared" si="23"/>
        <v>323922.05</v>
      </c>
      <c r="Z233" s="10">
        <f>+'A) Base RI'!N233</f>
        <v>2339312.5499999998</v>
      </c>
      <c r="AA233" s="10">
        <f>+'A) Base RI'!S233+'A) Base RI'!T233</f>
        <v>8592.0499999999993</v>
      </c>
      <c r="AB233" s="10">
        <f>+'A) Base RI'!U233</f>
        <v>25275</v>
      </c>
      <c r="AC233" s="10">
        <f>+'A) Base RI'!V233</f>
        <v>47791.8</v>
      </c>
      <c r="AD233" s="10">
        <f>+'A) Base RI'!W233</f>
        <v>0</v>
      </c>
      <c r="AE233" s="10">
        <f>+'A) Base RI'!Y233</f>
        <v>32830</v>
      </c>
      <c r="AF233" s="10">
        <f>+'A) Base RI'!Z233</f>
        <v>2140</v>
      </c>
      <c r="AG233" s="10">
        <f>+'A) Base RI'!AA233</f>
        <v>536765.25</v>
      </c>
      <c r="AH233" s="10">
        <f>+'A) Base RI'!AB233</f>
        <v>0</v>
      </c>
      <c r="AI233" s="10">
        <f>+'A) Base RI'!AC233</f>
        <v>515306.32</v>
      </c>
      <c r="AJ233" s="10">
        <f>+'A) Base RI'!AD233</f>
        <v>14968.05</v>
      </c>
      <c r="AK233" s="10">
        <f>+'A) Base RI'!AE233</f>
        <v>14206.1</v>
      </c>
      <c r="AL233" s="10">
        <f>+'A) Base RI'!AF233</f>
        <v>0</v>
      </c>
      <c r="AM233" s="10">
        <f>+'A) Base RI'!AG233</f>
        <v>6662.8</v>
      </c>
      <c r="AN233" s="10">
        <f>+'A) Base RI'!AH233</f>
        <v>194747.7</v>
      </c>
      <c r="AO233" s="10">
        <f>+'A) Base RI'!AI233</f>
        <v>0</v>
      </c>
      <c r="AP233" s="10">
        <f>+'A) Base RI'!AJ233</f>
        <v>0</v>
      </c>
      <c r="AQ233" s="10">
        <f>+'A) Base RI'!AK233</f>
        <v>0</v>
      </c>
      <c r="AR233" s="10">
        <f>'A) Base RI'!AN233</f>
        <v>3852</v>
      </c>
    </row>
    <row r="234" spans="1:44" x14ac:dyDescent="0.25">
      <c r="A234" s="8">
        <f>'A) Base RI'!A234</f>
        <v>5765</v>
      </c>
      <c r="B234" s="33" t="str">
        <f>'A) Base RI'!B234</f>
        <v>Vaulion</v>
      </c>
      <c r="C234" s="10">
        <f>'A) Base RI'!C234+'A) Base RI'!D234</f>
        <v>735922.69</v>
      </c>
      <c r="D234" s="10">
        <f>'A) Base RI'!AO234</f>
        <v>-29131.37</v>
      </c>
      <c r="E234" s="32">
        <f>'A) Base RI'!AP234</f>
        <v>0</v>
      </c>
      <c r="F234" s="32">
        <f>'A) Base RI'!AQ234</f>
        <v>-3.03</v>
      </c>
      <c r="G234" s="2">
        <f t="shared" si="18"/>
        <v>706788.28999999992</v>
      </c>
      <c r="H234" s="10">
        <f>+'A) Base RI'!E234</f>
        <v>0</v>
      </c>
      <c r="I234" s="10">
        <f>+'A) Base RI'!F234</f>
        <v>0</v>
      </c>
      <c r="J234" s="10">
        <f>+'A) Base RI'!G234+'A) Base RI'!H234</f>
        <v>12627.25</v>
      </c>
      <c r="K234" s="10">
        <f>+'A) Base RI'!I234</f>
        <v>0</v>
      </c>
      <c r="L234" s="10">
        <f>+'A) Base RI'!J234</f>
        <v>13266.24</v>
      </c>
      <c r="M234" s="10">
        <f>+'A) Base RI'!K234</f>
        <v>0</v>
      </c>
      <c r="N234" s="10">
        <f>+'A) Base RI'!Q234</f>
        <v>2574.25</v>
      </c>
      <c r="O234" s="10">
        <f t="shared" si="19"/>
        <v>61756.5</v>
      </c>
      <c r="P234" s="10">
        <f>+'A) Base RI'!L234</f>
        <v>30878.25</v>
      </c>
      <c r="Q234" s="35">
        <f>'A) Base RI'!AR234</f>
        <v>0.5</v>
      </c>
      <c r="R234" s="2">
        <f t="shared" si="20"/>
        <v>797012.52999999991</v>
      </c>
      <c r="S234" s="34">
        <f>+'A) Base RI'!AM234</f>
        <v>81</v>
      </c>
      <c r="T234" s="2">
        <f t="shared" si="21"/>
        <v>735256.02999999991</v>
      </c>
      <c r="U234" s="2">
        <f t="shared" si="22"/>
        <v>9839.660864197529</v>
      </c>
      <c r="V234" s="10">
        <f>+'A) Base RI'!O234</f>
        <v>7144.6</v>
      </c>
      <c r="W234" s="10">
        <f>+'A) Base RI'!P234</f>
        <v>26719</v>
      </c>
      <c r="X234" s="10">
        <f>+'A) Base RI'!R234</f>
        <v>21557.05</v>
      </c>
      <c r="Y234" s="2">
        <f t="shared" si="23"/>
        <v>55420.649999999994</v>
      </c>
      <c r="Z234" s="10">
        <f>+'A) Base RI'!N234</f>
        <v>44268</v>
      </c>
      <c r="AA234" s="10">
        <f>+'A) Base RI'!S234+'A) Base RI'!T234</f>
        <v>1042.05</v>
      </c>
      <c r="AB234" s="10">
        <f>+'A) Base RI'!U234</f>
        <v>3630</v>
      </c>
      <c r="AC234" s="10">
        <f>+'A) Base RI'!V234</f>
        <v>526</v>
      </c>
      <c r="AD234" s="10">
        <f>+'A) Base RI'!W234</f>
        <v>0</v>
      </c>
      <c r="AE234" s="10">
        <f>+'A) Base RI'!Y234</f>
        <v>21208</v>
      </c>
      <c r="AF234" s="10">
        <f>+'A) Base RI'!Z234</f>
        <v>840</v>
      </c>
      <c r="AG234" s="10">
        <f>+'A) Base RI'!AA234</f>
        <v>116257.35</v>
      </c>
      <c r="AH234" s="10">
        <f>+'A) Base RI'!AB234</f>
        <v>0</v>
      </c>
      <c r="AI234" s="10">
        <f>+'A) Base RI'!AC234</f>
        <v>64942.6</v>
      </c>
      <c r="AJ234" s="10">
        <f>+'A) Base RI'!AD234</f>
        <v>857</v>
      </c>
      <c r="AK234" s="10">
        <f>+'A) Base RI'!AE234</f>
        <v>8631.2000000000007</v>
      </c>
      <c r="AL234" s="10">
        <f>+'A) Base RI'!AF234</f>
        <v>0</v>
      </c>
      <c r="AM234" s="10">
        <f>+'A) Base RI'!AG234</f>
        <v>0</v>
      </c>
      <c r="AN234" s="10">
        <f>+'A) Base RI'!AH234</f>
        <v>0</v>
      </c>
      <c r="AO234" s="10">
        <f>+'A) Base RI'!AI234</f>
        <v>0</v>
      </c>
      <c r="AP234" s="10">
        <f>+'A) Base RI'!AJ234</f>
        <v>0</v>
      </c>
      <c r="AQ234" s="10">
        <f>+'A) Base RI'!AK234</f>
        <v>0</v>
      </c>
      <c r="AR234" s="10">
        <f>'A) Base RI'!AN234</f>
        <v>469</v>
      </c>
    </row>
    <row r="235" spans="1:44" x14ac:dyDescent="0.25">
      <c r="A235" s="8">
        <f>'A) Base RI'!A235</f>
        <v>5766</v>
      </c>
      <c r="B235" s="33" t="str">
        <f>'A) Base RI'!B235</f>
        <v>Vuiteboeuf</v>
      </c>
      <c r="C235" s="10">
        <f>'A) Base RI'!C235+'A) Base RI'!D235</f>
        <v>890706.48</v>
      </c>
      <c r="D235" s="10">
        <f>'A) Base RI'!AO235</f>
        <v>-10140.41</v>
      </c>
      <c r="E235" s="32">
        <f>'A) Base RI'!AP235</f>
        <v>0</v>
      </c>
      <c r="F235" s="32">
        <f>'A) Base RI'!AQ235</f>
        <v>-11.92</v>
      </c>
      <c r="G235" s="2">
        <f t="shared" si="18"/>
        <v>880554.14999999991</v>
      </c>
      <c r="H235" s="10">
        <f>+'A) Base RI'!E235</f>
        <v>0</v>
      </c>
      <c r="I235" s="10">
        <f>+'A) Base RI'!F235</f>
        <v>0</v>
      </c>
      <c r="J235" s="10">
        <f>+'A) Base RI'!G235+'A) Base RI'!H235</f>
        <v>31618.2</v>
      </c>
      <c r="K235" s="10">
        <f>+'A) Base RI'!I235</f>
        <v>0</v>
      </c>
      <c r="L235" s="10">
        <f>+'A) Base RI'!J235</f>
        <v>29140.080000000002</v>
      </c>
      <c r="M235" s="10">
        <f>+'A) Base RI'!K235</f>
        <v>3268.65</v>
      </c>
      <c r="N235" s="10">
        <f>+'A) Base RI'!Q235</f>
        <v>1766.89</v>
      </c>
      <c r="O235" s="10">
        <f t="shared" si="19"/>
        <v>80525.357142857145</v>
      </c>
      <c r="P235" s="10">
        <f>+'A) Base RI'!L235</f>
        <v>56367.75</v>
      </c>
      <c r="Q235" s="35">
        <f>'A) Base RI'!AR235</f>
        <v>0.7</v>
      </c>
      <c r="R235" s="2">
        <f t="shared" si="20"/>
        <v>1026873.327142857</v>
      </c>
      <c r="S235" s="34">
        <f>+'A) Base RI'!AM235</f>
        <v>77</v>
      </c>
      <c r="T235" s="2">
        <f t="shared" si="21"/>
        <v>943079.31999999983</v>
      </c>
      <c r="U235" s="2">
        <f t="shared" si="22"/>
        <v>13336.017235621519</v>
      </c>
      <c r="V235" s="10">
        <f>+'A) Base RI'!O235</f>
        <v>0</v>
      </c>
      <c r="W235" s="10">
        <f>+'A) Base RI'!P235</f>
        <v>31873.9</v>
      </c>
      <c r="X235" s="10">
        <f>+'A) Base RI'!R235</f>
        <v>10413.6</v>
      </c>
      <c r="Y235" s="2">
        <f t="shared" si="23"/>
        <v>42287.5</v>
      </c>
      <c r="Z235" s="10">
        <f>+'A) Base RI'!N235</f>
        <v>22902.3</v>
      </c>
      <c r="AA235" s="10">
        <f>+'A) Base RI'!S235+'A) Base RI'!T235</f>
        <v>0</v>
      </c>
      <c r="AB235" s="10">
        <f>+'A) Base RI'!U235</f>
        <v>2000</v>
      </c>
      <c r="AC235" s="10">
        <f>+'A) Base RI'!V235</f>
        <v>0</v>
      </c>
      <c r="AD235" s="10">
        <f>+'A) Base RI'!W235</f>
        <v>0</v>
      </c>
      <c r="AE235" s="10">
        <f>+'A) Base RI'!Y235</f>
        <v>0</v>
      </c>
      <c r="AF235" s="10">
        <f>+'A) Base RI'!Z235</f>
        <v>0</v>
      </c>
      <c r="AG235" s="10">
        <f>+'A) Base RI'!AA235</f>
        <v>44406.2</v>
      </c>
      <c r="AH235" s="10">
        <f>+'A) Base RI'!AB235</f>
        <v>0</v>
      </c>
      <c r="AI235" s="10">
        <f>+'A) Base RI'!AC235</f>
        <v>36303.360000000001</v>
      </c>
      <c r="AJ235" s="10">
        <f>+'A) Base RI'!AD235</f>
        <v>0</v>
      </c>
      <c r="AK235" s="10">
        <f>+'A) Base RI'!AE235</f>
        <v>0</v>
      </c>
      <c r="AL235" s="10">
        <f>+'A) Base RI'!AF235</f>
        <v>0</v>
      </c>
      <c r="AM235" s="10">
        <f>+'A) Base RI'!AG235</f>
        <v>0</v>
      </c>
      <c r="AN235" s="10">
        <f>+'A) Base RI'!AH235</f>
        <v>15627.9</v>
      </c>
      <c r="AO235" s="10">
        <f>+'A) Base RI'!AI235</f>
        <v>0</v>
      </c>
      <c r="AP235" s="10">
        <f>+'A) Base RI'!AJ235</f>
        <v>0</v>
      </c>
      <c r="AQ235" s="10">
        <f>+'A) Base RI'!AK235</f>
        <v>0</v>
      </c>
      <c r="AR235" s="10">
        <f>'A) Base RI'!AN235</f>
        <v>584</v>
      </c>
    </row>
    <row r="236" spans="1:44" x14ac:dyDescent="0.25">
      <c r="A236" s="8">
        <f>'A) Base RI'!A236</f>
        <v>5785</v>
      </c>
      <c r="B236" s="33" t="str">
        <f>'A) Base RI'!B236</f>
        <v>Corcelles-le-Jorat</v>
      </c>
      <c r="C236" s="10">
        <f>'A) Base RI'!C236+'A) Base RI'!D236</f>
        <v>1077290.43</v>
      </c>
      <c r="D236" s="10">
        <f>'A) Base RI'!AO236</f>
        <v>-2855.19</v>
      </c>
      <c r="E236" s="32">
        <f>'A) Base RI'!AP236</f>
        <v>0</v>
      </c>
      <c r="F236" s="32">
        <f>'A) Base RI'!AQ236</f>
        <v>-244.89</v>
      </c>
      <c r="G236" s="2">
        <f t="shared" si="18"/>
        <v>1074190.3500000001</v>
      </c>
      <c r="H236" s="10">
        <f>+'A) Base RI'!E236</f>
        <v>0</v>
      </c>
      <c r="I236" s="10">
        <f>+'A) Base RI'!F236</f>
        <v>0</v>
      </c>
      <c r="J236" s="10">
        <f>+'A) Base RI'!G236+'A) Base RI'!H236</f>
        <v>14418.3</v>
      </c>
      <c r="K236" s="10">
        <f>+'A) Base RI'!I236</f>
        <v>0</v>
      </c>
      <c r="L236" s="10">
        <f>+'A) Base RI'!J236</f>
        <v>47042.95</v>
      </c>
      <c r="M236" s="10">
        <f>+'A) Base RI'!K236</f>
        <v>599.1</v>
      </c>
      <c r="N236" s="10">
        <f>+'A) Base RI'!Q236</f>
        <v>0</v>
      </c>
      <c r="O236" s="10">
        <f t="shared" si="19"/>
        <v>68797.850000000006</v>
      </c>
      <c r="P236" s="10">
        <f>+'A) Base RI'!L236</f>
        <v>68797.850000000006</v>
      </c>
      <c r="Q236" s="35">
        <f>'A) Base RI'!AR236</f>
        <v>1</v>
      </c>
      <c r="R236" s="2">
        <f t="shared" si="20"/>
        <v>1205048.5500000003</v>
      </c>
      <c r="S236" s="34">
        <f>+'A) Base RI'!AM236</f>
        <v>77</v>
      </c>
      <c r="T236" s="2">
        <f t="shared" si="21"/>
        <v>1135651.6000000001</v>
      </c>
      <c r="U236" s="2">
        <f t="shared" si="22"/>
        <v>15649.981168831173</v>
      </c>
      <c r="V236" s="10">
        <f>+'A) Base RI'!O236</f>
        <v>0</v>
      </c>
      <c r="W236" s="10">
        <f>+'A) Base RI'!P236</f>
        <v>34574.25</v>
      </c>
      <c r="X236" s="10">
        <f>+'A) Base RI'!R236</f>
        <v>16880</v>
      </c>
      <c r="Y236" s="2">
        <f t="shared" si="23"/>
        <v>51454.25</v>
      </c>
      <c r="Z236" s="10">
        <f>+'A) Base RI'!N236</f>
        <v>0</v>
      </c>
      <c r="AA236" s="10">
        <f>+'A) Base RI'!S236+'A) Base RI'!T236</f>
        <v>0</v>
      </c>
      <c r="AB236" s="10">
        <f>+'A) Base RI'!U236</f>
        <v>2720</v>
      </c>
      <c r="AC236" s="10">
        <f>+'A) Base RI'!V236</f>
        <v>0</v>
      </c>
      <c r="AD236" s="10">
        <f>+'A) Base RI'!W236</f>
        <v>0</v>
      </c>
      <c r="AE236" s="10" t="str">
        <f>+'A) Base RI'!Y236</f>
        <v/>
      </c>
      <c r="AF236" s="10" t="str">
        <f>+'A) Base RI'!Z236</f>
        <v/>
      </c>
      <c r="AG236" s="10">
        <f>+'A) Base RI'!AA236</f>
        <v>93188.25</v>
      </c>
      <c r="AH236" s="10" t="str">
        <f>+'A) Base RI'!AB236</f>
        <v/>
      </c>
      <c r="AI236" s="10">
        <f>+'A) Base RI'!AC236</f>
        <v>40937.25</v>
      </c>
      <c r="AJ236" s="10" t="str">
        <f>+'A) Base RI'!AD236</f>
        <v/>
      </c>
      <c r="AK236" s="10" t="str">
        <f>+'A) Base RI'!AE236</f>
        <v/>
      </c>
      <c r="AL236" s="10" t="str">
        <f>+'A) Base RI'!AF236</f>
        <v/>
      </c>
      <c r="AM236" s="10" t="str">
        <f>+'A) Base RI'!AG236</f>
        <v/>
      </c>
      <c r="AN236" s="10">
        <f>+'A) Base RI'!AH236</f>
        <v>0</v>
      </c>
      <c r="AO236" s="10">
        <f>+'A) Base RI'!AI236</f>
        <v>0</v>
      </c>
      <c r="AP236" s="10">
        <f>+'A) Base RI'!AJ236</f>
        <v>0</v>
      </c>
      <c r="AQ236" s="10">
        <f>+'A) Base RI'!AK236</f>
        <v>0</v>
      </c>
      <c r="AR236" s="10">
        <f>'A) Base RI'!AN236</f>
        <v>445</v>
      </c>
    </row>
    <row r="237" spans="1:44" x14ac:dyDescent="0.25">
      <c r="A237" s="8">
        <f>'A) Base RI'!A237</f>
        <v>5788</v>
      </c>
      <c r="B237" s="33" t="str">
        <f>'A) Base RI'!B237</f>
        <v>Essertes</v>
      </c>
      <c r="C237" s="10">
        <f>'A) Base RI'!C237+'A) Base RI'!D237</f>
        <v>769597.54</v>
      </c>
      <c r="D237" s="10">
        <f>'A) Base RI'!AO237</f>
        <v>-14843.16</v>
      </c>
      <c r="E237" s="32">
        <f>'A) Base RI'!AP237</f>
        <v>0</v>
      </c>
      <c r="F237" s="32">
        <f>'A) Base RI'!AQ237</f>
        <v>0</v>
      </c>
      <c r="G237" s="2">
        <f t="shared" si="18"/>
        <v>754754.38</v>
      </c>
      <c r="H237" s="10">
        <f>+'A) Base RI'!E237</f>
        <v>0</v>
      </c>
      <c r="I237" s="10">
        <f>+'A) Base RI'!F237</f>
        <v>0</v>
      </c>
      <c r="J237" s="10">
        <f>+'A) Base RI'!G237+'A) Base RI'!H237</f>
        <v>10430</v>
      </c>
      <c r="K237" s="10">
        <f>+'A) Base RI'!I237</f>
        <v>0</v>
      </c>
      <c r="L237" s="10">
        <f>+'A) Base RI'!J237</f>
        <v>30928.33</v>
      </c>
      <c r="M237" s="10">
        <f>+'A) Base RI'!K237</f>
        <v>2450.5</v>
      </c>
      <c r="N237" s="10">
        <f>+'A) Base RI'!Q237</f>
        <v>0</v>
      </c>
      <c r="O237" s="10">
        <f t="shared" si="19"/>
        <v>61797.52</v>
      </c>
      <c r="P237" s="10">
        <f>+'A) Base RI'!L237</f>
        <v>77246.899999999994</v>
      </c>
      <c r="Q237" s="35">
        <f>'A) Base RI'!AR237</f>
        <v>1.25</v>
      </c>
      <c r="R237" s="2">
        <f t="shared" si="20"/>
        <v>860360.73</v>
      </c>
      <c r="S237" s="34">
        <f>+'A) Base RI'!AM237</f>
        <v>72</v>
      </c>
      <c r="T237" s="2">
        <f t="shared" si="21"/>
        <v>796112.71</v>
      </c>
      <c r="U237" s="2">
        <f t="shared" si="22"/>
        <v>11949.454583333332</v>
      </c>
      <c r="V237" s="10">
        <f>+'A) Base RI'!O237</f>
        <v>3</v>
      </c>
      <c r="W237" s="10">
        <f>+'A) Base RI'!P237</f>
        <v>29755</v>
      </c>
      <c r="X237" s="10">
        <f>+'A) Base RI'!R237</f>
        <v>16773.05</v>
      </c>
      <c r="Y237" s="2">
        <f t="shared" si="23"/>
        <v>46531.05</v>
      </c>
      <c r="Z237" s="10">
        <f>+'A) Base RI'!N237</f>
        <v>0</v>
      </c>
      <c r="AA237" s="10">
        <f>+'A) Base RI'!S237+'A) Base RI'!T237</f>
        <v>150</v>
      </c>
      <c r="AB237" s="10">
        <f>+'A) Base RI'!U237</f>
        <v>2100</v>
      </c>
      <c r="AC237" s="10">
        <f>+'A) Base RI'!V237</f>
        <v>0</v>
      </c>
      <c r="AD237" s="10">
        <f>+'A) Base RI'!W237</f>
        <v>0</v>
      </c>
      <c r="AE237" s="10">
        <f>+'A) Base RI'!Y237</f>
        <v>5715</v>
      </c>
      <c r="AF237" s="10">
        <f>+'A) Base RI'!Z237</f>
        <v>0</v>
      </c>
      <c r="AG237" s="10">
        <f>+'A) Base RI'!AA237</f>
        <v>48552.55</v>
      </c>
      <c r="AH237" s="10">
        <f>+'A) Base RI'!AB237</f>
        <v>0</v>
      </c>
      <c r="AI237" s="10">
        <f>+'A) Base RI'!AC237</f>
        <v>25099.599999999999</v>
      </c>
      <c r="AJ237" s="10">
        <f>+'A) Base RI'!AD237</f>
        <v>0</v>
      </c>
      <c r="AK237" s="10">
        <f>+'A) Base RI'!AE237</f>
        <v>0</v>
      </c>
      <c r="AL237" s="10">
        <f>+'A) Base RI'!AF237</f>
        <v>0</v>
      </c>
      <c r="AM237" s="10">
        <f>+'A) Base RI'!AG237</f>
        <v>0</v>
      </c>
      <c r="AN237" s="10">
        <f>+'A) Base RI'!AH237</f>
        <v>0</v>
      </c>
      <c r="AO237" s="10">
        <f>+'A) Base RI'!AI237</f>
        <v>0</v>
      </c>
      <c r="AP237" s="10">
        <f>+'A) Base RI'!AJ237</f>
        <v>0</v>
      </c>
      <c r="AQ237" s="10">
        <f>+'A) Base RI'!AK237</f>
        <v>0</v>
      </c>
      <c r="AR237" s="10">
        <f>'A) Base RI'!AN237</f>
        <v>374</v>
      </c>
    </row>
    <row r="238" spans="1:44" x14ac:dyDescent="0.25">
      <c r="A238" s="8">
        <f>'A) Base RI'!A238</f>
        <v>5790</v>
      </c>
      <c r="B238" s="33" t="str">
        <f>'A) Base RI'!B238</f>
        <v>Maracon</v>
      </c>
      <c r="C238" s="10">
        <f>'A) Base RI'!C238+'A) Base RI'!D238</f>
        <v>882562.31</v>
      </c>
      <c r="D238" s="10">
        <f>'A) Base RI'!AO238</f>
        <v>-3469.62</v>
      </c>
      <c r="E238" s="32">
        <f>'A) Base RI'!AP238</f>
        <v>0</v>
      </c>
      <c r="F238" s="32">
        <f>'A) Base RI'!AQ238</f>
        <v>-123.43</v>
      </c>
      <c r="G238" s="2">
        <f t="shared" si="18"/>
        <v>878969.26</v>
      </c>
      <c r="H238" s="10">
        <f>+'A) Base RI'!E238</f>
        <v>0</v>
      </c>
      <c r="I238" s="10">
        <f>+'A) Base RI'!F238</f>
        <v>0</v>
      </c>
      <c r="J238" s="10">
        <f>+'A) Base RI'!G238+'A) Base RI'!H238</f>
        <v>6654.6</v>
      </c>
      <c r="K238" s="10">
        <f>+'A) Base RI'!I238</f>
        <v>0</v>
      </c>
      <c r="L238" s="10">
        <f>+'A) Base RI'!J238</f>
        <v>37556.47</v>
      </c>
      <c r="M238" s="10">
        <f>+'A) Base RI'!K238</f>
        <v>4128</v>
      </c>
      <c r="N238" s="10">
        <f>+'A) Base RI'!Q238</f>
        <v>0</v>
      </c>
      <c r="O238" s="10">
        <f t="shared" si="19"/>
        <v>82667.199999999997</v>
      </c>
      <c r="P238" s="10">
        <f>+'A) Base RI'!L238</f>
        <v>82667.199999999997</v>
      </c>
      <c r="Q238" s="35">
        <f>'A) Base RI'!AR238</f>
        <v>1</v>
      </c>
      <c r="R238" s="2">
        <f t="shared" si="20"/>
        <v>1009975.5299999999</v>
      </c>
      <c r="S238" s="34">
        <f>+'A) Base RI'!AM238</f>
        <v>76</v>
      </c>
      <c r="T238" s="2">
        <f t="shared" si="21"/>
        <v>923180.33</v>
      </c>
      <c r="U238" s="2">
        <f t="shared" si="22"/>
        <v>13289.151710526314</v>
      </c>
      <c r="V238" s="10">
        <f>+'A) Base RI'!O238</f>
        <v>0</v>
      </c>
      <c r="W238" s="10">
        <f>+'A) Base RI'!P238</f>
        <v>111342.15</v>
      </c>
      <c r="X238" s="10">
        <f>+'A) Base RI'!R238</f>
        <v>19566</v>
      </c>
      <c r="Y238" s="2">
        <f t="shared" si="23"/>
        <v>130908.15</v>
      </c>
      <c r="Z238" s="10">
        <f>+'A) Base RI'!N238</f>
        <v>10203.049999999999</v>
      </c>
      <c r="AA238" s="10">
        <f>+'A) Base RI'!S238+'A) Base RI'!T238</f>
        <v>0</v>
      </c>
      <c r="AB238" s="10">
        <f>+'A) Base RI'!U238</f>
        <v>5100</v>
      </c>
      <c r="AC238" s="10">
        <f>+'A) Base RI'!V238</f>
        <v>0</v>
      </c>
      <c r="AD238" s="10">
        <f>+'A) Base RI'!W238</f>
        <v>0</v>
      </c>
      <c r="AE238" s="10">
        <f>+'A) Base RI'!Y238</f>
        <v>19416</v>
      </c>
      <c r="AF238" s="10">
        <f>+'A) Base RI'!Z238</f>
        <v>0</v>
      </c>
      <c r="AG238" s="10">
        <f>+'A) Base RI'!AA238</f>
        <v>68471.100000000006</v>
      </c>
      <c r="AH238" s="10">
        <f>+'A) Base RI'!AB238</f>
        <v>0</v>
      </c>
      <c r="AI238" s="10">
        <f>+'A) Base RI'!AC238</f>
        <v>26776</v>
      </c>
      <c r="AJ238" s="10">
        <f>+'A) Base RI'!AD238</f>
        <v>9255</v>
      </c>
      <c r="AK238" s="10">
        <f>+'A) Base RI'!AE238</f>
        <v>0</v>
      </c>
      <c r="AL238" s="10">
        <f>+'A) Base RI'!AF238</f>
        <v>0</v>
      </c>
      <c r="AM238" s="10">
        <f>+'A) Base RI'!AG238</f>
        <v>0</v>
      </c>
      <c r="AN238" s="10">
        <f>+'A) Base RI'!AH238</f>
        <v>0</v>
      </c>
      <c r="AO238" s="10">
        <f>+'A) Base RI'!AI238</f>
        <v>0</v>
      </c>
      <c r="AP238" s="10">
        <f>+'A) Base RI'!AJ238</f>
        <v>0</v>
      </c>
      <c r="AQ238" s="10">
        <f>+'A) Base RI'!AK238</f>
        <v>0</v>
      </c>
      <c r="AR238" s="10">
        <f>'A) Base RI'!AN238</f>
        <v>492</v>
      </c>
    </row>
    <row r="239" spans="1:44" x14ac:dyDescent="0.25">
      <c r="A239" s="8">
        <f>'A) Base RI'!A239</f>
        <v>5792</v>
      </c>
      <c r="B239" s="33" t="str">
        <f>'A) Base RI'!B239</f>
        <v>Montpreveyres</v>
      </c>
      <c r="C239" s="10">
        <f>'A) Base RI'!C239+'A) Base RI'!D239</f>
        <v>1301684.1499999999</v>
      </c>
      <c r="D239" s="10">
        <f>'A) Base RI'!AO239</f>
        <v>-15056.05</v>
      </c>
      <c r="E239" s="32">
        <f>'A) Base RI'!AP239</f>
        <v>0</v>
      </c>
      <c r="F239" s="32">
        <f>'A) Base RI'!AQ239</f>
        <v>-21.06</v>
      </c>
      <c r="G239" s="2">
        <f t="shared" si="18"/>
        <v>1286607.0399999998</v>
      </c>
      <c r="H239" s="10">
        <f>+'A) Base RI'!E239</f>
        <v>0</v>
      </c>
      <c r="I239" s="10">
        <f>+'A) Base RI'!F239</f>
        <v>0</v>
      </c>
      <c r="J239" s="10">
        <f>+'A) Base RI'!G239+'A) Base RI'!H239</f>
        <v>6975.8</v>
      </c>
      <c r="K239" s="10">
        <f>+'A) Base RI'!I239</f>
        <v>0</v>
      </c>
      <c r="L239" s="10">
        <f>+'A) Base RI'!J239</f>
        <v>29087.37</v>
      </c>
      <c r="M239" s="10">
        <f>+'A) Base RI'!K239</f>
        <v>2682</v>
      </c>
      <c r="N239" s="10">
        <f>+'A) Base RI'!Q239</f>
        <v>9674.76</v>
      </c>
      <c r="O239" s="10">
        <f t="shared" si="19"/>
        <v>108982.75</v>
      </c>
      <c r="P239" s="10">
        <f>+'A) Base RI'!L239</f>
        <v>108982.75</v>
      </c>
      <c r="Q239" s="35">
        <f>'A) Base RI'!AR239</f>
        <v>1</v>
      </c>
      <c r="R239" s="2">
        <f t="shared" ref="R239:R241" si="24">SUM(G239:O239)</f>
        <v>1444009.72</v>
      </c>
      <c r="S239" s="34">
        <f>+'A) Base RI'!AM239</f>
        <v>77</v>
      </c>
      <c r="T239" s="2">
        <f t="shared" ref="T239:T241" si="25">(G239+H239+J239+K239+L239+N239)</f>
        <v>1332344.97</v>
      </c>
      <c r="U239" s="2">
        <f t="shared" ref="U239:U241" si="26">R239/S239</f>
        <v>18753.372987012986</v>
      </c>
      <c r="V239" s="10">
        <f>+'A) Base RI'!O239</f>
        <v>0</v>
      </c>
      <c r="W239" s="10">
        <f>+'A) Base RI'!P239</f>
        <v>113292.7</v>
      </c>
      <c r="X239" s="10">
        <f>+'A) Base RI'!R239</f>
        <v>27873.05</v>
      </c>
      <c r="Y239" s="2">
        <f t="shared" ref="Y239:Y241" si="27">SUM(V239:X239)</f>
        <v>141165.75</v>
      </c>
      <c r="Z239" s="10">
        <f>+'A) Base RI'!N239</f>
        <v>16.149999999999999</v>
      </c>
      <c r="AA239" s="10">
        <f>+'A) Base RI'!S239+'A) Base RI'!T239</f>
        <v>0</v>
      </c>
      <c r="AB239" s="10">
        <f>+'A) Base RI'!U239</f>
        <v>2975</v>
      </c>
      <c r="AC239" s="10">
        <f>+'A) Base RI'!V239</f>
        <v>0</v>
      </c>
      <c r="AD239" s="10">
        <f>+'A) Base RI'!W239</f>
        <v>0</v>
      </c>
      <c r="AE239" s="10">
        <f>+'A) Base RI'!Y239</f>
        <v>-15575.4</v>
      </c>
      <c r="AF239" s="10">
        <f>+'A) Base RI'!Z239</f>
        <v>0</v>
      </c>
      <c r="AG239" s="10">
        <f>+'A) Base RI'!AA239</f>
        <v>97776.45</v>
      </c>
      <c r="AH239" s="10">
        <f>+'A) Base RI'!AB239</f>
        <v>0</v>
      </c>
      <c r="AI239" s="10">
        <f>+'A) Base RI'!AC239</f>
        <v>46520</v>
      </c>
      <c r="AJ239" s="10">
        <f>+'A) Base RI'!AD239</f>
        <v>-57839.05</v>
      </c>
      <c r="AK239" s="10">
        <f>+'A) Base RI'!AE239</f>
        <v>0</v>
      </c>
      <c r="AL239" s="10">
        <f>+'A) Base RI'!AF239</f>
        <v>0</v>
      </c>
      <c r="AM239" s="10">
        <f>+'A) Base RI'!AG239</f>
        <v>0</v>
      </c>
      <c r="AN239" s="10">
        <f>+'A) Base RI'!AH239</f>
        <v>7600</v>
      </c>
      <c r="AO239" s="10">
        <f>+'A) Base RI'!AI239</f>
        <v>0</v>
      </c>
      <c r="AP239" s="10">
        <f>+'A) Base RI'!AJ239</f>
        <v>0</v>
      </c>
      <c r="AQ239" s="10">
        <f>+'A) Base RI'!AK239</f>
        <v>0</v>
      </c>
      <c r="AR239" s="10">
        <f>'A) Base RI'!AN239</f>
        <v>643</v>
      </c>
    </row>
    <row r="240" spans="1:44" x14ac:dyDescent="0.25">
      <c r="A240" s="8">
        <f>'A) Base RI'!A240</f>
        <v>5798</v>
      </c>
      <c r="B240" s="33" t="str">
        <f>'A) Base RI'!B240</f>
        <v>Ropraz</v>
      </c>
      <c r="C240" s="10">
        <f>'A) Base RI'!C240+'A) Base RI'!D240</f>
        <v>950444.7</v>
      </c>
      <c r="D240" s="10">
        <f>'A) Base RI'!AO240</f>
        <v>-8736.27</v>
      </c>
      <c r="E240" s="32">
        <f>'A) Base RI'!AP240</f>
        <v>0</v>
      </c>
      <c r="F240" s="32">
        <f>'A) Base RI'!AQ240</f>
        <v>-66.56</v>
      </c>
      <c r="G240" s="2">
        <f t="shared" si="18"/>
        <v>941641.86999999988</v>
      </c>
      <c r="H240" s="10">
        <f>+'A) Base RI'!E240</f>
        <v>0</v>
      </c>
      <c r="I240" s="10">
        <f>+'A) Base RI'!F240</f>
        <v>0</v>
      </c>
      <c r="J240" s="10">
        <f>+'A) Base RI'!G240+'A) Base RI'!H240</f>
        <v>12224.199999999999</v>
      </c>
      <c r="K240" s="10">
        <f>+'A) Base RI'!I240</f>
        <v>0</v>
      </c>
      <c r="L240" s="10">
        <f>+'A) Base RI'!J240</f>
        <v>30285.200000000001</v>
      </c>
      <c r="M240" s="10">
        <f>+'A) Base RI'!K240</f>
        <v>4079.5</v>
      </c>
      <c r="N240" s="10">
        <f>+'A) Base RI'!Q240</f>
        <v>2945.2</v>
      </c>
      <c r="O240" s="10">
        <f t="shared" si="19"/>
        <v>75591.3</v>
      </c>
      <c r="P240" s="10">
        <f>+'A) Base RI'!L240</f>
        <v>37795.65</v>
      </c>
      <c r="Q240" s="35">
        <f>'A) Base RI'!AR240</f>
        <v>0.5</v>
      </c>
      <c r="R240" s="2">
        <f t="shared" si="24"/>
        <v>1066767.2699999998</v>
      </c>
      <c r="S240" s="34">
        <f>+'A) Base RI'!AM240</f>
        <v>77.5</v>
      </c>
      <c r="T240" s="2">
        <f t="shared" si="25"/>
        <v>987096.46999999974</v>
      </c>
      <c r="U240" s="2">
        <f t="shared" si="26"/>
        <v>13764.738967741932</v>
      </c>
      <c r="V240" s="10">
        <f>+'A) Base RI'!O240</f>
        <v>20443.2</v>
      </c>
      <c r="W240" s="10">
        <f>+'A) Base RI'!P240</f>
        <v>61510.75</v>
      </c>
      <c r="X240" s="10">
        <f>+'A) Base RI'!R240</f>
        <v>11393.1</v>
      </c>
      <c r="Y240" s="2">
        <f t="shared" si="27"/>
        <v>93347.05</v>
      </c>
      <c r="Z240" s="10">
        <f>+'A) Base RI'!N240</f>
        <v>7800.35</v>
      </c>
      <c r="AA240" s="10">
        <f>+'A) Base RI'!S240+'A) Base RI'!T240</f>
        <v>75</v>
      </c>
      <c r="AB240" s="10">
        <f>+'A) Base RI'!U240</f>
        <v>3120</v>
      </c>
      <c r="AC240" s="10">
        <f>+'A) Base RI'!V240</f>
        <v>0</v>
      </c>
      <c r="AD240" s="10">
        <f>+'A) Base RI'!W240</f>
        <v>0</v>
      </c>
      <c r="AE240" s="10">
        <f>+'A) Base RI'!Y240</f>
        <v>34560</v>
      </c>
      <c r="AF240" s="10">
        <f>+'A) Base RI'!Z240</f>
        <v>0</v>
      </c>
      <c r="AG240" s="10">
        <f>+'A) Base RI'!AA240</f>
        <v>42295</v>
      </c>
      <c r="AH240" s="10">
        <f>+'A) Base RI'!AB240</f>
        <v>0</v>
      </c>
      <c r="AI240" s="10">
        <f>+'A) Base RI'!AC240</f>
        <v>37112.6</v>
      </c>
      <c r="AJ240" s="10">
        <f>+'A) Base RI'!AD240</f>
        <v>35299.199999999997</v>
      </c>
      <c r="AK240" s="10">
        <f>+'A) Base RI'!AE240</f>
        <v>0</v>
      </c>
      <c r="AL240" s="10">
        <f>+'A) Base RI'!AF240</f>
        <v>0</v>
      </c>
      <c r="AM240" s="10">
        <f>+'A) Base RI'!AG240</f>
        <v>0</v>
      </c>
      <c r="AN240" s="10">
        <f>+'A) Base RI'!AH240</f>
        <v>0</v>
      </c>
      <c r="AO240" s="10">
        <f>+'A) Base RI'!AI240</f>
        <v>0</v>
      </c>
      <c r="AP240" s="10">
        <f>+'A) Base RI'!AJ240</f>
        <v>0</v>
      </c>
      <c r="AQ240" s="10">
        <f>+'A) Base RI'!AK240</f>
        <v>0</v>
      </c>
      <c r="AR240" s="10">
        <f>'A) Base RI'!AN240</f>
        <v>494</v>
      </c>
    </row>
    <row r="241" spans="1:44" x14ac:dyDescent="0.25">
      <c r="A241" s="8">
        <f>'A) Base RI'!A241</f>
        <v>5799</v>
      </c>
      <c r="B241" s="33" t="str">
        <f>'A) Base RI'!B241</f>
        <v>Servion</v>
      </c>
      <c r="C241" s="10">
        <f>'A) Base RI'!C241+'A) Base RI'!D241</f>
        <v>4271453.41</v>
      </c>
      <c r="D241" s="10">
        <f>'A) Base RI'!AO241</f>
        <v>-22582.12</v>
      </c>
      <c r="E241" s="32">
        <f>'A) Base RI'!AP241</f>
        <v>0</v>
      </c>
      <c r="F241" s="32">
        <f>'A) Base RI'!AQ241</f>
        <v>-239.74</v>
      </c>
      <c r="G241" s="2">
        <f t="shared" si="18"/>
        <v>4248631.55</v>
      </c>
      <c r="H241" s="10">
        <f>+'A) Base RI'!E241</f>
        <v>0</v>
      </c>
      <c r="I241" s="10">
        <f>+'A) Base RI'!F241</f>
        <v>0</v>
      </c>
      <c r="J241" s="10">
        <f>+'A) Base RI'!G241+'A) Base RI'!H241</f>
        <v>97585.1</v>
      </c>
      <c r="K241" s="10">
        <f>+'A) Base RI'!I241</f>
        <v>0</v>
      </c>
      <c r="L241" s="10">
        <f>+'A) Base RI'!J241</f>
        <v>49829.599999999999</v>
      </c>
      <c r="M241" s="10">
        <f>+'A) Base RI'!K241</f>
        <v>15188.2</v>
      </c>
      <c r="N241" s="10">
        <f>+'A) Base RI'!Q241</f>
        <v>10763.61</v>
      </c>
      <c r="O241" s="10">
        <f t="shared" si="19"/>
        <v>362185.35</v>
      </c>
      <c r="P241" s="10">
        <f>+'A) Base RI'!L241</f>
        <v>362185.35</v>
      </c>
      <c r="Q241" s="35">
        <f>'A) Base RI'!AR241</f>
        <v>1</v>
      </c>
      <c r="R241" s="2">
        <f t="shared" si="24"/>
        <v>4784183.4099999992</v>
      </c>
      <c r="S241" s="34">
        <f>+'A) Base RI'!AM241</f>
        <v>69</v>
      </c>
      <c r="T241" s="2">
        <f t="shared" si="25"/>
        <v>4406809.8599999994</v>
      </c>
      <c r="U241" s="2">
        <f t="shared" si="26"/>
        <v>69335.991449275345</v>
      </c>
      <c r="V241" s="10">
        <f>+'A) Base RI'!O241</f>
        <v>230859.9</v>
      </c>
      <c r="W241" s="10">
        <f>+'A) Base RI'!P241</f>
        <v>225102.85</v>
      </c>
      <c r="X241" s="10">
        <f>+'A) Base RI'!R241</f>
        <v>166727.35</v>
      </c>
      <c r="Y241" s="2">
        <f t="shared" si="27"/>
        <v>622690.1</v>
      </c>
      <c r="Z241" s="10">
        <f>+'A) Base RI'!N241</f>
        <v>22437.1</v>
      </c>
      <c r="AA241" s="10">
        <f>+'A) Base RI'!S241+'A) Base RI'!T241</f>
        <v>0</v>
      </c>
      <c r="AB241" s="10">
        <f>+'A) Base RI'!U241</f>
        <v>9300</v>
      </c>
      <c r="AC241" s="10">
        <f>+'A) Base RI'!V241</f>
        <v>67216.45</v>
      </c>
      <c r="AD241" s="10">
        <f>+'A) Base RI'!W241</f>
        <v>593.1</v>
      </c>
      <c r="AE241" s="10">
        <f>+'A) Base RI'!Y241</f>
        <v>52143.65</v>
      </c>
      <c r="AF241" s="10">
        <f>+'A) Base RI'!Z241</f>
        <v>0</v>
      </c>
      <c r="AG241" s="10">
        <f>+'A) Base RI'!AA241</f>
        <v>367492.8</v>
      </c>
      <c r="AH241" s="10">
        <f>+'A) Base RI'!AB241</f>
        <v>0</v>
      </c>
      <c r="AI241" s="10">
        <f>+'A) Base RI'!AC241</f>
        <v>127818.55</v>
      </c>
      <c r="AJ241" s="10">
        <f>+'A) Base RI'!AD241</f>
        <v>0</v>
      </c>
      <c r="AK241" s="10">
        <f>+'A) Base RI'!AE241</f>
        <v>0</v>
      </c>
      <c r="AL241" s="10">
        <f>+'A) Base RI'!AF241</f>
        <v>0</v>
      </c>
      <c r="AM241" s="10">
        <f>+'A) Base RI'!AG241</f>
        <v>0</v>
      </c>
      <c r="AN241" s="10">
        <f>+'A) Base RI'!AH241</f>
        <v>57095.199999999997</v>
      </c>
      <c r="AO241" s="10">
        <f>+'A) Base RI'!AI241</f>
        <v>0</v>
      </c>
      <c r="AP241" s="10">
        <f>+'A) Base RI'!AJ241</f>
        <v>0</v>
      </c>
      <c r="AQ241" s="10">
        <f>+'A) Base RI'!AK241</f>
        <v>0</v>
      </c>
      <c r="AR241" s="10">
        <f>'A) Base RI'!AN241</f>
        <v>1942</v>
      </c>
    </row>
    <row r="242" spans="1:44" x14ac:dyDescent="0.25">
      <c r="A242" s="8">
        <f>'A) Base RI'!A242</f>
        <v>5803</v>
      </c>
      <c r="B242" s="33" t="str">
        <f>'A) Base RI'!B242</f>
        <v>Vulliens</v>
      </c>
      <c r="C242" s="10">
        <f>'A) Base RI'!C242+'A) Base RI'!D242</f>
        <v>1180909.02</v>
      </c>
      <c r="D242" s="10">
        <f>'A) Base RI'!AO242</f>
        <v>-2626.78</v>
      </c>
      <c r="E242" s="32">
        <f>'A) Base RI'!AP242</f>
        <v>0</v>
      </c>
      <c r="F242" s="32">
        <f>'A) Base RI'!AQ242</f>
        <v>-2.21</v>
      </c>
      <c r="G242" s="2">
        <f t="shared" si="18"/>
        <v>1178280.03</v>
      </c>
      <c r="H242" s="10">
        <f>+'A) Base RI'!E242</f>
        <v>0</v>
      </c>
      <c r="I242" s="10">
        <f>+'A) Base RI'!F242</f>
        <v>0</v>
      </c>
      <c r="J242" s="10">
        <f>+'A) Base RI'!G242+'A) Base RI'!H242</f>
        <v>13134.4</v>
      </c>
      <c r="K242" s="10">
        <f>+'A) Base RI'!I242</f>
        <v>0</v>
      </c>
      <c r="L242" s="10">
        <f>+'A) Base RI'!J242</f>
        <v>15537.11</v>
      </c>
      <c r="M242" s="10">
        <f>+'A) Base RI'!K242</f>
        <v>0</v>
      </c>
      <c r="N242" s="10">
        <f>+'A) Base RI'!Q242</f>
        <v>0</v>
      </c>
      <c r="O242" s="10">
        <f t="shared" si="19"/>
        <v>89383.65</v>
      </c>
      <c r="P242" s="10">
        <f>+'A) Base RI'!L242</f>
        <v>89383.65</v>
      </c>
      <c r="Q242" s="35">
        <f>'A) Base RI'!AR242</f>
        <v>1</v>
      </c>
      <c r="R242" s="2">
        <f t="shared" si="20"/>
        <v>1296335.19</v>
      </c>
      <c r="S242" s="34">
        <f>+'A) Base RI'!AM242</f>
        <v>78</v>
      </c>
      <c r="T242" s="2">
        <f t="shared" si="21"/>
        <v>1206951.54</v>
      </c>
      <c r="U242" s="2">
        <f t="shared" si="22"/>
        <v>16619.681923076922</v>
      </c>
      <c r="V242" s="10">
        <f>+'A) Base RI'!O242</f>
        <v>0</v>
      </c>
      <c r="W242" s="10">
        <f>+'A) Base RI'!P242</f>
        <v>118559.95</v>
      </c>
      <c r="X242" s="10">
        <f>+'A) Base RI'!R242</f>
        <v>12630</v>
      </c>
      <c r="Y242" s="2">
        <f t="shared" si="23"/>
        <v>131189.95000000001</v>
      </c>
      <c r="Z242" s="10">
        <f>+'A) Base RI'!N242</f>
        <v>0</v>
      </c>
      <c r="AA242" s="10">
        <f>+'A) Base RI'!S242+'A) Base RI'!T242</f>
        <v>1069.25</v>
      </c>
      <c r="AB242" s="10">
        <f>+'A) Base RI'!U242</f>
        <v>5750</v>
      </c>
      <c r="AC242" s="10">
        <f>+'A) Base RI'!V242</f>
        <v>0</v>
      </c>
      <c r="AD242" s="10">
        <f>+'A) Base RI'!W242</f>
        <v>200</v>
      </c>
      <c r="AE242" s="10">
        <f>+'A) Base RI'!Y242</f>
        <v>13750</v>
      </c>
      <c r="AF242" s="10" t="str">
        <f>+'A) Base RI'!Z242</f>
        <v/>
      </c>
      <c r="AG242" s="10">
        <f>+'A) Base RI'!AA242</f>
        <v>48800</v>
      </c>
      <c r="AH242" s="10" t="str">
        <f>+'A) Base RI'!AB242</f>
        <v/>
      </c>
      <c r="AI242" s="10">
        <f>+'A) Base RI'!AC242</f>
        <v>33172.5</v>
      </c>
      <c r="AJ242" s="10">
        <f>+'A) Base RI'!AD242</f>
        <v>28237.5</v>
      </c>
      <c r="AK242" s="10">
        <f>+'A) Base RI'!AE242</f>
        <v>12700</v>
      </c>
      <c r="AL242" s="10" t="str">
        <f>+'A) Base RI'!AF242</f>
        <v/>
      </c>
      <c r="AM242" s="10" t="str">
        <f>+'A) Base RI'!AG242</f>
        <v/>
      </c>
      <c r="AN242" s="10">
        <f>+'A) Base RI'!AH242</f>
        <v>0</v>
      </c>
      <c r="AO242" s="10">
        <f>+'A) Base RI'!AI242</f>
        <v>0</v>
      </c>
      <c r="AP242" s="10">
        <f>+'A) Base RI'!AJ242</f>
        <v>0</v>
      </c>
      <c r="AQ242" s="10">
        <f>+'A) Base RI'!AK242</f>
        <v>0</v>
      </c>
      <c r="AR242" s="10">
        <f>'A) Base RI'!AN242</f>
        <v>595</v>
      </c>
    </row>
    <row r="243" spans="1:44" x14ac:dyDescent="0.25">
      <c r="A243" s="8">
        <f>'A) Base RI'!A243</f>
        <v>5804</v>
      </c>
      <c r="B243" s="33" t="str">
        <f>'A) Base RI'!B243</f>
        <v>Jorat-Menthue</v>
      </c>
      <c r="C243" s="10">
        <f>'A) Base RI'!C243+'A) Base RI'!D243</f>
        <v>3185449.98</v>
      </c>
      <c r="D243" s="10">
        <f>'A) Base RI'!AO243</f>
        <v>-108086.48</v>
      </c>
      <c r="E243" s="32">
        <f>'A) Base RI'!AP243</f>
        <v>0</v>
      </c>
      <c r="F243" s="32">
        <f>'A) Base RI'!AQ243</f>
        <v>-96.32</v>
      </c>
      <c r="G243" s="2">
        <f t="shared" si="18"/>
        <v>3077267.18</v>
      </c>
      <c r="H243" s="10">
        <f>+'A) Base RI'!E243</f>
        <v>0</v>
      </c>
      <c r="I243" s="10">
        <f>+'A) Base RI'!F243</f>
        <v>0</v>
      </c>
      <c r="J243" s="10">
        <f>+'A) Base RI'!G243+'A) Base RI'!H243</f>
        <v>11271.2</v>
      </c>
      <c r="K243" s="10">
        <f>+'A) Base RI'!I243</f>
        <v>0</v>
      </c>
      <c r="L243" s="10">
        <f>+'A) Base RI'!J243</f>
        <v>63919.16</v>
      </c>
      <c r="M243" s="10">
        <f>+'A) Base RI'!K243</f>
        <v>2028.1</v>
      </c>
      <c r="N243" s="10">
        <f>+'A) Base RI'!Q243</f>
        <v>12784.31</v>
      </c>
      <c r="O243" s="10">
        <f t="shared" si="19"/>
        <v>257016.35</v>
      </c>
      <c r="P243" s="10">
        <f>+'A) Base RI'!L243</f>
        <v>257016.35</v>
      </c>
      <c r="Q243" s="35">
        <f>'A) Base RI'!AR243</f>
        <v>1</v>
      </c>
      <c r="R243" s="2">
        <f t="shared" si="20"/>
        <v>3424286.3000000007</v>
      </c>
      <c r="S243" s="34">
        <f>+'A) Base RI'!AM243</f>
        <v>72</v>
      </c>
      <c r="T243" s="2">
        <f t="shared" si="21"/>
        <v>3165241.8500000006</v>
      </c>
      <c r="U243" s="2">
        <f t="shared" si="22"/>
        <v>47559.531944444454</v>
      </c>
      <c r="V243" s="10">
        <f>+'A) Base RI'!O243</f>
        <v>8057.55</v>
      </c>
      <c r="W243" s="10">
        <f>+'A) Base RI'!P243</f>
        <v>65212.5</v>
      </c>
      <c r="X243" s="10">
        <f>+'A) Base RI'!R243</f>
        <v>23597.9</v>
      </c>
      <c r="Y243" s="2">
        <f t="shared" si="23"/>
        <v>96867.950000000012</v>
      </c>
      <c r="Z243" s="10">
        <f>+'A) Base RI'!N243</f>
        <v>5038.1000000000004</v>
      </c>
      <c r="AA243" s="10">
        <f>+'A) Base RI'!S243+'A) Base RI'!T243</f>
        <v>0</v>
      </c>
      <c r="AB243" s="10">
        <f>+'A) Base RI'!U243</f>
        <v>13300</v>
      </c>
      <c r="AC243" s="10">
        <f>+'A) Base RI'!V243</f>
        <v>2301.15</v>
      </c>
      <c r="AD243" s="10">
        <f>+'A) Base RI'!W243</f>
        <v>0</v>
      </c>
      <c r="AE243" s="10">
        <f>+'A) Base RI'!Y243</f>
        <v>3392.55</v>
      </c>
      <c r="AF243" s="10" t="str">
        <f>+'A) Base RI'!Z243</f>
        <v/>
      </c>
      <c r="AG243" s="10">
        <f>+'A) Base RI'!AA243</f>
        <v>278687.55</v>
      </c>
      <c r="AH243" s="10" t="str">
        <f>+'A) Base RI'!AB243</f>
        <v/>
      </c>
      <c r="AI243" s="10">
        <f>+'A) Base RI'!AC243</f>
        <v>176486.1</v>
      </c>
      <c r="AJ243" s="10">
        <f>+'A) Base RI'!AD243</f>
        <v>2306.25</v>
      </c>
      <c r="AK243" s="10" t="str">
        <f>+'A) Base RI'!AE243</f>
        <v/>
      </c>
      <c r="AL243" s="10" t="str">
        <f>+'A) Base RI'!AF243</f>
        <v/>
      </c>
      <c r="AM243" s="10" t="str">
        <f>+'A) Base RI'!AG243</f>
        <v/>
      </c>
      <c r="AN243" s="10">
        <f>+'A) Base RI'!AH243</f>
        <v>41404.85</v>
      </c>
      <c r="AO243" s="10">
        <f>+'A) Base RI'!AI243</f>
        <v>0</v>
      </c>
      <c r="AP243" s="10">
        <f>+'A) Base RI'!AJ243</f>
        <v>0</v>
      </c>
      <c r="AQ243" s="10">
        <f>+'A) Base RI'!AK243</f>
        <v>0</v>
      </c>
      <c r="AR243" s="10">
        <f>'A) Base RI'!AN243</f>
        <v>1586</v>
      </c>
    </row>
    <row r="244" spans="1:44" x14ac:dyDescent="0.25">
      <c r="A244" s="8">
        <f>'A) Base RI'!A244</f>
        <v>5805</v>
      </c>
      <c r="B244" s="33" t="str">
        <f>'A) Base RI'!B244</f>
        <v>Oron</v>
      </c>
      <c r="C244" s="10">
        <f>'A) Base RI'!C244+'A) Base RI'!D244</f>
        <v>9015873.5</v>
      </c>
      <c r="D244" s="10">
        <f>'A) Base RI'!AO244</f>
        <v>-303244.34999999998</v>
      </c>
      <c r="E244" s="32">
        <f>'A) Base RI'!AP244</f>
        <v>0</v>
      </c>
      <c r="F244" s="32">
        <f>'A) Base RI'!AQ244</f>
        <v>-525.83000000000004</v>
      </c>
      <c r="G244" s="2">
        <f t="shared" si="18"/>
        <v>8712103.3200000003</v>
      </c>
      <c r="H244" s="10">
        <f>+'A) Base RI'!E244</f>
        <v>0</v>
      </c>
      <c r="I244" s="10">
        <f>+'A) Base RI'!F244</f>
        <v>0</v>
      </c>
      <c r="J244" s="10">
        <f>+'A) Base RI'!G244+'A) Base RI'!H244</f>
        <v>927953</v>
      </c>
      <c r="K244" s="10">
        <f>+'A) Base RI'!I244</f>
        <v>0</v>
      </c>
      <c r="L244" s="10">
        <f>+'A) Base RI'!J244</f>
        <v>173382.53</v>
      </c>
      <c r="M244" s="10">
        <f>+'A) Base RI'!K244</f>
        <v>87534.8</v>
      </c>
      <c r="N244" s="10">
        <f>+'A) Base RI'!Q244</f>
        <v>75929.83</v>
      </c>
      <c r="O244" s="10">
        <f t="shared" si="19"/>
        <v>879836.04545454541</v>
      </c>
      <c r="P244" s="10">
        <f>+'A) Base RI'!L244</f>
        <v>967819.65</v>
      </c>
      <c r="Q244" s="35">
        <f>'A) Base RI'!AR244</f>
        <v>1.1000000000000001</v>
      </c>
      <c r="R244" s="2">
        <f t="shared" si="20"/>
        <v>10856739.525454545</v>
      </c>
      <c r="S244" s="34">
        <f>+'A) Base RI'!AM244</f>
        <v>69</v>
      </c>
      <c r="T244" s="2">
        <f t="shared" si="21"/>
        <v>9889368.6799999997</v>
      </c>
      <c r="U244" s="2">
        <f t="shared" si="22"/>
        <v>157344.05109354414</v>
      </c>
      <c r="V244" s="10">
        <f>+'A) Base RI'!O244</f>
        <v>443187.5</v>
      </c>
      <c r="W244" s="10">
        <f>+'A) Base RI'!P244</f>
        <v>452989.3</v>
      </c>
      <c r="X244" s="10">
        <f>+'A) Base RI'!R244</f>
        <v>294095.75</v>
      </c>
      <c r="Y244" s="2">
        <f t="shared" si="23"/>
        <v>1190272.55</v>
      </c>
      <c r="Z244" s="10">
        <f>+'A) Base RI'!N244</f>
        <v>71863.5</v>
      </c>
      <c r="AA244" s="10">
        <f>+'A) Base RI'!S244+'A) Base RI'!T244</f>
        <v>52030.6</v>
      </c>
      <c r="AB244" s="10">
        <f>+'A) Base RI'!U244</f>
        <v>43570</v>
      </c>
      <c r="AC244" s="10">
        <f>+'A) Base RI'!V244</f>
        <v>2000</v>
      </c>
      <c r="AD244" s="10">
        <f>+'A) Base RI'!W244</f>
        <v>4147.1499999999996</v>
      </c>
      <c r="AE244" s="10">
        <f>+'A) Base RI'!Y244</f>
        <v>50990.25</v>
      </c>
      <c r="AF244" s="10">
        <f>+'A) Base RI'!Z244</f>
        <v>0</v>
      </c>
      <c r="AG244" s="10">
        <f>+'A) Base RI'!AA244</f>
        <v>855465.35</v>
      </c>
      <c r="AH244" s="10">
        <f>+'A) Base RI'!AB244</f>
        <v>0</v>
      </c>
      <c r="AI244" s="10">
        <f>+'A) Base RI'!AC244</f>
        <v>375895</v>
      </c>
      <c r="AJ244" s="10">
        <f>+'A) Base RI'!AD244</f>
        <v>88348.1</v>
      </c>
      <c r="AK244" s="10">
        <f>+'A) Base RI'!AE244</f>
        <v>0</v>
      </c>
      <c r="AL244" s="10">
        <f>+'A) Base RI'!AF244</f>
        <v>0</v>
      </c>
      <c r="AM244" s="10">
        <f>+'A) Base RI'!AG244</f>
        <v>0</v>
      </c>
      <c r="AN244" s="10">
        <f>+'A) Base RI'!AH244</f>
        <v>181572.8</v>
      </c>
      <c r="AO244" s="10">
        <f>+'A) Base RI'!AI244</f>
        <v>0</v>
      </c>
      <c r="AP244" s="10">
        <f>+'A) Base RI'!AJ244</f>
        <v>0</v>
      </c>
      <c r="AQ244" s="10">
        <f>+'A) Base RI'!AK244</f>
        <v>0</v>
      </c>
      <c r="AR244" s="10">
        <f>'A) Base RI'!AN244</f>
        <v>5501</v>
      </c>
    </row>
    <row r="245" spans="1:44" x14ac:dyDescent="0.25">
      <c r="A245" s="8">
        <f>'A) Base RI'!A245</f>
        <v>5806</v>
      </c>
      <c r="B245" s="33" t="str">
        <f>'A) Base RI'!B245</f>
        <v>Jorat-Mézières</v>
      </c>
      <c r="C245" s="10">
        <f>'A) Base RI'!C245+'A) Base RI'!D245</f>
        <v>6172743.8399999999</v>
      </c>
      <c r="D245" s="10">
        <f>'A) Base RI'!AO245</f>
        <v>-86193.34</v>
      </c>
      <c r="E245" s="32">
        <f>'A) Base RI'!AP245</f>
        <v>0</v>
      </c>
      <c r="F245" s="32">
        <f>'A) Base RI'!AQ245</f>
        <v>-329.98</v>
      </c>
      <c r="G245" s="2">
        <f t="shared" si="18"/>
        <v>6086220.5199999996</v>
      </c>
      <c r="H245" s="10">
        <f>+'A) Base RI'!E245</f>
        <v>0</v>
      </c>
      <c r="I245" s="10">
        <f>+'A) Base RI'!F245</f>
        <v>0</v>
      </c>
      <c r="J245" s="10">
        <f>+'A) Base RI'!G245+'A) Base RI'!H245</f>
        <v>141386.69999999998</v>
      </c>
      <c r="K245" s="10">
        <f>+'A) Base RI'!I245</f>
        <v>54947.5</v>
      </c>
      <c r="L245" s="10">
        <f>+'A) Base RI'!J245</f>
        <v>61537.65</v>
      </c>
      <c r="M245" s="10">
        <f>+'A) Base RI'!K245</f>
        <v>22111.9</v>
      </c>
      <c r="N245" s="10">
        <f>+'A) Base RI'!Q245</f>
        <v>29906.52</v>
      </c>
      <c r="O245" s="10">
        <f t="shared" si="19"/>
        <v>487312.2</v>
      </c>
      <c r="P245" s="10">
        <f>+'A) Base RI'!L245</f>
        <v>487312.2</v>
      </c>
      <c r="Q245" s="35">
        <f>'A) Base RI'!AR245</f>
        <v>1</v>
      </c>
      <c r="R245" s="2">
        <f t="shared" si="20"/>
        <v>6883422.9900000002</v>
      </c>
      <c r="S245" s="34">
        <f>+'A) Base RI'!AM245</f>
        <v>76</v>
      </c>
      <c r="T245" s="2">
        <f t="shared" si="21"/>
        <v>6373998.8899999997</v>
      </c>
      <c r="U245" s="2">
        <f t="shared" si="22"/>
        <v>90571.355131578952</v>
      </c>
      <c r="V245" s="10">
        <f>+'A) Base RI'!O245</f>
        <v>198523.9</v>
      </c>
      <c r="W245" s="10">
        <f>+'A) Base RI'!P245</f>
        <v>224496.8</v>
      </c>
      <c r="X245" s="10">
        <f>+'A) Base RI'!R245</f>
        <v>236140.25</v>
      </c>
      <c r="Y245" s="2">
        <f t="shared" si="23"/>
        <v>659160.94999999995</v>
      </c>
      <c r="Z245" s="10">
        <f>+'A) Base RI'!N245</f>
        <v>38920.85</v>
      </c>
      <c r="AA245" s="10">
        <f>+'A) Base RI'!S245+'A) Base RI'!T245</f>
        <v>0</v>
      </c>
      <c r="AB245" s="10">
        <f>+'A) Base RI'!U245</f>
        <v>11490</v>
      </c>
      <c r="AC245" s="10">
        <f>+'A) Base RI'!V245</f>
        <v>21350</v>
      </c>
      <c r="AD245" s="10">
        <f>+'A) Base RI'!W245</f>
        <v>0</v>
      </c>
      <c r="AE245" s="10">
        <f>+'A) Base RI'!Y245</f>
        <v>307982.59999999998</v>
      </c>
      <c r="AF245" s="10">
        <f>+'A) Base RI'!Z245</f>
        <v>0</v>
      </c>
      <c r="AG245" s="10">
        <f>+'A) Base RI'!AA245</f>
        <v>531970</v>
      </c>
      <c r="AH245" s="10">
        <f>+'A) Base RI'!AB245</f>
        <v>0</v>
      </c>
      <c r="AI245" s="10">
        <f>+'A) Base RI'!AC245</f>
        <v>289032.75</v>
      </c>
      <c r="AJ245" s="10">
        <f>+'A) Base RI'!AD245</f>
        <v>207216.4</v>
      </c>
      <c r="AK245" s="10">
        <f>+'A) Base RI'!AE245</f>
        <v>0</v>
      </c>
      <c r="AL245" s="10">
        <f>+'A) Base RI'!AF245</f>
        <v>0</v>
      </c>
      <c r="AM245" s="10">
        <f>+'A) Base RI'!AG245</f>
        <v>2891</v>
      </c>
      <c r="AN245" s="10">
        <f>+'A) Base RI'!AH245</f>
        <v>0</v>
      </c>
      <c r="AO245" s="10">
        <f>+'A) Base RI'!AI245</f>
        <v>0</v>
      </c>
      <c r="AP245" s="10">
        <f>+'A) Base RI'!AJ245</f>
        <v>0</v>
      </c>
      <c r="AQ245" s="10">
        <f>+'A) Base RI'!AK245</f>
        <v>0</v>
      </c>
      <c r="AR245" s="10">
        <f>'A) Base RI'!AN245</f>
        <v>2869</v>
      </c>
    </row>
    <row r="246" spans="1:44" x14ac:dyDescent="0.25">
      <c r="A246" s="8">
        <f>'A) Base RI'!A246</f>
        <v>5812</v>
      </c>
      <c r="B246" s="33" t="str">
        <f>'A) Base RI'!B246</f>
        <v>Champtauroz</v>
      </c>
      <c r="C246" s="10">
        <f>'A) Base RI'!C246+'A) Base RI'!D246</f>
        <v>183869.07</v>
      </c>
      <c r="D246" s="10">
        <f>'A) Base RI'!AO246</f>
        <v>-13299.86</v>
      </c>
      <c r="E246" s="32">
        <f>'A) Base RI'!AP246</f>
        <v>0</v>
      </c>
      <c r="F246" s="32">
        <f>'A) Base RI'!AQ246</f>
        <v>0</v>
      </c>
      <c r="G246" s="2">
        <f t="shared" si="18"/>
        <v>170569.21000000002</v>
      </c>
      <c r="H246" s="10">
        <f>+'A) Base RI'!E246</f>
        <v>0</v>
      </c>
      <c r="I246" s="10">
        <f>+'A) Base RI'!F246</f>
        <v>0</v>
      </c>
      <c r="J246" s="10">
        <f>+'A) Base RI'!G246+'A) Base RI'!H246</f>
        <v>555.45000000000005</v>
      </c>
      <c r="K246" s="10">
        <f>+'A) Base RI'!I246</f>
        <v>0</v>
      </c>
      <c r="L246" s="10">
        <f>+'A) Base RI'!J246</f>
        <v>0</v>
      </c>
      <c r="M246" s="10">
        <f>+'A) Base RI'!K246</f>
        <v>613</v>
      </c>
      <c r="N246" s="10">
        <f>+'A) Base RI'!Q246</f>
        <v>0</v>
      </c>
      <c r="O246" s="10">
        <f t="shared" si="19"/>
        <v>14997.125</v>
      </c>
      <c r="P246" s="10">
        <f>+'A) Base RI'!L246</f>
        <v>11997.7</v>
      </c>
      <c r="Q246" s="35">
        <f>'A) Base RI'!AR246</f>
        <v>0.8</v>
      </c>
      <c r="R246" s="2">
        <f t="shared" si="20"/>
        <v>186734.78500000003</v>
      </c>
      <c r="S246" s="34">
        <f>+'A) Base RI'!AM246</f>
        <v>77</v>
      </c>
      <c r="T246" s="2">
        <f t="shared" si="21"/>
        <v>171124.66000000003</v>
      </c>
      <c r="U246" s="2">
        <f t="shared" si="22"/>
        <v>2425.1270779220786</v>
      </c>
      <c r="V246" s="10">
        <f>+'A) Base RI'!O246</f>
        <v>0</v>
      </c>
      <c r="W246" s="10">
        <f>+'A) Base RI'!P246</f>
        <v>16434.150000000001</v>
      </c>
      <c r="X246" s="10">
        <f>+'A) Base RI'!R246</f>
        <v>4469.2</v>
      </c>
      <c r="Y246" s="2">
        <f t="shared" si="23"/>
        <v>20903.350000000002</v>
      </c>
      <c r="Z246" s="10">
        <f>+'A) Base RI'!N246</f>
        <v>0</v>
      </c>
      <c r="AA246" s="10">
        <f>+'A) Base RI'!S246+'A) Base RI'!T246</f>
        <v>0</v>
      </c>
      <c r="AB246" s="10">
        <f>+'A) Base RI'!U246</f>
        <v>440</v>
      </c>
      <c r="AC246" s="10">
        <f>+'A) Base RI'!V246</f>
        <v>0</v>
      </c>
      <c r="AD246" s="10">
        <f>+'A) Base RI'!W246</f>
        <v>0</v>
      </c>
      <c r="AE246" s="10">
        <f>+'A) Base RI'!Y246</f>
        <v>23800</v>
      </c>
      <c r="AF246" s="10">
        <f>+'A) Base RI'!Z246</f>
        <v>0</v>
      </c>
      <c r="AG246" s="10">
        <f>+'A) Base RI'!AA246</f>
        <v>9946.25</v>
      </c>
      <c r="AH246" s="10">
        <f>+'A) Base RI'!AB246</f>
        <v>0</v>
      </c>
      <c r="AI246" s="10">
        <f>+'A) Base RI'!AC246</f>
        <v>12107.36</v>
      </c>
      <c r="AJ246" s="10">
        <f>+'A) Base RI'!AD246</f>
        <v>14000</v>
      </c>
      <c r="AK246" s="10">
        <f>+'A) Base RI'!AE246</f>
        <v>0</v>
      </c>
      <c r="AL246" s="10">
        <f>+'A) Base RI'!AF246</f>
        <v>0</v>
      </c>
      <c r="AM246" s="10">
        <f>+'A) Base RI'!AG246</f>
        <v>0</v>
      </c>
      <c r="AN246" s="10">
        <f>+'A) Base RI'!AH246</f>
        <v>2925.05</v>
      </c>
      <c r="AO246" s="10">
        <f>+'A) Base RI'!AI246</f>
        <v>0</v>
      </c>
      <c r="AP246" s="10">
        <f>+'A) Base RI'!AJ246</f>
        <v>0</v>
      </c>
      <c r="AQ246" s="10">
        <f>+'A) Base RI'!AK246</f>
        <v>0</v>
      </c>
      <c r="AR246" s="10">
        <f>'A) Base RI'!AN246</f>
        <v>122</v>
      </c>
    </row>
    <row r="247" spans="1:44" x14ac:dyDescent="0.25">
      <c r="A247" s="8">
        <f>'A) Base RI'!A247</f>
        <v>5813</v>
      </c>
      <c r="B247" s="33" t="str">
        <f>'A) Base RI'!B247</f>
        <v>Chevroux</v>
      </c>
      <c r="C247" s="10">
        <f>'A) Base RI'!C247+'A) Base RI'!D247</f>
        <v>789454.65</v>
      </c>
      <c r="D247" s="10">
        <f>'A) Base RI'!AO247</f>
        <v>-1102.45</v>
      </c>
      <c r="E247" s="32">
        <f>'A) Base RI'!AP247</f>
        <v>0</v>
      </c>
      <c r="F247" s="32">
        <f>'A) Base RI'!AQ247</f>
        <v>-9.0500000000000007</v>
      </c>
      <c r="G247" s="2">
        <f t="shared" si="18"/>
        <v>788343.15</v>
      </c>
      <c r="H247" s="10">
        <f>+'A) Base RI'!E247</f>
        <v>0</v>
      </c>
      <c r="I247" s="10">
        <f>+'A) Base RI'!F247</f>
        <v>3020</v>
      </c>
      <c r="J247" s="10">
        <f>+'A) Base RI'!G247+'A) Base RI'!H247</f>
        <v>41175.300000000003</v>
      </c>
      <c r="K247" s="10">
        <f>+'A) Base RI'!I247</f>
        <v>0</v>
      </c>
      <c r="L247" s="10">
        <f>+'A) Base RI'!J247</f>
        <v>5164.9799999999996</v>
      </c>
      <c r="M247" s="10">
        <f>+'A) Base RI'!K247</f>
        <v>0</v>
      </c>
      <c r="N247" s="10">
        <f>+'A) Base RI'!Q247</f>
        <v>-2179.37</v>
      </c>
      <c r="O247" s="10">
        <f t="shared" si="19"/>
        <v>82462.583333333343</v>
      </c>
      <c r="P247" s="10">
        <f>+'A) Base RI'!L247</f>
        <v>98955.1</v>
      </c>
      <c r="Q247" s="35">
        <f>'A) Base RI'!AR247</f>
        <v>1.2</v>
      </c>
      <c r="R247" s="2">
        <f t="shared" si="20"/>
        <v>917986.64333333343</v>
      </c>
      <c r="S247" s="34">
        <f>+'A) Base RI'!AM247</f>
        <v>70</v>
      </c>
      <c r="T247" s="2">
        <f t="shared" si="21"/>
        <v>832504.06</v>
      </c>
      <c r="U247" s="2">
        <f t="shared" si="22"/>
        <v>13114.094904761907</v>
      </c>
      <c r="V247" s="10">
        <f>+'A) Base RI'!O247</f>
        <v>108057.8</v>
      </c>
      <c r="W247" s="10">
        <f>+'A) Base RI'!P247</f>
        <v>30593.45</v>
      </c>
      <c r="X247" s="10">
        <f>+'A) Base RI'!R247</f>
        <v>33904.85</v>
      </c>
      <c r="Y247" s="2">
        <f t="shared" si="23"/>
        <v>172556.1</v>
      </c>
      <c r="Z247" s="10">
        <f>+'A) Base RI'!N247</f>
        <v>0</v>
      </c>
      <c r="AA247" s="10">
        <f>+'A) Base RI'!S247+'A) Base RI'!T247</f>
        <v>2477.5</v>
      </c>
      <c r="AB247" s="10">
        <f>+'A) Base RI'!U247</f>
        <v>5200</v>
      </c>
      <c r="AC247" s="10">
        <f>+'A) Base RI'!V247</f>
        <v>0</v>
      </c>
      <c r="AD247" s="10">
        <f>+'A) Base RI'!W247</f>
        <v>0</v>
      </c>
      <c r="AE247" s="10">
        <f>+'A) Base RI'!Y247</f>
        <v>13568</v>
      </c>
      <c r="AF247" s="10">
        <f>+'A) Base RI'!Z247</f>
        <v>0</v>
      </c>
      <c r="AG247" s="10">
        <f>+'A) Base RI'!AA247</f>
        <v>52027.5</v>
      </c>
      <c r="AH247" s="10">
        <f>+'A) Base RI'!AB247</f>
        <v>0</v>
      </c>
      <c r="AI247" s="10">
        <f>+'A) Base RI'!AC247</f>
        <v>56652.05</v>
      </c>
      <c r="AJ247" s="10">
        <f>+'A) Base RI'!AD247</f>
        <v>7053.59</v>
      </c>
      <c r="AK247" s="10">
        <f>+'A) Base RI'!AE247</f>
        <v>0</v>
      </c>
      <c r="AL247" s="10">
        <f>+'A) Base RI'!AF247</f>
        <v>0</v>
      </c>
      <c r="AM247" s="10">
        <f>+'A) Base RI'!AG247</f>
        <v>86293.5</v>
      </c>
      <c r="AN247" s="10">
        <f>+'A) Base RI'!AH247</f>
        <v>0</v>
      </c>
      <c r="AO247" s="10">
        <f>+'A) Base RI'!AI247</f>
        <v>19035.3</v>
      </c>
      <c r="AP247" s="10">
        <f>+'A) Base RI'!AJ247</f>
        <v>0</v>
      </c>
      <c r="AQ247" s="10">
        <f>+'A) Base RI'!AK247</f>
        <v>0</v>
      </c>
      <c r="AR247" s="10">
        <f>'A) Base RI'!AN247</f>
        <v>480</v>
      </c>
    </row>
    <row r="248" spans="1:44" x14ac:dyDescent="0.25">
      <c r="A248" s="8">
        <f>'A) Base RI'!A248</f>
        <v>5816</v>
      </c>
      <c r="B248" s="33" t="str">
        <f>'A) Base RI'!B248</f>
        <v>Corcelles-près-Payerne</v>
      </c>
      <c r="C248" s="10">
        <f>'A) Base RI'!C248+'A) Base RI'!D248</f>
        <v>3438893.36</v>
      </c>
      <c r="D248" s="10">
        <f>'A) Base RI'!AO248</f>
        <v>-171902.18</v>
      </c>
      <c r="E248" s="32">
        <f>'A) Base RI'!AP248</f>
        <v>0</v>
      </c>
      <c r="F248" s="32">
        <f>'A) Base RI'!AQ248</f>
        <v>-5.25</v>
      </c>
      <c r="G248" s="2">
        <f t="shared" si="18"/>
        <v>3266985.9299999997</v>
      </c>
      <c r="H248" s="10">
        <f>+'A) Base RI'!E248</f>
        <v>0</v>
      </c>
      <c r="I248" s="10">
        <f>+'A) Base RI'!F248</f>
        <v>0</v>
      </c>
      <c r="J248" s="10">
        <f>+'A) Base RI'!G248+'A) Base RI'!H248</f>
        <v>191774.1</v>
      </c>
      <c r="K248" s="10">
        <f>+'A) Base RI'!I248</f>
        <v>0</v>
      </c>
      <c r="L248" s="10">
        <f>+'A) Base RI'!J248</f>
        <v>184926.58</v>
      </c>
      <c r="M248" s="10">
        <f>+'A) Base RI'!K248</f>
        <v>38400.550000000003</v>
      </c>
      <c r="N248" s="10">
        <f>+'A) Base RI'!Q248</f>
        <v>32903.730000000003</v>
      </c>
      <c r="O248" s="10">
        <f t="shared" si="19"/>
        <v>334856.6428571429</v>
      </c>
      <c r="P248" s="10">
        <f>+'A) Base RI'!L248</f>
        <v>234399.65</v>
      </c>
      <c r="Q248" s="35">
        <f>'A) Base RI'!AR248</f>
        <v>0.7</v>
      </c>
      <c r="R248" s="2">
        <f t="shared" si="20"/>
        <v>4049847.5328571424</v>
      </c>
      <c r="S248" s="34">
        <f>+'A) Base RI'!AM248</f>
        <v>72</v>
      </c>
      <c r="T248" s="2">
        <f t="shared" si="21"/>
        <v>3676590.34</v>
      </c>
      <c r="U248" s="2">
        <f t="shared" si="22"/>
        <v>56247.882400793642</v>
      </c>
      <c r="V248" s="10">
        <f>+'A) Base RI'!O248</f>
        <v>6500.4</v>
      </c>
      <c r="W248" s="10">
        <f>+'A) Base RI'!P248</f>
        <v>148533.85</v>
      </c>
      <c r="X248" s="10">
        <f>+'A) Base RI'!R248</f>
        <v>101749.85</v>
      </c>
      <c r="Y248" s="2">
        <f t="shared" si="23"/>
        <v>256784.1</v>
      </c>
      <c r="Z248" s="10">
        <f>+'A) Base RI'!N248</f>
        <v>7944.55</v>
      </c>
      <c r="AA248" s="10">
        <f>+'A) Base RI'!S248+'A) Base RI'!T248</f>
        <v>9777.94</v>
      </c>
      <c r="AB248" s="10">
        <f>+'A) Base RI'!U248</f>
        <v>9240</v>
      </c>
      <c r="AC248" s="10">
        <f>+'A) Base RI'!V248</f>
        <v>588</v>
      </c>
      <c r="AD248" s="10">
        <f>+'A) Base RI'!W248</f>
        <v>0</v>
      </c>
      <c r="AE248" s="10">
        <f>+'A) Base RI'!Y248</f>
        <v>54777.8</v>
      </c>
      <c r="AF248" s="10">
        <f>+'A) Base RI'!Z248</f>
        <v>0</v>
      </c>
      <c r="AG248" s="10">
        <f>+'A) Base RI'!AA248</f>
        <v>493061.75</v>
      </c>
      <c r="AH248" s="10">
        <f>+'A) Base RI'!AB248</f>
        <v>0</v>
      </c>
      <c r="AI248" s="10">
        <f>+'A) Base RI'!AC248</f>
        <v>222896.8</v>
      </c>
      <c r="AJ248" s="10">
        <f>+'A) Base RI'!AD248</f>
        <v>38137.4</v>
      </c>
      <c r="AK248" s="10">
        <f>+'A) Base RI'!AE248</f>
        <v>0</v>
      </c>
      <c r="AL248" s="10">
        <f>+'A) Base RI'!AF248</f>
        <v>0</v>
      </c>
      <c r="AM248" s="10">
        <f>+'A) Base RI'!AG248</f>
        <v>0</v>
      </c>
      <c r="AN248" s="10">
        <f>+'A) Base RI'!AH248</f>
        <v>0</v>
      </c>
      <c r="AO248" s="10">
        <f>+'A) Base RI'!AI248</f>
        <v>0</v>
      </c>
      <c r="AP248" s="10">
        <f>+'A) Base RI'!AJ248</f>
        <v>0</v>
      </c>
      <c r="AQ248" s="10">
        <f>+'A) Base RI'!AK248</f>
        <v>0</v>
      </c>
      <c r="AR248" s="10">
        <f>'A) Base RI'!AN248</f>
        <v>2479</v>
      </c>
    </row>
    <row r="249" spans="1:44" x14ac:dyDescent="0.25">
      <c r="A249" s="8">
        <f>'A) Base RI'!A249</f>
        <v>5817</v>
      </c>
      <c r="B249" s="33" t="str">
        <f>'A) Base RI'!B249</f>
        <v>Grandcour</v>
      </c>
      <c r="C249" s="10">
        <f>'A) Base RI'!C249+'A) Base RI'!D249</f>
        <v>1688482.2000000002</v>
      </c>
      <c r="D249" s="10">
        <f>'A) Base RI'!AO249</f>
        <v>-47617.56</v>
      </c>
      <c r="E249" s="32">
        <f>'A) Base RI'!AP249</f>
        <v>0</v>
      </c>
      <c r="F249" s="32">
        <f>'A) Base RI'!AQ249</f>
        <v>-5.0199999999999996</v>
      </c>
      <c r="G249" s="2">
        <f t="shared" si="18"/>
        <v>1640859.62</v>
      </c>
      <c r="H249" s="10">
        <f>+'A) Base RI'!E249</f>
        <v>0</v>
      </c>
      <c r="I249" s="10">
        <f>+'A) Base RI'!F249</f>
        <v>5250</v>
      </c>
      <c r="J249" s="10">
        <f>+'A) Base RI'!G249+'A) Base RI'!H249</f>
        <v>29255.949999999997</v>
      </c>
      <c r="K249" s="10">
        <f>+'A) Base RI'!I249</f>
        <v>0</v>
      </c>
      <c r="L249" s="10">
        <f>+'A) Base RI'!J249</f>
        <v>21506.38</v>
      </c>
      <c r="M249" s="10">
        <f>+'A) Base RI'!K249</f>
        <v>6302.65</v>
      </c>
      <c r="N249" s="10">
        <f>+'A) Base RI'!Q249</f>
        <v>1216.1099999999999</v>
      </c>
      <c r="O249" s="10">
        <f t="shared" si="19"/>
        <v>110760.5</v>
      </c>
      <c r="P249" s="10">
        <f>+'A) Base RI'!L249</f>
        <v>110760.5</v>
      </c>
      <c r="Q249" s="35">
        <f>'A) Base RI'!AR249</f>
        <v>1</v>
      </c>
      <c r="R249" s="2">
        <f t="shared" si="20"/>
        <v>1815151.21</v>
      </c>
      <c r="S249" s="34">
        <f>+'A) Base RI'!AM249</f>
        <v>77</v>
      </c>
      <c r="T249" s="2">
        <f t="shared" si="21"/>
        <v>1692838.06</v>
      </c>
      <c r="U249" s="2">
        <f t="shared" si="22"/>
        <v>23573.392337662339</v>
      </c>
      <c r="V249" s="10">
        <f>+'A) Base RI'!O249</f>
        <v>163854</v>
      </c>
      <c r="W249" s="10">
        <f>+'A) Base RI'!P249</f>
        <v>59338.25</v>
      </c>
      <c r="X249" s="10">
        <f>+'A) Base RI'!R249</f>
        <v>43570.9</v>
      </c>
      <c r="Y249" s="2">
        <f t="shared" si="23"/>
        <v>266763.15000000002</v>
      </c>
      <c r="Z249" s="10">
        <f>+'A) Base RI'!N249</f>
        <v>0</v>
      </c>
      <c r="AA249" s="10">
        <f>+'A) Base RI'!S249+'A) Base RI'!T249</f>
        <v>1616.8</v>
      </c>
      <c r="AB249" s="10">
        <f>+'A) Base RI'!U249</f>
        <v>4225</v>
      </c>
      <c r="AC249" s="10">
        <f>+'A) Base RI'!V249</f>
        <v>0</v>
      </c>
      <c r="AD249" s="10">
        <f>+'A) Base RI'!W249</f>
        <v>0</v>
      </c>
      <c r="AE249" s="10">
        <f>+'A) Base RI'!Y249</f>
        <v>197357.25</v>
      </c>
      <c r="AF249" s="10">
        <f>+'A) Base RI'!Z249</f>
        <v>0</v>
      </c>
      <c r="AG249" s="10">
        <f>+'A) Base RI'!AA249</f>
        <v>255588.25</v>
      </c>
      <c r="AH249" s="10">
        <f>+'A) Base RI'!AB249</f>
        <v>0</v>
      </c>
      <c r="AI249" s="10">
        <f>+'A) Base RI'!AC249</f>
        <v>81728.25</v>
      </c>
      <c r="AJ249" s="10">
        <f>+'A) Base RI'!AD249</f>
        <v>4373.1000000000004</v>
      </c>
      <c r="AK249" s="10">
        <f>+'A) Base RI'!AE249</f>
        <v>0</v>
      </c>
      <c r="AL249" s="10">
        <f>+'A) Base RI'!AF249</f>
        <v>0</v>
      </c>
      <c r="AM249" s="10">
        <f>+'A) Base RI'!AG249</f>
        <v>0</v>
      </c>
      <c r="AN249" s="10">
        <f>+'A) Base RI'!AH249</f>
        <v>27936.65</v>
      </c>
      <c r="AO249" s="10">
        <f>+'A) Base RI'!AI249</f>
        <v>0</v>
      </c>
      <c r="AP249" s="10">
        <f>+'A) Base RI'!AJ249</f>
        <v>0</v>
      </c>
      <c r="AQ249" s="10">
        <f>+'A) Base RI'!AK249</f>
        <v>0</v>
      </c>
      <c r="AR249" s="10">
        <f>'A) Base RI'!AN249</f>
        <v>929</v>
      </c>
    </row>
    <row r="250" spans="1:44" x14ac:dyDescent="0.25">
      <c r="A250" s="8">
        <f>'A) Base RI'!A250</f>
        <v>5819</v>
      </c>
      <c r="B250" s="33" t="str">
        <f>'A) Base RI'!B250</f>
        <v>Henniez</v>
      </c>
      <c r="C250" s="10">
        <f>'A) Base RI'!C250+'A) Base RI'!D250</f>
        <v>691664.06</v>
      </c>
      <c r="D250" s="10">
        <f>'A) Base RI'!AO250</f>
        <v>-28333.69</v>
      </c>
      <c r="E250" s="32">
        <f>'A) Base RI'!AP250</f>
        <v>0</v>
      </c>
      <c r="F250" s="32">
        <f>'A) Base RI'!AQ250</f>
        <v>-42.79</v>
      </c>
      <c r="G250" s="2">
        <f t="shared" si="18"/>
        <v>663287.58000000007</v>
      </c>
      <c r="H250" s="10">
        <f>+'A) Base RI'!E250</f>
        <v>0</v>
      </c>
      <c r="I250" s="10">
        <f>+'A) Base RI'!F250</f>
        <v>0</v>
      </c>
      <c r="J250" s="10">
        <f>+'A) Base RI'!G250+'A) Base RI'!H250</f>
        <v>173689.75</v>
      </c>
      <c r="K250" s="10">
        <f>+'A) Base RI'!I250</f>
        <v>0</v>
      </c>
      <c r="L250" s="10">
        <f>+'A) Base RI'!J250</f>
        <v>12719.06</v>
      </c>
      <c r="M250" s="10">
        <f>+'A) Base RI'!K250</f>
        <v>1942.95</v>
      </c>
      <c r="N250" s="10">
        <f>+'A) Base RI'!Q250</f>
        <v>1133.3699999999999</v>
      </c>
      <c r="O250" s="10">
        <f t="shared" si="19"/>
        <v>82763.649999999994</v>
      </c>
      <c r="P250" s="10">
        <f>+'A) Base RI'!L250</f>
        <v>82763.649999999994</v>
      </c>
      <c r="Q250" s="35">
        <f>'A) Base RI'!AR250</f>
        <v>1</v>
      </c>
      <c r="R250" s="2">
        <f t="shared" si="20"/>
        <v>935536.3600000001</v>
      </c>
      <c r="S250" s="34">
        <f>+'A) Base RI'!AM250</f>
        <v>69</v>
      </c>
      <c r="T250" s="2">
        <f t="shared" si="21"/>
        <v>850829.76000000013</v>
      </c>
      <c r="U250" s="2">
        <f t="shared" si="22"/>
        <v>13558.497971014494</v>
      </c>
      <c r="V250" s="10">
        <f>+'A) Base RI'!O250</f>
        <v>18931.400000000001</v>
      </c>
      <c r="W250" s="10">
        <f>+'A) Base RI'!P250</f>
        <v>22358.6</v>
      </c>
      <c r="X250" s="10">
        <f>+'A) Base RI'!R250</f>
        <v>23548.5</v>
      </c>
      <c r="Y250" s="2">
        <f t="shared" si="23"/>
        <v>64838.5</v>
      </c>
      <c r="Z250" s="10">
        <f>+'A) Base RI'!N250</f>
        <v>19038.25</v>
      </c>
      <c r="AA250" s="10">
        <f>+'A) Base RI'!S250+'A) Base RI'!T250</f>
        <v>0</v>
      </c>
      <c r="AB250" s="10">
        <f>+'A) Base RI'!U250</f>
        <v>880</v>
      </c>
      <c r="AC250" s="10">
        <f>+'A) Base RI'!V250</f>
        <v>0</v>
      </c>
      <c r="AD250" s="10">
        <f>+'A) Base RI'!W250</f>
        <v>0</v>
      </c>
      <c r="AE250" s="10">
        <f>+'A) Base RI'!Y250</f>
        <v>16392</v>
      </c>
      <c r="AF250" s="10">
        <f>+'A) Base RI'!Z250</f>
        <v>0</v>
      </c>
      <c r="AG250" s="10">
        <f>+'A) Base RI'!AA250</f>
        <v>75143.199999999997</v>
      </c>
      <c r="AH250" s="10">
        <f>+'A) Base RI'!AB250</f>
        <v>0</v>
      </c>
      <c r="AI250" s="10">
        <f>+'A) Base RI'!AC250</f>
        <v>32272.25</v>
      </c>
      <c r="AJ250" s="10">
        <f>+'A) Base RI'!AD250</f>
        <v>5732.7</v>
      </c>
      <c r="AK250" s="10">
        <f>+'A) Base RI'!AE250</f>
        <v>0</v>
      </c>
      <c r="AL250" s="10">
        <f>+'A) Base RI'!AF250</f>
        <v>0</v>
      </c>
      <c r="AM250" s="10">
        <f>+'A) Base RI'!AG250</f>
        <v>0</v>
      </c>
      <c r="AN250" s="10">
        <f>+'A) Base RI'!AH250</f>
        <v>56751</v>
      </c>
      <c r="AO250" s="10">
        <f>+'A) Base RI'!AI250</f>
        <v>0</v>
      </c>
      <c r="AP250" s="10">
        <f>+'A) Base RI'!AJ250</f>
        <v>0</v>
      </c>
      <c r="AQ250" s="10">
        <f>+'A) Base RI'!AK250</f>
        <v>0</v>
      </c>
      <c r="AR250" s="10">
        <f>'A) Base RI'!AN250</f>
        <v>341</v>
      </c>
    </row>
    <row r="251" spans="1:44" x14ac:dyDescent="0.25">
      <c r="A251" s="8">
        <f>'A) Base RI'!A251</f>
        <v>5821</v>
      </c>
      <c r="B251" s="33" t="str">
        <f>'A) Base RI'!B251</f>
        <v>Missy</v>
      </c>
      <c r="C251" s="10">
        <f>'A) Base RI'!C251+'A) Base RI'!D251</f>
        <v>550444.55000000005</v>
      </c>
      <c r="D251" s="10">
        <f>'A) Base RI'!AO251</f>
        <v>-668.16</v>
      </c>
      <c r="E251" s="32">
        <f>'A) Base RI'!AP251</f>
        <v>0</v>
      </c>
      <c r="F251" s="32">
        <f>'A) Base RI'!AQ251</f>
        <v>-51.3</v>
      </c>
      <c r="G251" s="2">
        <f t="shared" si="18"/>
        <v>549725.09</v>
      </c>
      <c r="H251" s="10">
        <f>+'A) Base RI'!E251</f>
        <v>0</v>
      </c>
      <c r="I251" s="10">
        <f>+'A) Base RI'!F251</f>
        <v>2030</v>
      </c>
      <c r="J251" s="10">
        <f>+'A) Base RI'!G251+'A) Base RI'!H251</f>
        <v>4916.6499999999996</v>
      </c>
      <c r="K251" s="10">
        <f>+'A) Base RI'!I251</f>
        <v>0</v>
      </c>
      <c r="L251" s="10">
        <f>+'A) Base RI'!J251</f>
        <v>11941.58</v>
      </c>
      <c r="M251" s="10">
        <f>+'A) Base RI'!K251</f>
        <v>1311.65</v>
      </c>
      <c r="N251" s="10">
        <f>+'A) Base RI'!Q251</f>
        <v>0</v>
      </c>
      <c r="O251" s="10">
        <f t="shared" si="19"/>
        <v>49531.7</v>
      </c>
      <c r="P251" s="10">
        <f>+'A) Base RI'!L251</f>
        <v>49531.7</v>
      </c>
      <c r="Q251" s="35">
        <f>'A) Base RI'!AR251</f>
        <v>1</v>
      </c>
      <c r="R251" s="2">
        <f t="shared" si="20"/>
        <v>619456.66999999993</v>
      </c>
      <c r="S251" s="34">
        <f>+'A) Base RI'!AM251</f>
        <v>72</v>
      </c>
      <c r="T251" s="2">
        <f t="shared" si="21"/>
        <v>566583.31999999995</v>
      </c>
      <c r="U251" s="2">
        <f t="shared" si="22"/>
        <v>8603.5648611111101</v>
      </c>
      <c r="V251" s="10">
        <f>+'A) Base RI'!O251</f>
        <v>6269.6</v>
      </c>
      <c r="W251" s="10">
        <f>+'A) Base RI'!P251</f>
        <v>6503.7</v>
      </c>
      <c r="X251" s="10">
        <f>+'A) Base RI'!R251</f>
        <v>17438.75</v>
      </c>
      <c r="Y251" s="2">
        <f t="shared" si="23"/>
        <v>30212.05</v>
      </c>
      <c r="Z251" s="10">
        <f>+'A) Base RI'!N251</f>
        <v>0</v>
      </c>
      <c r="AA251" s="10">
        <f>+'A) Base RI'!S251+'A) Base RI'!T251</f>
        <v>0</v>
      </c>
      <c r="AB251" s="10">
        <f>+'A) Base RI'!U251</f>
        <v>2750</v>
      </c>
      <c r="AC251" s="10">
        <f>+'A) Base RI'!V251</f>
        <v>0</v>
      </c>
      <c r="AD251" s="10">
        <f>+'A) Base RI'!W251</f>
        <v>0</v>
      </c>
      <c r="AE251" s="10">
        <f>+'A) Base RI'!Y251</f>
        <v>15312</v>
      </c>
      <c r="AF251" s="10">
        <f>+'A) Base RI'!Z251</f>
        <v>0</v>
      </c>
      <c r="AG251" s="10">
        <f>+'A) Base RI'!AA251</f>
        <v>52105.5</v>
      </c>
      <c r="AH251" s="10">
        <f>+'A) Base RI'!AB251</f>
        <v>0</v>
      </c>
      <c r="AI251" s="10">
        <f>+'A) Base RI'!AC251</f>
        <v>23939.65</v>
      </c>
      <c r="AJ251" s="10">
        <f>+'A) Base RI'!AD251</f>
        <v>0</v>
      </c>
      <c r="AK251" s="10">
        <f>+'A) Base RI'!AE251</f>
        <v>0</v>
      </c>
      <c r="AL251" s="10">
        <f>+'A) Base RI'!AF251</f>
        <v>0</v>
      </c>
      <c r="AM251" s="10">
        <f>+'A) Base RI'!AG251</f>
        <v>0</v>
      </c>
      <c r="AN251" s="10">
        <f>+'A) Base RI'!AH251</f>
        <v>8891.0499999999993</v>
      </c>
      <c r="AO251" s="10">
        <f>+'A) Base RI'!AI251</f>
        <v>0</v>
      </c>
      <c r="AP251" s="10">
        <f>+'A) Base RI'!AJ251</f>
        <v>163.35</v>
      </c>
      <c r="AQ251" s="10">
        <f>+'A) Base RI'!AK251</f>
        <v>0</v>
      </c>
      <c r="AR251" s="10">
        <f>'A) Base RI'!AN251</f>
        <v>368</v>
      </c>
    </row>
    <row r="252" spans="1:44" x14ac:dyDescent="0.25">
      <c r="A252" s="8">
        <f>'A) Base RI'!A252</f>
        <v>5822</v>
      </c>
      <c r="B252" s="33" t="str">
        <f>'A) Base RI'!B252</f>
        <v>Payerne</v>
      </c>
      <c r="C252" s="10">
        <f>'A) Base RI'!C252+'A) Base RI'!D252</f>
        <v>14956970.77</v>
      </c>
      <c r="D252" s="10">
        <f>'A) Base RI'!AO252</f>
        <v>-640420.86</v>
      </c>
      <c r="E252" s="32">
        <f>'A) Base RI'!AP252</f>
        <v>0</v>
      </c>
      <c r="F252" s="32">
        <f>'A) Base RI'!AQ252</f>
        <v>-547.98</v>
      </c>
      <c r="G252" s="2">
        <f t="shared" si="18"/>
        <v>14316001.93</v>
      </c>
      <c r="H252" s="10">
        <f>+'A) Base RI'!E252</f>
        <v>0</v>
      </c>
      <c r="I252" s="10">
        <f>+'A) Base RI'!F252</f>
        <v>0</v>
      </c>
      <c r="J252" s="10">
        <f>+'A) Base RI'!G252+'A) Base RI'!H252</f>
        <v>2112628.6</v>
      </c>
      <c r="K252" s="10">
        <f>+'A) Base RI'!I252</f>
        <v>0</v>
      </c>
      <c r="L252" s="10">
        <f>+'A) Base RI'!J252</f>
        <v>666696.86</v>
      </c>
      <c r="M252" s="10">
        <f>+'A) Base RI'!K252</f>
        <v>192225.3</v>
      </c>
      <c r="N252" s="10">
        <f>+'A) Base RI'!Q252</f>
        <v>84157.4</v>
      </c>
      <c r="O252" s="10">
        <f t="shared" si="19"/>
        <v>1327217.3</v>
      </c>
      <c r="P252" s="10">
        <f>+'A) Base RI'!L252</f>
        <v>1327217.3</v>
      </c>
      <c r="Q252" s="35">
        <f>'A) Base RI'!AR252</f>
        <v>1</v>
      </c>
      <c r="R252" s="2">
        <f t="shared" si="20"/>
        <v>18698927.390000001</v>
      </c>
      <c r="S252" s="34">
        <f>+'A) Base RI'!AM252</f>
        <v>75</v>
      </c>
      <c r="T252" s="2">
        <f t="shared" si="21"/>
        <v>17179484.789999999</v>
      </c>
      <c r="U252" s="2">
        <f t="shared" si="22"/>
        <v>249319.03186666669</v>
      </c>
      <c r="V252" s="10">
        <f>+'A) Base RI'!O252</f>
        <v>420748.7</v>
      </c>
      <c r="W252" s="10">
        <f>+'A) Base RI'!P252</f>
        <v>687566.8</v>
      </c>
      <c r="X252" s="10">
        <f>+'A) Base RI'!R252</f>
        <v>335449.8</v>
      </c>
      <c r="Y252" s="2">
        <f t="shared" si="23"/>
        <v>1443765.3</v>
      </c>
      <c r="Z252" s="10">
        <f>+'A) Base RI'!N252</f>
        <v>67583.05</v>
      </c>
      <c r="AA252" s="10">
        <f>+'A) Base RI'!S252+'A) Base RI'!T252</f>
        <v>128246</v>
      </c>
      <c r="AB252" s="10">
        <f>+'A) Base RI'!U252</f>
        <v>22500</v>
      </c>
      <c r="AC252" s="10">
        <f>+'A) Base RI'!V252</f>
        <v>58290.55</v>
      </c>
      <c r="AD252" s="10">
        <f>+'A) Base RI'!W252</f>
        <v>0</v>
      </c>
      <c r="AE252" s="10">
        <f>+'A) Base RI'!Y252</f>
        <v>37184</v>
      </c>
      <c r="AF252" s="10">
        <f>+'A) Base RI'!Z252</f>
        <v>0</v>
      </c>
      <c r="AG252" s="10">
        <f>+'A) Base RI'!AA252</f>
        <v>2440986.85</v>
      </c>
      <c r="AH252" s="10">
        <f>+'A) Base RI'!AB252</f>
        <v>0</v>
      </c>
      <c r="AI252" s="10">
        <f>+'A) Base RI'!AC252</f>
        <v>1194055.47</v>
      </c>
      <c r="AJ252" s="10">
        <f>+'A) Base RI'!AD252</f>
        <v>20209.91</v>
      </c>
      <c r="AK252" s="10">
        <f>+'A) Base RI'!AE252</f>
        <v>0</v>
      </c>
      <c r="AL252" s="10">
        <f>+'A) Base RI'!AF252</f>
        <v>0</v>
      </c>
      <c r="AM252" s="10">
        <f>+'A) Base RI'!AG252</f>
        <v>1410</v>
      </c>
      <c r="AN252" s="10">
        <f>+'A) Base RI'!AH252</f>
        <v>0</v>
      </c>
      <c r="AO252" s="10">
        <f>+'A) Base RI'!AI252</f>
        <v>0</v>
      </c>
      <c r="AP252" s="10">
        <f>+'A) Base RI'!AJ252</f>
        <v>0</v>
      </c>
      <c r="AQ252" s="10">
        <f>+'A) Base RI'!AK252</f>
        <v>0</v>
      </c>
      <c r="AR252" s="10">
        <f>'A) Base RI'!AN252</f>
        <v>9971</v>
      </c>
    </row>
    <row r="253" spans="1:44" x14ac:dyDescent="0.25">
      <c r="A253" s="8">
        <f>'A) Base RI'!A253</f>
        <v>5827</v>
      </c>
      <c r="B253" s="33" t="str">
        <f>'A) Base RI'!B253</f>
        <v>Trey</v>
      </c>
      <c r="C253" s="10">
        <f>'A) Base RI'!C253+'A) Base RI'!D253</f>
        <v>513120.56</v>
      </c>
      <c r="D253" s="10">
        <f>'A) Base RI'!AO253</f>
        <v>-11539.65</v>
      </c>
      <c r="E253" s="32">
        <f>'A) Base RI'!AP253</f>
        <v>0</v>
      </c>
      <c r="F253" s="32">
        <f>'A) Base RI'!AQ253</f>
        <v>0</v>
      </c>
      <c r="G253" s="2">
        <f t="shared" si="18"/>
        <v>501580.91</v>
      </c>
      <c r="H253" s="10">
        <f>+'A) Base RI'!E253</f>
        <v>0</v>
      </c>
      <c r="I253" s="10">
        <f>+'A) Base RI'!F253</f>
        <v>0</v>
      </c>
      <c r="J253" s="10">
        <f>+'A) Base RI'!G253+'A) Base RI'!H253</f>
        <v>26390.45</v>
      </c>
      <c r="K253" s="10">
        <f>+'A) Base RI'!I253</f>
        <v>0</v>
      </c>
      <c r="L253" s="10">
        <f>+'A) Base RI'!J253</f>
        <v>14639.52</v>
      </c>
      <c r="M253" s="10">
        <f>+'A) Base RI'!K253</f>
        <v>-709.65</v>
      </c>
      <c r="N253" s="10">
        <f>+'A) Base RI'!Q253</f>
        <v>53.52</v>
      </c>
      <c r="O253" s="10">
        <f t="shared" si="19"/>
        <v>36354.050000000003</v>
      </c>
      <c r="P253" s="10">
        <f>+'A) Base RI'!L253</f>
        <v>36354.050000000003</v>
      </c>
      <c r="Q253" s="35">
        <f>'A) Base RI'!AR253</f>
        <v>1</v>
      </c>
      <c r="R253" s="2">
        <f t="shared" si="20"/>
        <v>578308.80000000005</v>
      </c>
      <c r="S253" s="34">
        <f>+'A) Base RI'!AM253</f>
        <v>80</v>
      </c>
      <c r="T253" s="2">
        <f t="shared" si="21"/>
        <v>542664.4</v>
      </c>
      <c r="U253" s="2">
        <f t="shared" si="22"/>
        <v>7228.8600000000006</v>
      </c>
      <c r="V253" s="10">
        <f>+'A) Base RI'!O253</f>
        <v>28587.599999999999</v>
      </c>
      <c r="W253" s="10">
        <f>+'A) Base RI'!P253</f>
        <v>9667.9</v>
      </c>
      <c r="X253" s="10">
        <f>+'A) Base RI'!R253</f>
        <v>0</v>
      </c>
      <c r="Y253" s="2">
        <f t="shared" si="23"/>
        <v>38255.5</v>
      </c>
      <c r="Z253" s="10">
        <f>+'A) Base RI'!N253</f>
        <v>0</v>
      </c>
      <c r="AA253" s="10">
        <f>+'A) Base RI'!S253+'A) Base RI'!T253</f>
        <v>0</v>
      </c>
      <c r="AB253" s="10">
        <f>+'A) Base RI'!U253</f>
        <v>1725</v>
      </c>
      <c r="AC253" s="10">
        <f>+'A) Base RI'!V253</f>
        <v>0</v>
      </c>
      <c r="AD253" s="10">
        <f>+'A) Base RI'!W253</f>
        <v>0</v>
      </c>
      <c r="AE253" s="10">
        <f>+'A) Base RI'!Y253</f>
        <v>6000</v>
      </c>
      <c r="AF253" s="10">
        <f>+'A) Base RI'!Z253</f>
        <v>0</v>
      </c>
      <c r="AG253" s="10">
        <f>+'A) Base RI'!AA253</f>
        <v>40336.800000000003</v>
      </c>
      <c r="AH253" s="10">
        <f>+'A) Base RI'!AB253</f>
        <v>0</v>
      </c>
      <c r="AI253" s="10">
        <f>+'A) Base RI'!AC253</f>
        <v>13540</v>
      </c>
      <c r="AJ253" s="10">
        <f>+'A) Base RI'!AD253</f>
        <v>4332.3999999999996</v>
      </c>
      <c r="AK253" s="10">
        <f>+'A) Base RI'!AE253</f>
        <v>0</v>
      </c>
      <c r="AL253" s="10">
        <f>+'A) Base RI'!AF253</f>
        <v>0</v>
      </c>
      <c r="AM253" s="10">
        <f>+'A) Base RI'!AG253</f>
        <v>0</v>
      </c>
      <c r="AN253" s="10">
        <f>+'A) Base RI'!AH253</f>
        <v>0</v>
      </c>
      <c r="AO253" s="10">
        <f>+'A) Base RI'!AI253</f>
        <v>0</v>
      </c>
      <c r="AP253" s="10">
        <f>+'A) Base RI'!AJ253</f>
        <v>0</v>
      </c>
      <c r="AQ253" s="10">
        <f>+'A) Base RI'!AK253</f>
        <v>0</v>
      </c>
      <c r="AR253" s="10">
        <f>'A) Base RI'!AN253</f>
        <v>267</v>
      </c>
    </row>
    <row r="254" spans="1:44" x14ac:dyDescent="0.25">
      <c r="A254" s="8">
        <f>'A) Base RI'!A254</f>
        <v>5828</v>
      </c>
      <c r="B254" s="33" t="str">
        <f>'A) Base RI'!B254</f>
        <v>Treytorrens (Payerne)</v>
      </c>
      <c r="C254" s="10">
        <f>'A) Base RI'!C254+'A) Base RI'!D254</f>
        <v>212112.96</v>
      </c>
      <c r="D254" s="10">
        <f>'A) Base RI'!AO254</f>
        <v>-2925.75</v>
      </c>
      <c r="E254" s="32">
        <f>'A) Base RI'!AP254</f>
        <v>0</v>
      </c>
      <c r="F254" s="32">
        <f>'A) Base RI'!AQ254</f>
        <v>0</v>
      </c>
      <c r="G254" s="2">
        <f t="shared" si="18"/>
        <v>209187.21</v>
      </c>
      <c r="H254" s="10">
        <f>+'A) Base RI'!E254</f>
        <v>0</v>
      </c>
      <c r="I254" s="10">
        <f>+'A) Base RI'!F254</f>
        <v>0</v>
      </c>
      <c r="J254" s="10">
        <f>+'A) Base RI'!G254+'A) Base RI'!H254</f>
        <v>262.2</v>
      </c>
      <c r="K254" s="10">
        <f>+'A) Base RI'!I254</f>
        <v>0</v>
      </c>
      <c r="L254" s="10">
        <f>+'A) Base RI'!J254</f>
        <v>140.04</v>
      </c>
      <c r="M254" s="10">
        <f>+'A) Base RI'!K254</f>
        <v>0</v>
      </c>
      <c r="N254" s="10">
        <f>+'A) Base RI'!Q254</f>
        <v>0</v>
      </c>
      <c r="O254" s="10">
        <f t="shared" si="19"/>
        <v>14882.633333333333</v>
      </c>
      <c r="P254" s="10">
        <f>+'A) Base RI'!L254</f>
        <v>22323.95</v>
      </c>
      <c r="Q254" s="35">
        <f>'A) Base RI'!AR254</f>
        <v>1.5</v>
      </c>
      <c r="R254" s="2">
        <f t="shared" si="20"/>
        <v>224472.08333333334</v>
      </c>
      <c r="S254" s="34">
        <f>+'A) Base RI'!AM254</f>
        <v>84</v>
      </c>
      <c r="T254" s="2">
        <f t="shared" si="21"/>
        <v>209589.45</v>
      </c>
      <c r="U254" s="2">
        <f t="shared" si="22"/>
        <v>2672.2867063492063</v>
      </c>
      <c r="V254" s="10">
        <f>+'A) Base RI'!O254</f>
        <v>848.7</v>
      </c>
      <c r="W254" s="10">
        <f>+'A) Base RI'!P254</f>
        <v>7007.6</v>
      </c>
      <c r="X254" s="10">
        <f>+'A) Base RI'!R254</f>
        <v>14019.6</v>
      </c>
      <c r="Y254" s="2">
        <f t="shared" si="23"/>
        <v>21875.9</v>
      </c>
      <c r="Z254" s="10">
        <f>+'A) Base RI'!N254</f>
        <v>0</v>
      </c>
      <c r="AA254" s="10">
        <f>+'A) Base RI'!S254+'A) Base RI'!T254</f>
        <v>0</v>
      </c>
      <c r="AB254" s="10">
        <f>+'A) Base RI'!U254</f>
        <v>540</v>
      </c>
      <c r="AC254" s="10">
        <f>+'A) Base RI'!V254</f>
        <v>0</v>
      </c>
      <c r="AD254" s="10">
        <f>+'A) Base RI'!W254</f>
        <v>0</v>
      </c>
      <c r="AE254" s="10">
        <f>+'A) Base RI'!Y254</f>
        <v>0</v>
      </c>
      <c r="AF254" s="10">
        <f>+'A) Base RI'!Z254</f>
        <v>0</v>
      </c>
      <c r="AG254" s="10">
        <f>+'A) Base RI'!AA254</f>
        <v>19689</v>
      </c>
      <c r="AH254" s="10">
        <f>+'A) Base RI'!AB254</f>
        <v>0</v>
      </c>
      <c r="AI254" s="10">
        <f>+'A) Base RI'!AC254</f>
        <v>9664.1</v>
      </c>
      <c r="AJ254" s="10">
        <f>+'A) Base RI'!AD254</f>
        <v>0</v>
      </c>
      <c r="AK254" s="10">
        <f>+'A) Base RI'!AE254</f>
        <v>0</v>
      </c>
      <c r="AL254" s="10">
        <f>+'A) Base RI'!AF254</f>
        <v>0</v>
      </c>
      <c r="AM254" s="10">
        <f>+'A) Base RI'!AG254</f>
        <v>0</v>
      </c>
      <c r="AN254" s="10">
        <f>+'A) Base RI'!AH254</f>
        <v>3525.7</v>
      </c>
      <c r="AO254" s="10">
        <f>+'A) Base RI'!AI254</f>
        <v>0</v>
      </c>
      <c r="AP254" s="10">
        <f>+'A) Base RI'!AJ254</f>
        <v>0</v>
      </c>
      <c r="AQ254" s="10">
        <f>+'A) Base RI'!AK254</f>
        <v>0</v>
      </c>
      <c r="AR254" s="10">
        <f>'A) Base RI'!AN254</f>
        <v>119</v>
      </c>
    </row>
    <row r="255" spans="1:44" x14ac:dyDescent="0.25">
      <c r="A255" s="8">
        <f>'A) Base RI'!A255</f>
        <v>5830</v>
      </c>
      <c r="B255" s="33" t="str">
        <f>'A) Base RI'!B255</f>
        <v>Villarzel</v>
      </c>
      <c r="C255" s="10">
        <f>'A) Base RI'!C255+'A) Base RI'!D255</f>
        <v>877404.76</v>
      </c>
      <c r="D255" s="10">
        <f>'A) Base RI'!AO255</f>
        <v>-8971.84</v>
      </c>
      <c r="E255" s="32">
        <f>'A) Base RI'!AP255</f>
        <v>0</v>
      </c>
      <c r="F255" s="32">
        <f>'A) Base RI'!AQ255</f>
        <v>-0.32</v>
      </c>
      <c r="G255" s="2">
        <f t="shared" si="18"/>
        <v>868432.60000000009</v>
      </c>
      <c r="H255" s="10">
        <f>+'A) Base RI'!E255</f>
        <v>0</v>
      </c>
      <c r="I255" s="10">
        <f>+'A) Base RI'!F255</f>
        <v>0</v>
      </c>
      <c r="J255" s="10">
        <f>+'A) Base RI'!G255+'A) Base RI'!H255</f>
        <v>3890.7999999999997</v>
      </c>
      <c r="K255" s="10">
        <f>+'A) Base RI'!I255</f>
        <v>0</v>
      </c>
      <c r="L255" s="10">
        <f>+'A) Base RI'!J255</f>
        <v>14595.19</v>
      </c>
      <c r="M255" s="10">
        <f>+'A) Base RI'!K255</f>
        <v>188.7</v>
      </c>
      <c r="N255" s="10">
        <f>+'A) Base RI'!Q255</f>
        <v>16141.64</v>
      </c>
      <c r="O255" s="10">
        <f t="shared" si="19"/>
        <v>55629.7</v>
      </c>
      <c r="P255" s="10">
        <f>+'A) Base RI'!L255</f>
        <v>55629.7</v>
      </c>
      <c r="Q255" s="35">
        <f>'A) Base RI'!AR255</f>
        <v>1</v>
      </c>
      <c r="R255" s="2">
        <f t="shared" si="20"/>
        <v>958878.63</v>
      </c>
      <c r="S255" s="34">
        <f>+'A) Base RI'!AM255</f>
        <v>79</v>
      </c>
      <c r="T255" s="2">
        <f t="shared" si="21"/>
        <v>903060.2300000001</v>
      </c>
      <c r="U255" s="2">
        <f t="shared" si="22"/>
        <v>12137.70417721519</v>
      </c>
      <c r="V255" s="10">
        <f>+'A) Base RI'!O255</f>
        <v>0</v>
      </c>
      <c r="W255" s="10">
        <f>+'A) Base RI'!P255</f>
        <v>31680</v>
      </c>
      <c r="X255" s="10">
        <f>+'A) Base RI'!R255</f>
        <v>26408.15</v>
      </c>
      <c r="Y255" s="2">
        <f t="shared" si="23"/>
        <v>58088.15</v>
      </c>
      <c r="Z255" s="10">
        <f>+'A) Base RI'!N255</f>
        <v>0</v>
      </c>
      <c r="AA255" s="10">
        <f>+'A) Base RI'!S255+'A) Base RI'!T255</f>
        <v>0</v>
      </c>
      <c r="AB255" s="10">
        <f>+'A) Base RI'!U255</f>
        <v>3360</v>
      </c>
      <c r="AC255" s="10">
        <f>+'A) Base RI'!V255</f>
        <v>0</v>
      </c>
      <c r="AD255" s="10">
        <f>+'A) Base RI'!W255</f>
        <v>0</v>
      </c>
      <c r="AE255" s="10">
        <f>+'A) Base RI'!Y255</f>
        <v>27000</v>
      </c>
      <c r="AF255" s="10">
        <f>+'A) Base RI'!Z255</f>
        <v>0</v>
      </c>
      <c r="AG255" s="10">
        <f>+'A) Base RI'!AA255</f>
        <v>53077</v>
      </c>
      <c r="AH255" s="10">
        <f>+'A) Base RI'!AB255</f>
        <v>0</v>
      </c>
      <c r="AI255" s="10">
        <f>+'A) Base RI'!AC255</f>
        <v>21228</v>
      </c>
      <c r="AJ255" s="10">
        <f>+'A) Base RI'!AD255</f>
        <v>9000</v>
      </c>
      <c r="AK255" s="10">
        <f>+'A) Base RI'!AE255</f>
        <v>0</v>
      </c>
      <c r="AL255" s="10">
        <f>+'A) Base RI'!AF255</f>
        <v>0</v>
      </c>
      <c r="AM255" s="10">
        <f>+'A) Base RI'!AG255</f>
        <v>0</v>
      </c>
      <c r="AN255" s="10">
        <f>+'A) Base RI'!AH255</f>
        <v>0</v>
      </c>
      <c r="AO255" s="10">
        <f>+'A) Base RI'!AI255</f>
        <v>0</v>
      </c>
      <c r="AP255" s="10">
        <f>+'A) Base RI'!AJ255</f>
        <v>0</v>
      </c>
      <c r="AQ255" s="10">
        <f>+'A) Base RI'!AK255</f>
        <v>0</v>
      </c>
      <c r="AR255" s="10">
        <f>'A) Base RI'!AN255</f>
        <v>446</v>
      </c>
    </row>
    <row r="256" spans="1:44" x14ac:dyDescent="0.25">
      <c r="A256" s="8">
        <f>'A) Base RI'!A256</f>
        <v>5831</v>
      </c>
      <c r="B256" s="33" t="str">
        <f>'A) Base RI'!B256</f>
        <v>Valbroye</v>
      </c>
      <c r="C256" s="10">
        <f>'A) Base RI'!C256+'A) Base RI'!D256</f>
        <v>5295396.43</v>
      </c>
      <c r="D256" s="10">
        <f>'A) Base RI'!AO256</f>
        <v>-131749.88</v>
      </c>
      <c r="E256" s="32">
        <f>'A) Base RI'!AP256</f>
        <v>0</v>
      </c>
      <c r="F256" s="32">
        <f>'A) Base RI'!AQ256</f>
        <v>-255.42</v>
      </c>
      <c r="G256" s="2">
        <f t="shared" si="18"/>
        <v>5163391.13</v>
      </c>
      <c r="H256" s="10">
        <f>+'A) Base RI'!E256</f>
        <v>0</v>
      </c>
      <c r="I256" s="10">
        <f>+'A) Base RI'!F256</f>
        <v>0</v>
      </c>
      <c r="J256" s="10">
        <f>+'A) Base RI'!G256+'A) Base RI'!H256</f>
        <v>418537.3</v>
      </c>
      <c r="K256" s="10">
        <f>+'A) Base RI'!I256</f>
        <v>0</v>
      </c>
      <c r="L256" s="10">
        <f>+'A) Base RI'!J256</f>
        <v>186928.65</v>
      </c>
      <c r="M256" s="10">
        <f>+'A) Base RI'!K256</f>
        <v>19910.3</v>
      </c>
      <c r="N256" s="10">
        <f>+'A) Base RI'!Q256</f>
        <v>52794.77</v>
      </c>
      <c r="O256" s="10">
        <f t="shared" si="19"/>
        <v>433540.58333333337</v>
      </c>
      <c r="P256" s="10">
        <f>+'A) Base RI'!L256</f>
        <v>260124.35</v>
      </c>
      <c r="Q256" s="35">
        <f>'A) Base RI'!AR256</f>
        <v>0.6</v>
      </c>
      <c r="R256" s="2">
        <f t="shared" si="20"/>
        <v>6275102.7333333325</v>
      </c>
      <c r="S256" s="34">
        <f>+'A) Base RI'!AM256</f>
        <v>73</v>
      </c>
      <c r="T256" s="2">
        <f t="shared" si="21"/>
        <v>5821651.8499999996</v>
      </c>
      <c r="U256" s="2">
        <f t="shared" si="22"/>
        <v>85960.311415525095</v>
      </c>
      <c r="V256" s="10">
        <f>+'A) Base RI'!O256</f>
        <v>176316.15</v>
      </c>
      <c r="W256" s="10">
        <f>+'A) Base RI'!P256</f>
        <v>256060.7</v>
      </c>
      <c r="X256" s="10">
        <f>+'A) Base RI'!R256</f>
        <v>245583.95</v>
      </c>
      <c r="Y256" s="2">
        <f t="shared" si="23"/>
        <v>677960.8</v>
      </c>
      <c r="Z256" s="10">
        <f>+'A) Base RI'!N256</f>
        <v>18680.75</v>
      </c>
      <c r="AA256" s="10">
        <f>+'A) Base RI'!S256+'A) Base RI'!T256</f>
        <v>0</v>
      </c>
      <c r="AB256" s="10">
        <f>+'A) Base RI'!U256</f>
        <v>15725</v>
      </c>
      <c r="AC256" s="10">
        <f>+'A) Base RI'!V256</f>
        <v>0</v>
      </c>
      <c r="AD256" s="10">
        <f>+'A) Base RI'!W256</f>
        <v>0</v>
      </c>
      <c r="AE256" s="10">
        <f>+'A) Base RI'!Y256</f>
        <v>138000</v>
      </c>
      <c r="AF256" s="10">
        <f>+'A) Base RI'!Z256</f>
        <v>0</v>
      </c>
      <c r="AG256" s="10">
        <f>+'A) Base RI'!AA256</f>
        <v>349788</v>
      </c>
      <c r="AH256" s="10">
        <f>+'A) Base RI'!AB256</f>
        <v>0</v>
      </c>
      <c r="AI256" s="10">
        <f>+'A) Base RI'!AC256</f>
        <v>278312</v>
      </c>
      <c r="AJ256" s="10">
        <f>+'A) Base RI'!AD256</f>
        <v>64985.2</v>
      </c>
      <c r="AK256" s="10">
        <f>+'A) Base RI'!AE256</f>
        <v>0</v>
      </c>
      <c r="AL256" s="10">
        <f>+'A) Base RI'!AF256</f>
        <v>0</v>
      </c>
      <c r="AM256" s="10">
        <f>+'A) Base RI'!AG256</f>
        <v>0</v>
      </c>
      <c r="AN256" s="10">
        <f>+'A) Base RI'!AH256</f>
        <v>153180</v>
      </c>
      <c r="AO256" s="10">
        <f>+'A) Base RI'!AI256</f>
        <v>0</v>
      </c>
      <c r="AP256" s="10">
        <f>+'A) Base RI'!AJ256</f>
        <v>0</v>
      </c>
      <c r="AQ256" s="10">
        <f>+'A) Base RI'!AK256</f>
        <v>0</v>
      </c>
      <c r="AR256" s="10">
        <f>'A) Base RI'!AN256</f>
        <v>3174</v>
      </c>
    </row>
    <row r="257" spans="1:44" x14ac:dyDescent="0.25">
      <c r="A257" s="8">
        <f>'A) Base RI'!A257</f>
        <v>5841</v>
      </c>
      <c r="B257" s="33" t="str">
        <f>'A) Base RI'!B257</f>
        <v>Château-d'Oex</v>
      </c>
      <c r="C257" s="10">
        <f>'A) Base RI'!C257+'A) Base RI'!D257</f>
        <v>7128649.3200000003</v>
      </c>
      <c r="D257" s="10">
        <f>'A) Base RI'!AO257</f>
        <v>-90835.23</v>
      </c>
      <c r="E257" s="32">
        <f>'A) Base RI'!AP257</f>
        <v>0</v>
      </c>
      <c r="F257" s="32">
        <f>'A) Base RI'!AQ257</f>
        <v>-981.09</v>
      </c>
      <c r="G257" s="2">
        <f t="shared" si="18"/>
        <v>7036833</v>
      </c>
      <c r="H257" s="10">
        <f>+'A) Base RI'!E257</f>
        <v>0</v>
      </c>
      <c r="I257" s="10">
        <f>+'A) Base RI'!F257</f>
        <v>0</v>
      </c>
      <c r="J257" s="10">
        <f>+'A) Base RI'!G257+'A) Base RI'!H257</f>
        <v>554012.69999999995</v>
      </c>
      <c r="K257" s="10">
        <f>+'A) Base RI'!I257</f>
        <v>877263.5</v>
      </c>
      <c r="L257" s="10">
        <f>+'A) Base RI'!J257</f>
        <v>288446.65999999997</v>
      </c>
      <c r="M257" s="10">
        <f>+'A) Base RI'!K257</f>
        <v>7931.3</v>
      </c>
      <c r="N257" s="10">
        <f>+'A) Base RI'!Q257</f>
        <v>31709.94</v>
      </c>
      <c r="O257" s="10">
        <f t="shared" si="19"/>
        <v>1014147</v>
      </c>
      <c r="P257" s="10">
        <f>+'A) Base RI'!L257</f>
        <v>1521220.5</v>
      </c>
      <c r="Q257" s="35">
        <f>'A) Base RI'!AR257</f>
        <v>1.5</v>
      </c>
      <c r="R257" s="2">
        <f t="shared" si="20"/>
        <v>9810344.0999999996</v>
      </c>
      <c r="S257" s="34">
        <f>+'A) Base RI'!AM257</f>
        <v>83</v>
      </c>
      <c r="T257" s="2">
        <f t="shared" si="21"/>
        <v>8788265.7999999989</v>
      </c>
      <c r="U257" s="2">
        <f t="shared" si="22"/>
        <v>118196.91686746987</v>
      </c>
      <c r="V257" s="10">
        <f>+'A) Base RI'!O257</f>
        <v>399110.5</v>
      </c>
      <c r="W257" s="10">
        <f>+'A) Base RI'!P257</f>
        <v>364905.85</v>
      </c>
      <c r="X257" s="10">
        <f>+'A) Base RI'!R257</f>
        <v>234119.35</v>
      </c>
      <c r="Y257" s="2">
        <f t="shared" si="23"/>
        <v>998135.7</v>
      </c>
      <c r="Z257" s="10">
        <f>+'A) Base RI'!N257</f>
        <v>5396.8</v>
      </c>
      <c r="AA257" s="10">
        <f>+'A) Base RI'!S257+'A) Base RI'!T257</f>
        <v>33547.15</v>
      </c>
      <c r="AB257" s="10">
        <f>+'A) Base RI'!U257</f>
        <v>19260</v>
      </c>
      <c r="AC257" s="10">
        <f>+'A) Base RI'!V257</f>
        <v>420</v>
      </c>
      <c r="AD257" s="10">
        <f>+'A) Base RI'!W257</f>
        <v>800</v>
      </c>
      <c r="AE257" s="10">
        <f>+'A) Base RI'!Y257</f>
        <v>149628.59</v>
      </c>
      <c r="AF257" s="10">
        <f>+'A) Base RI'!Z257</f>
        <v>0</v>
      </c>
      <c r="AG257" s="10">
        <f>+'A) Base RI'!AA257</f>
        <v>1100011.8799999999</v>
      </c>
      <c r="AH257" s="10">
        <f>+'A) Base RI'!AB257</f>
        <v>0</v>
      </c>
      <c r="AI257" s="10">
        <f>+'A) Base RI'!AC257</f>
        <v>602965.99</v>
      </c>
      <c r="AJ257" s="10">
        <f>+'A) Base RI'!AD257</f>
        <v>0</v>
      </c>
      <c r="AK257" s="10">
        <f>+'A) Base RI'!AE257</f>
        <v>0</v>
      </c>
      <c r="AL257" s="10">
        <f>+'A) Base RI'!AF257</f>
        <v>0</v>
      </c>
      <c r="AM257" s="10">
        <f>+'A) Base RI'!AG257</f>
        <v>580531.94999999995</v>
      </c>
      <c r="AN257" s="10">
        <f>+'A) Base RI'!AH257</f>
        <v>156546.35</v>
      </c>
      <c r="AO257" s="10">
        <f>+'A) Base RI'!AI257</f>
        <v>0</v>
      </c>
      <c r="AP257" s="10">
        <f>+'A) Base RI'!AJ257</f>
        <v>0</v>
      </c>
      <c r="AQ257" s="10">
        <f>+'A) Base RI'!AK257</f>
        <v>0</v>
      </c>
      <c r="AR257" s="10">
        <f>'A) Base RI'!AN257</f>
        <v>3460</v>
      </c>
    </row>
    <row r="258" spans="1:44" x14ac:dyDescent="0.25">
      <c r="A258" s="8">
        <f>'A) Base RI'!A258</f>
        <v>5842</v>
      </c>
      <c r="B258" s="33" t="str">
        <f>'A) Base RI'!B258</f>
        <v>Rossinière</v>
      </c>
      <c r="C258" s="10">
        <f>'A) Base RI'!C258+'A) Base RI'!D258</f>
        <v>1147833.42</v>
      </c>
      <c r="D258" s="10">
        <f>'A) Base RI'!AO258</f>
        <v>-3538.6</v>
      </c>
      <c r="E258" s="32">
        <f>'A) Base RI'!AP258</f>
        <v>0</v>
      </c>
      <c r="F258" s="32">
        <f>'A) Base RI'!AQ258</f>
        <v>-479.24</v>
      </c>
      <c r="G258" s="2">
        <f t="shared" si="18"/>
        <v>1143815.5799999998</v>
      </c>
      <c r="H258" s="10">
        <f>+'A) Base RI'!E258</f>
        <v>0</v>
      </c>
      <c r="I258" s="10">
        <f>+'A) Base RI'!F258</f>
        <v>0</v>
      </c>
      <c r="J258" s="10">
        <f>+'A) Base RI'!G258+'A) Base RI'!H258</f>
        <v>15962.5</v>
      </c>
      <c r="K258" s="10">
        <f>+'A) Base RI'!I258</f>
        <v>32242.85</v>
      </c>
      <c r="L258" s="10">
        <f>+'A) Base RI'!J258</f>
        <v>20403.900000000001</v>
      </c>
      <c r="M258" s="10">
        <f>+'A) Base RI'!K258</f>
        <v>369.65</v>
      </c>
      <c r="N258" s="10">
        <f>+'A) Base RI'!Q258</f>
        <v>6051.37</v>
      </c>
      <c r="O258" s="10">
        <f t="shared" si="19"/>
        <v>91643.733333333337</v>
      </c>
      <c r="P258" s="10">
        <f>+'A) Base RI'!L258</f>
        <v>137465.60000000001</v>
      </c>
      <c r="Q258" s="35">
        <f>'A) Base RI'!AR258</f>
        <v>1.5</v>
      </c>
      <c r="R258" s="2">
        <f t="shared" si="20"/>
        <v>1310489.5833333333</v>
      </c>
      <c r="S258" s="34">
        <f>+'A) Base RI'!AM258</f>
        <v>81</v>
      </c>
      <c r="T258" s="2">
        <f t="shared" si="21"/>
        <v>1218476.2</v>
      </c>
      <c r="U258" s="2">
        <f t="shared" si="22"/>
        <v>16178.883744855966</v>
      </c>
      <c r="V258" s="10">
        <f>+'A) Base RI'!O258</f>
        <v>27000</v>
      </c>
      <c r="W258" s="10">
        <f>+'A) Base RI'!P258</f>
        <v>54790.15</v>
      </c>
      <c r="X258" s="10">
        <f>+'A) Base RI'!R258</f>
        <v>28913.25</v>
      </c>
      <c r="Y258" s="2">
        <f t="shared" si="23"/>
        <v>110703.4</v>
      </c>
      <c r="Z258" s="10">
        <f>+'A) Base RI'!N258</f>
        <v>0</v>
      </c>
      <c r="AA258" s="10">
        <f>+'A) Base RI'!S258+'A) Base RI'!T258</f>
        <v>0</v>
      </c>
      <c r="AB258" s="10">
        <f>+'A) Base RI'!U258</f>
        <v>3840</v>
      </c>
      <c r="AC258" s="10">
        <f>+'A) Base RI'!V258</f>
        <v>0</v>
      </c>
      <c r="AD258" s="10">
        <f>+'A) Base RI'!W258</f>
        <v>0</v>
      </c>
      <c r="AE258" s="10">
        <f>+'A) Base RI'!Y258</f>
        <v>14685.9</v>
      </c>
      <c r="AF258" s="10">
        <f>+'A) Base RI'!Z258</f>
        <v>0</v>
      </c>
      <c r="AG258" s="10">
        <f>+'A) Base RI'!AA258</f>
        <v>83542.399999999994</v>
      </c>
      <c r="AH258" s="10">
        <f>+'A) Base RI'!AB258</f>
        <v>0</v>
      </c>
      <c r="AI258" s="10">
        <f>+'A) Base RI'!AC258</f>
        <v>40772.1</v>
      </c>
      <c r="AJ258" s="10">
        <f>+'A) Base RI'!AD258</f>
        <v>14685.9</v>
      </c>
      <c r="AK258" s="10">
        <f>+'A) Base RI'!AE258</f>
        <v>0</v>
      </c>
      <c r="AL258" s="10">
        <f>+'A) Base RI'!AF258</f>
        <v>0</v>
      </c>
      <c r="AM258" s="10">
        <f>+'A) Base RI'!AG258</f>
        <v>0</v>
      </c>
      <c r="AN258" s="10">
        <f>+'A) Base RI'!AH258</f>
        <v>0</v>
      </c>
      <c r="AO258" s="10">
        <f>+'A) Base RI'!AI258</f>
        <v>0</v>
      </c>
      <c r="AP258" s="10">
        <f>+'A) Base RI'!AJ258</f>
        <v>0</v>
      </c>
      <c r="AQ258" s="10">
        <f>+'A) Base RI'!AK258</f>
        <v>0</v>
      </c>
      <c r="AR258" s="10">
        <f>'A) Base RI'!AN258</f>
        <v>548</v>
      </c>
    </row>
    <row r="259" spans="1:44" x14ac:dyDescent="0.25">
      <c r="A259" s="8">
        <f>'A) Base RI'!A259</f>
        <v>5843</v>
      </c>
      <c r="B259" s="33" t="str">
        <f>'A) Base RI'!B259</f>
        <v>Rougemont</v>
      </c>
      <c r="C259" s="10">
        <f>'A) Base RI'!C259+'A) Base RI'!D259</f>
        <v>4552104.38</v>
      </c>
      <c r="D259" s="10">
        <f>'A) Base RI'!AO259</f>
        <v>-77651.62</v>
      </c>
      <c r="E259" s="32">
        <f>'A) Base RI'!AP259</f>
        <v>0</v>
      </c>
      <c r="F259" s="32">
        <f>'A) Base RI'!AQ259</f>
        <v>-2621.62</v>
      </c>
      <c r="G259" s="2">
        <f t="shared" si="18"/>
        <v>4471831.1399999997</v>
      </c>
      <c r="H259" s="10">
        <f>+'A) Base RI'!E259</f>
        <v>0</v>
      </c>
      <c r="I259" s="10">
        <f>+'A) Base RI'!F259</f>
        <v>0</v>
      </c>
      <c r="J259" s="10">
        <f>+'A) Base RI'!G259+'A) Base RI'!H259</f>
        <v>417287.44999999995</v>
      </c>
      <c r="K259" s="10">
        <f>+'A) Base RI'!I259</f>
        <v>1352956.19</v>
      </c>
      <c r="L259" s="10">
        <f>+'A) Base RI'!J259</f>
        <v>101221.48</v>
      </c>
      <c r="M259" s="10">
        <f>+'A) Base RI'!K259</f>
        <v>17979.400000000001</v>
      </c>
      <c r="N259" s="10">
        <f>+'A) Base RI'!Q259</f>
        <v>15843.49</v>
      </c>
      <c r="O259" s="10">
        <f t="shared" si="19"/>
        <v>765215.1333333333</v>
      </c>
      <c r="P259" s="10">
        <f>+'A) Base RI'!L259</f>
        <v>1147822.7</v>
      </c>
      <c r="Q259" s="35">
        <f>'A) Base RI'!AR259</f>
        <v>1.5</v>
      </c>
      <c r="R259" s="2">
        <f t="shared" si="20"/>
        <v>7142334.2833333332</v>
      </c>
      <c r="S259" s="34">
        <f>+'A) Base RI'!AM259</f>
        <v>74</v>
      </c>
      <c r="T259" s="2">
        <f t="shared" si="21"/>
        <v>6359139.75</v>
      </c>
      <c r="U259" s="2">
        <f t="shared" si="22"/>
        <v>96518.030855855861</v>
      </c>
      <c r="V259" s="10">
        <f>+'A) Base RI'!O259</f>
        <v>216096.3</v>
      </c>
      <c r="W259" s="10">
        <f>+'A) Base RI'!P259</f>
        <v>626154.1</v>
      </c>
      <c r="X259" s="10">
        <f>+'A) Base RI'!R259</f>
        <v>417944.25</v>
      </c>
      <c r="Y259" s="2">
        <f t="shared" si="23"/>
        <v>1260194.6499999999</v>
      </c>
      <c r="Z259" s="10">
        <f>+'A) Base RI'!N259</f>
        <v>0</v>
      </c>
      <c r="AA259" s="10">
        <f>+'A) Base RI'!S259+'A) Base RI'!T259</f>
        <v>2968.45</v>
      </c>
      <c r="AB259" s="10">
        <f>+'A) Base RI'!U259</f>
        <v>5610</v>
      </c>
      <c r="AC259" s="10">
        <f>+'A) Base RI'!V259</f>
        <v>0</v>
      </c>
      <c r="AD259" s="10">
        <f>+'A) Base RI'!W259</f>
        <v>0</v>
      </c>
      <c r="AE259" s="10">
        <f>+'A) Base RI'!Y259</f>
        <v>35212.5</v>
      </c>
      <c r="AF259" s="10" t="str">
        <f>+'A) Base RI'!Z259</f>
        <v/>
      </c>
      <c r="AG259" s="10">
        <f>+'A) Base RI'!AA259</f>
        <v>239900.76</v>
      </c>
      <c r="AH259" s="10" t="str">
        <f>+'A) Base RI'!AB259</f>
        <v/>
      </c>
      <c r="AI259" s="10">
        <f>+'A) Base RI'!AC259</f>
        <v>225428.26</v>
      </c>
      <c r="AJ259" s="10">
        <f>+'A) Base RI'!AD259</f>
        <v>45337.5</v>
      </c>
      <c r="AK259" s="10" t="str">
        <f>+'A) Base RI'!AE259</f>
        <v/>
      </c>
      <c r="AL259" s="10" t="str">
        <f>+'A) Base RI'!AF259</f>
        <v/>
      </c>
      <c r="AM259" s="10">
        <f>+'A) Base RI'!AG259</f>
        <v>800144.76</v>
      </c>
      <c r="AN259" s="10">
        <f>+'A) Base RI'!AH259</f>
        <v>87982.3</v>
      </c>
      <c r="AO259" s="10">
        <f>+'A) Base RI'!AI259</f>
        <v>0</v>
      </c>
      <c r="AP259" s="10">
        <f>+'A) Base RI'!AJ259</f>
        <v>0</v>
      </c>
      <c r="AQ259" s="10">
        <f>+'A) Base RI'!AK259</f>
        <v>0</v>
      </c>
      <c r="AR259" s="10">
        <f>'A) Base RI'!AN259</f>
        <v>882</v>
      </c>
    </row>
    <row r="260" spans="1:44" x14ac:dyDescent="0.25">
      <c r="A260" s="8">
        <f>'A) Base RI'!A260</f>
        <v>5851</v>
      </c>
      <c r="B260" s="33" t="str">
        <f>'A) Base RI'!B260</f>
        <v>Allaman</v>
      </c>
      <c r="C260" s="10">
        <f>'A) Base RI'!C260+'A) Base RI'!D260</f>
        <v>1345692.1700000002</v>
      </c>
      <c r="D260" s="10">
        <f>'A) Base RI'!AO260</f>
        <v>-61802.16</v>
      </c>
      <c r="E260" s="32">
        <f>'A) Base RI'!AP260</f>
        <v>0</v>
      </c>
      <c r="F260" s="32">
        <f>'A) Base RI'!AQ260</f>
        <v>-227.32</v>
      </c>
      <c r="G260" s="2">
        <f t="shared" si="18"/>
        <v>1283662.6900000002</v>
      </c>
      <c r="H260" s="10">
        <f>+'A) Base RI'!E260</f>
        <v>0</v>
      </c>
      <c r="I260" s="10">
        <f>+'A) Base RI'!F260</f>
        <v>0</v>
      </c>
      <c r="J260" s="10">
        <f>+'A) Base RI'!G260+'A) Base RI'!H260</f>
        <v>117048.54999999999</v>
      </c>
      <c r="K260" s="10">
        <f>+'A) Base RI'!I260</f>
        <v>75789.25</v>
      </c>
      <c r="L260" s="10">
        <f>+'A) Base RI'!J260</f>
        <v>103031.22</v>
      </c>
      <c r="M260" s="10">
        <f>+'A) Base RI'!K260</f>
        <v>29049.3</v>
      </c>
      <c r="N260" s="10">
        <f>+'A) Base RI'!Q260</f>
        <v>1348.36</v>
      </c>
      <c r="O260" s="10">
        <f t="shared" si="19"/>
        <v>219764.40909090909</v>
      </c>
      <c r="P260" s="10">
        <f>+'A) Base RI'!L260</f>
        <v>241740.85</v>
      </c>
      <c r="Q260" s="35">
        <f>'A) Base RI'!AR260</f>
        <v>1.1000000000000001</v>
      </c>
      <c r="R260" s="2">
        <f t="shared" si="20"/>
        <v>1829693.7790909095</v>
      </c>
      <c r="S260" s="34">
        <f>+'A) Base RI'!AM260</f>
        <v>62</v>
      </c>
      <c r="T260" s="2">
        <f t="shared" si="21"/>
        <v>1580880.0700000003</v>
      </c>
      <c r="U260" s="2">
        <f t="shared" si="22"/>
        <v>29511.189985337249</v>
      </c>
      <c r="V260" s="10">
        <f>+'A) Base RI'!O260</f>
        <v>173965.4</v>
      </c>
      <c r="W260" s="10">
        <f>+'A) Base RI'!P260</f>
        <v>135740</v>
      </c>
      <c r="X260" s="10">
        <f>+'A) Base RI'!R260</f>
        <v>231824.3</v>
      </c>
      <c r="Y260" s="2">
        <f t="shared" si="23"/>
        <v>541529.69999999995</v>
      </c>
      <c r="Z260" s="10">
        <f>+'A) Base RI'!N260</f>
        <v>45630.25</v>
      </c>
      <c r="AA260" s="10">
        <f>+'A) Base RI'!S260+'A) Base RI'!T260</f>
        <v>43586.25</v>
      </c>
      <c r="AB260" s="10">
        <f>+'A) Base RI'!U260</f>
        <v>1750</v>
      </c>
      <c r="AC260" s="10">
        <f>+'A) Base RI'!V260</f>
        <v>0</v>
      </c>
      <c r="AD260" s="10">
        <f>+'A) Base RI'!W260</f>
        <v>0</v>
      </c>
      <c r="AE260" s="10">
        <f>+'A) Base RI'!Y260</f>
        <v>0</v>
      </c>
      <c r="AF260" s="10">
        <f>+'A) Base RI'!Z260</f>
        <v>0</v>
      </c>
      <c r="AG260" s="10">
        <f>+'A) Base RI'!AA260</f>
        <v>168998.56</v>
      </c>
      <c r="AH260" s="10">
        <f>+'A) Base RI'!AB260</f>
        <v>0</v>
      </c>
      <c r="AI260" s="10">
        <f>+'A) Base RI'!AC260</f>
        <v>32990.300000000003</v>
      </c>
      <c r="AJ260" s="10">
        <f>+'A) Base RI'!AD260</f>
        <v>0</v>
      </c>
      <c r="AK260" s="10">
        <f>+'A) Base RI'!AE260</f>
        <v>0</v>
      </c>
      <c r="AL260" s="10">
        <f>+'A) Base RI'!AF260</f>
        <v>0</v>
      </c>
      <c r="AM260" s="10">
        <f>+'A) Base RI'!AG260</f>
        <v>0</v>
      </c>
      <c r="AN260" s="10">
        <f>+'A) Base RI'!AH260</f>
        <v>56290.1</v>
      </c>
      <c r="AO260" s="10">
        <f>+'A) Base RI'!AI260</f>
        <v>0</v>
      </c>
      <c r="AP260" s="10">
        <f>+'A) Base RI'!AJ260</f>
        <v>0</v>
      </c>
      <c r="AQ260" s="10">
        <f>+'A) Base RI'!AK260</f>
        <v>0</v>
      </c>
      <c r="AR260" s="10">
        <f>'A) Base RI'!AN260</f>
        <v>434</v>
      </c>
    </row>
    <row r="261" spans="1:44" x14ac:dyDescent="0.25">
      <c r="A261" s="8">
        <f>'A) Base RI'!A261</f>
        <v>5852</v>
      </c>
      <c r="B261" s="33" t="str">
        <f>'A) Base RI'!B261</f>
        <v>Bursinel</v>
      </c>
      <c r="C261" s="10">
        <f>'A) Base RI'!C261+'A) Base RI'!D261</f>
        <v>2086545.3800000001</v>
      </c>
      <c r="D261" s="10">
        <f>'A) Base RI'!AO261</f>
        <v>-103747.23</v>
      </c>
      <c r="E261" s="32">
        <f>'A) Base RI'!AP261</f>
        <v>0</v>
      </c>
      <c r="F261" s="32">
        <f>'A) Base RI'!AQ261</f>
        <v>-9437.8799999999992</v>
      </c>
      <c r="G261" s="2">
        <f t="shared" si="18"/>
        <v>1973360.2700000003</v>
      </c>
      <c r="H261" s="10">
        <f>+'A) Base RI'!E261</f>
        <v>0</v>
      </c>
      <c r="I261" s="10">
        <f>+'A) Base RI'!F261</f>
        <v>0</v>
      </c>
      <c r="J261" s="10">
        <f>+'A) Base RI'!G261+'A) Base RI'!H261</f>
        <v>25245.899999999998</v>
      </c>
      <c r="K261" s="10">
        <f>+'A) Base RI'!I261</f>
        <v>336538.95</v>
      </c>
      <c r="L261" s="10">
        <f>+'A) Base RI'!J261</f>
        <v>85066.9</v>
      </c>
      <c r="M261" s="10">
        <f>+'A) Base RI'!K261</f>
        <v>7929.85</v>
      </c>
      <c r="N261" s="10">
        <f>+'A) Base RI'!Q261</f>
        <v>0</v>
      </c>
      <c r="O261" s="10">
        <f t="shared" si="19"/>
        <v>176607.5</v>
      </c>
      <c r="P261" s="10">
        <f>+'A) Base RI'!L261</f>
        <v>176607.5</v>
      </c>
      <c r="Q261" s="35">
        <f>'A) Base RI'!AR261</f>
        <v>1</v>
      </c>
      <c r="R261" s="2">
        <f t="shared" si="20"/>
        <v>2604749.37</v>
      </c>
      <c r="S261" s="34">
        <f>+'A) Base RI'!AM261</f>
        <v>65.5</v>
      </c>
      <c r="T261" s="2">
        <f t="shared" si="21"/>
        <v>2420212.02</v>
      </c>
      <c r="U261" s="2">
        <f t="shared" si="22"/>
        <v>39767.165954198477</v>
      </c>
      <c r="V261" s="10">
        <f>+'A) Base RI'!O261</f>
        <v>0</v>
      </c>
      <c r="W261" s="10">
        <f>+'A) Base RI'!P261</f>
        <v>90200</v>
      </c>
      <c r="X261" s="10">
        <f>+'A) Base RI'!R261</f>
        <v>216384.5</v>
      </c>
      <c r="Y261" s="2">
        <f t="shared" si="23"/>
        <v>306584.5</v>
      </c>
      <c r="Z261" s="10">
        <f>+'A) Base RI'!N261</f>
        <v>10718.8</v>
      </c>
      <c r="AA261" s="10">
        <f>+'A) Base RI'!S261+'A) Base RI'!T261</f>
        <v>0</v>
      </c>
      <c r="AB261" s="10">
        <f>+'A) Base RI'!U261</f>
        <v>3527.5</v>
      </c>
      <c r="AC261" s="10">
        <f>+'A) Base RI'!V261</f>
        <v>0</v>
      </c>
      <c r="AD261" s="10">
        <f>+'A) Base RI'!W261</f>
        <v>0</v>
      </c>
      <c r="AE261" s="10">
        <f>+'A) Base RI'!Y261</f>
        <v>-1849.8</v>
      </c>
      <c r="AF261" s="10">
        <f>+'A) Base RI'!Z261</f>
        <v>0</v>
      </c>
      <c r="AG261" s="10">
        <f>+'A) Base RI'!AA261</f>
        <v>76812.399999999994</v>
      </c>
      <c r="AH261" s="10">
        <f>+'A) Base RI'!AB261</f>
        <v>0</v>
      </c>
      <c r="AI261" s="10">
        <f>+'A) Base RI'!AC261</f>
        <v>21877.7</v>
      </c>
      <c r="AJ261" s="10">
        <f>+'A) Base RI'!AD261</f>
        <v>0</v>
      </c>
      <c r="AK261" s="10">
        <f>+'A) Base RI'!AE261</f>
        <v>0</v>
      </c>
      <c r="AL261" s="10">
        <f>+'A) Base RI'!AF261</f>
        <v>0</v>
      </c>
      <c r="AM261" s="10">
        <f>+'A) Base RI'!AG261</f>
        <v>7925.75</v>
      </c>
      <c r="AN261" s="10">
        <f>+'A) Base RI'!AH261</f>
        <v>0</v>
      </c>
      <c r="AO261" s="10">
        <f>+'A) Base RI'!AI261</f>
        <v>0</v>
      </c>
      <c r="AP261" s="10">
        <f>+'A) Base RI'!AJ261</f>
        <v>0</v>
      </c>
      <c r="AQ261" s="10">
        <f>+'A) Base RI'!AK261</f>
        <v>0</v>
      </c>
      <c r="AR261" s="10">
        <f>'A) Base RI'!AN261</f>
        <v>471</v>
      </c>
    </row>
    <row r="262" spans="1:44" x14ac:dyDescent="0.25">
      <c r="A262" s="8">
        <f>'A) Base RI'!A262</f>
        <v>5853</v>
      </c>
      <c r="B262" s="33" t="str">
        <f>'A) Base RI'!B262</f>
        <v>Bursins</v>
      </c>
      <c r="C262" s="10">
        <f>'A) Base RI'!C262+'A) Base RI'!D262</f>
        <v>2231209.94</v>
      </c>
      <c r="D262" s="10">
        <f>'A) Base RI'!AO262</f>
        <v>-16761.8</v>
      </c>
      <c r="E262" s="32">
        <f>'A) Base RI'!AP262</f>
        <v>0</v>
      </c>
      <c r="F262" s="32">
        <f>'A) Base RI'!AQ262</f>
        <v>-120.24</v>
      </c>
      <c r="G262" s="2">
        <f t="shared" si="18"/>
        <v>2214327.9</v>
      </c>
      <c r="H262" s="10">
        <f>+'A) Base RI'!E262</f>
        <v>0</v>
      </c>
      <c r="I262" s="10">
        <f>+'A) Base RI'!F262</f>
        <v>0</v>
      </c>
      <c r="J262" s="10">
        <f>+'A) Base RI'!G262+'A) Base RI'!H262</f>
        <v>61999.899999999994</v>
      </c>
      <c r="K262" s="10">
        <f>+'A) Base RI'!I262</f>
        <v>78834.009999999995</v>
      </c>
      <c r="L262" s="10">
        <f>+'A) Base RI'!J262</f>
        <v>22188.67</v>
      </c>
      <c r="M262" s="10">
        <f>+'A) Base RI'!K262</f>
        <v>17397.650000000001</v>
      </c>
      <c r="N262" s="10">
        <f>+'A) Base RI'!Q262</f>
        <v>30029.69</v>
      </c>
      <c r="O262" s="10">
        <f t="shared" si="19"/>
        <v>191231.2</v>
      </c>
      <c r="P262" s="10">
        <f>+'A) Base RI'!L262</f>
        <v>191231.2</v>
      </c>
      <c r="Q262" s="35">
        <f>'A) Base RI'!AR262</f>
        <v>1</v>
      </c>
      <c r="R262" s="2">
        <f t="shared" si="20"/>
        <v>2616009.0199999996</v>
      </c>
      <c r="S262" s="34">
        <f>+'A) Base RI'!AM262</f>
        <v>71</v>
      </c>
      <c r="T262" s="2">
        <f t="shared" si="21"/>
        <v>2407380.1699999995</v>
      </c>
      <c r="U262" s="2">
        <f t="shared" si="22"/>
        <v>36845.197464788725</v>
      </c>
      <c r="V262" s="10">
        <f>+'A) Base RI'!O262</f>
        <v>6452.7</v>
      </c>
      <c r="W262" s="10">
        <f>+'A) Base RI'!P262</f>
        <v>168975.3</v>
      </c>
      <c r="X262" s="10">
        <f>+'A) Base RI'!R262</f>
        <v>96499.5</v>
      </c>
      <c r="Y262" s="2">
        <f t="shared" si="23"/>
        <v>271927.5</v>
      </c>
      <c r="Z262" s="10">
        <f>+'A) Base RI'!N262</f>
        <v>64233</v>
      </c>
      <c r="AA262" s="10">
        <f>+'A) Base RI'!S262+'A) Base RI'!T262</f>
        <v>250</v>
      </c>
      <c r="AB262" s="10">
        <f>+'A) Base RI'!U262</f>
        <v>5450</v>
      </c>
      <c r="AC262" s="10">
        <f>+'A) Base RI'!V262</f>
        <v>0</v>
      </c>
      <c r="AD262" s="10">
        <f>+'A) Base RI'!W262</f>
        <v>0</v>
      </c>
      <c r="AE262" s="10">
        <f>+'A) Base RI'!Y262</f>
        <v>72279.25</v>
      </c>
      <c r="AF262" s="10">
        <f>+'A) Base RI'!Z262</f>
        <v>0</v>
      </c>
      <c r="AG262" s="10">
        <f>+'A) Base RI'!AA262</f>
        <v>180417.4</v>
      </c>
      <c r="AH262" s="10">
        <f>+'A) Base RI'!AB262</f>
        <v>0</v>
      </c>
      <c r="AI262" s="10">
        <f>+'A) Base RI'!AC262</f>
        <v>52357.9</v>
      </c>
      <c r="AJ262" s="10">
        <f>+'A) Base RI'!AD262</f>
        <v>0</v>
      </c>
      <c r="AK262" s="10">
        <f>+'A) Base RI'!AE262</f>
        <v>0</v>
      </c>
      <c r="AL262" s="10">
        <f>+'A) Base RI'!AF262</f>
        <v>0</v>
      </c>
      <c r="AM262" s="10">
        <f>+'A) Base RI'!AG262</f>
        <v>11054.35</v>
      </c>
      <c r="AN262" s="10">
        <f>+'A) Base RI'!AH262</f>
        <v>0</v>
      </c>
      <c r="AO262" s="10">
        <f>+'A) Base RI'!AI262</f>
        <v>0</v>
      </c>
      <c r="AP262" s="10">
        <f>+'A) Base RI'!AJ262</f>
        <v>0</v>
      </c>
      <c r="AQ262" s="10">
        <f>+'A) Base RI'!AK262</f>
        <v>0</v>
      </c>
      <c r="AR262" s="10">
        <f>'A) Base RI'!AN262</f>
        <v>752</v>
      </c>
    </row>
    <row r="263" spans="1:44" x14ac:dyDescent="0.25">
      <c r="A263" s="8">
        <f>'A) Base RI'!A263</f>
        <v>5854</v>
      </c>
      <c r="B263" s="33" t="str">
        <f>'A) Base RI'!B263</f>
        <v>Burtigny</v>
      </c>
      <c r="C263" s="10">
        <f>'A) Base RI'!C263+'A) Base RI'!D263</f>
        <v>1098133.1299999999</v>
      </c>
      <c r="D263" s="10">
        <f>'A) Base RI'!AO263</f>
        <v>-3476.85</v>
      </c>
      <c r="E263" s="32">
        <f>'A) Base RI'!AP263</f>
        <v>0</v>
      </c>
      <c r="F263" s="32">
        <f>'A) Base RI'!AQ263</f>
        <v>-226.34</v>
      </c>
      <c r="G263" s="2">
        <f t="shared" si="18"/>
        <v>1094429.9399999997</v>
      </c>
      <c r="H263" s="10">
        <f>+'A) Base RI'!E263</f>
        <v>0</v>
      </c>
      <c r="I263" s="10">
        <f>+'A) Base RI'!F263</f>
        <v>0</v>
      </c>
      <c r="J263" s="10">
        <f>+'A) Base RI'!G263+'A) Base RI'!H263</f>
        <v>24644.85</v>
      </c>
      <c r="K263" s="10">
        <f>+'A) Base RI'!I263</f>
        <v>0</v>
      </c>
      <c r="L263" s="10">
        <f>+'A) Base RI'!J263</f>
        <v>20694.900000000001</v>
      </c>
      <c r="M263" s="10">
        <f>+'A) Base RI'!K263</f>
        <v>1034.7</v>
      </c>
      <c r="N263" s="10">
        <f>+'A) Base RI'!Q263</f>
        <v>14183.27</v>
      </c>
      <c r="O263" s="10">
        <f t="shared" si="19"/>
        <v>70686.96666666666</v>
      </c>
      <c r="P263" s="10">
        <f>+'A) Base RI'!L263</f>
        <v>106030.45</v>
      </c>
      <c r="Q263" s="35">
        <f>'A) Base RI'!AR263</f>
        <v>1.5</v>
      </c>
      <c r="R263" s="2">
        <f t="shared" si="20"/>
        <v>1225674.6266666662</v>
      </c>
      <c r="S263" s="34">
        <f>+'A) Base RI'!AM263</f>
        <v>80</v>
      </c>
      <c r="T263" s="2">
        <f t="shared" si="21"/>
        <v>1153952.9599999997</v>
      </c>
      <c r="U263" s="2">
        <f t="shared" si="22"/>
        <v>15320.932833333329</v>
      </c>
      <c r="V263" s="10">
        <f>+'A) Base RI'!O263</f>
        <v>69033.7</v>
      </c>
      <c r="W263" s="10">
        <f>+'A) Base RI'!P263</f>
        <v>92334.3</v>
      </c>
      <c r="X263" s="10">
        <f>+'A) Base RI'!R263</f>
        <v>49137.65</v>
      </c>
      <c r="Y263" s="2">
        <f t="shared" si="23"/>
        <v>210505.65</v>
      </c>
      <c r="Z263" s="10">
        <f>+'A) Base RI'!N263</f>
        <v>23521.05</v>
      </c>
      <c r="AA263" s="10">
        <f>+'A) Base RI'!S263+'A) Base RI'!T263</f>
        <v>0</v>
      </c>
      <c r="AB263" s="10">
        <f>+'A) Base RI'!U263</f>
        <v>875</v>
      </c>
      <c r="AC263" s="10">
        <f>+'A) Base RI'!V263</f>
        <v>0</v>
      </c>
      <c r="AD263" s="10">
        <f>+'A) Base RI'!W263</f>
        <v>0</v>
      </c>
      <c r="AE263" s="10">
        <f>+'A) Base RI'!Y263</f>
        <v>60826.5</v>
      </c>
      <c r="AF263" s="10">
        <f>+'A) Base RI'!Z263</f>
        <v>0</v>
      </c>
      <c r="AG263" s="10">
        <f>+'A) Base RI'!AA263</f>
        <v>35191.65</v>
      </c>
      <c r="AH263" s="10">
        <f>+'A) Base RI'!AB263</f>
        <v>0</v>
      </c>
      <c r="AI263" s="10">
        <f>+'A) Base RI'!AC263</f>
        <v>31865.85</v>
      </c>
      <c r="AJ263" s="10">
        <f>+'A) Base RI'!AD263</f>
        <v>0</v>
      </c>
      <c r="AK263" s="10">
        <f>+'A) Base RI'!AE263</f>
        <v>0</v>
      </c>
      <c r="AL263" s="10">
        <f>+'A) Base RI'!AF263</f>
        <v>0</v>
      </c>
      <c r="AM263" s="10">
        <f>+'A) Base RI'!AG263</f>
        <v>254.35</v>
      </c>
      <c r="AN263" s="10">
        <f>+'A) Base RI'!AH263</f>
        <v>7957.2</v>
      </c>
      <c r="AO263" s="10">
        <f>+'A) Base RI'!AI263</f>
        <v>0</v>
      </c>
      <c r="AP263" s="10">
        <f>+'A) Base RI'!AJ263</f>
        <v>0</v>
      </c>
      <c r="AQ263" s="10">
        <f>+'A) Base RI'!AK263</f>
        <v>0</v>
      </c>
      <c r="AR263" s="10">
        <f>'A) Base RI'!AN263</f>
        <v>391</v>
      </c>
    </row>
    <row r="264" spans="1:44" x14ac:dyDescent="0.25">
      <c r="A264" s="8">
        <f>'A) Base RI'!A264</f>
        <v>5855</v>
      </c>
      <c r="B264" s="33" t="str">
        <f>'A) Base RI'!B264</f>
        <v>Dully</v>
      </c>
      <c r="C264" s="10">
        <f>'A) Base RI'!C264+'A) Base RI'!D264</f>
        <v>3717736.19</v>
      </c>
      <c r="D264" s="10">
        <f>'A) Base RI'!AO264</f>
        <v>-17142.34</v>
      </c>
      <c r="E264" s="32">
        <f>'A) Base RI'!AP264</f>
        <v>0</v>
      </c>
      <c r="F264" s="32">
        <f>'A) Base RI'!AQ264</f>
        <v>-3260.56</v>
      </c>
      <c r="G264" s="2">
        <f t="shared" ref="G264:G315" si="28">SUM(C264:F264)</f>
        <v>3697333.29</v>
      </c>
      <c r="H264" s="10">
        <f>+'A) Base RI'!E264</f>
        <v>0</v>
      </c>
      <c r="I264" s="10">
        <f>+'A) Base RI'!F264</f>
        <v>0</v>
      </c>
      <c r="J264" s="10">
        <f>+'A) Base RI'!G264+'A) Base RI'!H264</f>
        <v>19074.3</v>
      </c>
      <c r="K264" s="10">
        <f>+'A) Base RI'!I264</f>
        <v>412342.11</v>
      </c>
      <c r="L264" s="10">
        <f>+'A) Base RI'!J264</f>
        <v>-22101.73</v>
      </c>
      <c r="M264" s="10">
        <f>+'A) Base RI'!K264</f>
        <v>12192.5</v>
      </c>
      <c r="N264" s="10">
        <f>+'A) Base RI'!Q264</f>
        <v>11883.67</v>
      </c>
      <c r="O264" s="10">
        <f t="shared" ref="O264:O315" si="29">(P264/Q264)*1</f>
        <v>338000.5</v>
      </c>
      <c r="P264" s="10">
        <f>+'A) Base RI'!L264</f>
        <v>169000.25</v>
      </c>
      <c r="Q264" s="35">
        <f>'A) Base RI'!AR264</f>
        <v>0.5</v>
      </c>
      <c r="R264" s="2">
        <f t="shared" ref="R264:R315" si="30">SUM(G264:O264)</f>
        <v>4468724.6399999997</v>
      </c>
      <c r="S264" s="34">
        <f>+'A) Base RI'!AM264</f>
        <v>49</v>
      </c>
      <c r="T264" s="2">
        <f t="shared" ref="T264:T315" si="31">(G264+H264+J264+K264+L264+N264)</f>
        <v>4118531.6399999997</v>
      </c>
      <c r="U264" s="2">
        <f t="shared" ref="U264:U315" si="32">R264/S264</f>
        <v>91198.462040816317</v>
      </c>
      <c r="V264" s="10">
        <f>+'A) Base RI'!O264</f>
        <v>0.69999999995343298</v>
      </c>
      <c r="W264" s="10">
        <f>+'A) Base RI'!P264</f>
        <v>262229.34999999998</v>
      </c>
      <c r="X264" s="10">
        <f>+'A) Base RI'!R264</f>
        <v>330249.75</v>
      </c>
      <c r="Y264" s="2">
        <f t="shared" ref="Y264:Y315" si="33">SUM(V264:X264)</f>
        <v>592479.79999999993</v>
      </c>
      <c r="Z264" s="10">
        <f>+'A) Base RI'!N264</f>
        <v>1160.95</v>
      </c>
      <c r="AA264" s="10">
        <f>+'A) Base RI'!S264+'A) Base RI'!T264</f>
        <v>0</v>
      </c>
      <c r="AB264" s="10">
        <f>+'A) Base RI'!U264</f>
        <v>1800</v>
      </c>
      <c r="AC264" s="10">
        <f>+'A) Base RI'!V264</f>
        <v>0</v>
      </c>
      <c r="AD264" s="10">
        <f>+'A) Base RI'!W264</f>
        <v>0</v>
      </c>
      <c r="AE264" s="10">
        <f>+'A) Base RI'!Y264</f>
        <v>55174.8</v>
      </c>
      <c r="AF264" s="10">
        <f>+'A) Base RI'!Z264</f>
        <v>0</v>
      </c>
      <c r="AG264" s="10">
        <f>+'A) Base RI'!AA264</f>
        <v>137566.20000000001</v>
      </c>
      <c r="AH264" s="10">
        <f>+'A) Base RI'!AB264</f>
        <v>0</v>
      </c>
      <c r="AI264" s="10">
        <f>+'A) Base RI'!AC264</f>
        <v>28350</v>
      </c>
      <c r="AJ264" s="10">
        <f>+'A) Base RI'!AD264</f>
        <v>0</v>
      </c>
      <c r="AK264" s="10">
        <f>+'A) Base RI'!AE264</f>
        <v>0</v>
      </c>
      <c r="AL264" s="10">
        <f>+'A) Base RI'!AF264</f>
        <v>0</v>
      </c>
      <c r="AM264" s="10">
        <f>+'A) Base RI'!AG264</f>
        <v>16083.15</v>
      </c>
      <c r="AN264" s="10">
        <f>+'A) Base RI'!AH264</f>
        <v>0</v>
      </c>
      <c r="AO264" s="10">
        <f>+'A) Base RI'!AI264</f>
        <v>0</v>
      </c>
      <c r="AP264" s="10">
        <f>+'A) Base RI'!AJ264</f>
        <v>0</v>
      </c>
      <c r="AQ264" s="10">
        <f>+'A) Base RI'!AK264</f>
        <v>0</v>
      </c>
      <c r="AR264" s="10">
        <f>'A) Base RI'!AN264</f>
        <v>635</v>
      </c>
    </row>
    <row r="265" spans="1:44" x14ac:dyDescent="0.25">
      <c r="A265" s="8">
        <f>'A) Base RI'!A265</f>
        <v>5856</v>
      </c>
      <c r="B265" s="33" t="str">
        <f>'A) Base RI'!B265</f>
        <v>Essertines-sur-Rolle</v>
      </c>
      <c r="C265" s="10">
        <f>'A) Base RI'!C265+'A) Base RI'!D265</f>
        <v>2153270.94</v>
      </c>
      <c r="D265" s="10">
        <f>'A) Base RI'!AO265</f>
        <v>-4277.72</v>
      </c>
      <c r="E265" s="32">
        <f>'A) Base RI'!AP265</f>
        <v>0</v>
      </c>
      <c r="F265" s="32">
        <f>'A) Base RI'!AQ265</f>
        <v>-271.45999999999998</v>
      </c>
      <c r="G265" s="2">
        <f t="shared" si="28"/>
        <v>2148721.7599999998</v>
      </c>
      <c r="H265" s="10">
        <f>+'A) Base RI'!E265</f>
        <v>0</v>
      </c>
      <c r="I265" s="10">
        <f>+'A) Base RI'!F265</f>
        <v>0</v>
      </c>
      <c r="J265" s="10">
        <f>+'A) Base RI'!G265+'A) Base RI'!H265</f>
        <v>6471.85</v>
      </c>
      <c r="K265" s="10">
        <f>+'A) Base RI'!I265</f>
        <v>172935.55</v>
      </c>
      <c r="L265" s="10">
        <f>+'A) Base RI'!J265</f>
        <v>37871.51</v>
      </c>
      <c r="M265" s="10">
        <f>+'A) Base RI'!K265</f>
        <v>2398.75</v>
      </c>
      <c r="N265" s="10">
        <f>+'A) Base RI'!Q265</f>
        <v>-7.5</v>
      </c>
      <c r="O265" s="10">
        <f t="shared" si="29"/>
        <v>176573.76923076922</v>
      </c>
      <c r="P265" s="10">
        <f>+'A) Base RI'!L265</f>
        <v>229545.9</v>
      </c>
      <c r="Q265" s="35">
        <f>'A) Base RI'!AR265</f>
        <v>1.3</v>
      </c>
      <c r="R265" s="2">
        <f t="shared" si="30"/>
        <v>2544965.6892307685</v>
      </c>
      <c r="S265" s="34">
        <f>+'A) Base RI'!AM265</f>
        <v>68</v>
      </c>
      <c r="T265" s="2">
        <f t="shared" si="31"/>
        <v>2365993.1699999995</v>
      </c>
      <c r="U265" s="2">
        <f t="shared" si="32"/>
        <v>37425.966018099534</v>
      </c>
      <c r="V265" s="10">
        <f>+'A) Base RI'!O265</f>
        <v>11350</v>
      </c>
      <c r="W265" s="10">
        <f>+'A) Base RI'!P265</f>
        <v>242828.65</v>
      </c>
      <c r="X265" s="10">
        <f>+'A) Base RI'!R265</f>
        <v>102942.95</v>
      </c>
      <c r="Y265" s="2">
        <f t="shared" si="33"/>
        <v>357121.6</v>
      </c>
      <c r="Z265" s="10">
        <f>+'A) Base RI'!N265</f>
        <v>11104.25</v>
      </c>
      <c r="AA265" s="10">
        <f>+'A) Base RI'!S265+'A) Base RI'!T265</f>
        <v>0</v>
      </c>
      <c r="AB265" s="10">
        <f>+'A) Base RI'!U265</f>
        <v>2650</v>
      </c>
      <c r="AC265" s="10">
        <f>+'A) Base RI'!V265</f>
        <v>0</v>
      </c>
      <c r="AD265" s="10">
        <f>+'A) Base RI'!W265</f>
        <v>0</v>
      </c>
      <c r="AE265" s="10">
        <f>+'A) Base RI'!Y265</f>
        <v>3704.8</v>
      </c>
      <c r="AF265" s="10" t="str">
        <f>+'A) Base RI'!Z265</f>
        <v/>
      </c>
      <c r="AG265" s="10">
        <f>+'A) Base RI'!AA265</f>
        <v>144908.42000000001</v>
      </c>
      <c r="AH265" s="10" t="str">
        <f>+'A) Base RI'!AB265</f>
        <v/>
      </c>
      <c r="AI265" s="10">
        <f>+'A) Base RI'!AC265</f>
        <v>59807.75</v>
      </c>
      <c r="AJ265" s="10">
        <f>+'A) Base RI'!AD265</f>
        <v>3726.85</v>
      </c>
      <c r="AK265" s="10" t="str">
        <f>+'A) Base RI'!AE265</f>
        <v/>
      </c>
      <c r="AL265" s="10" t="str">
        <f>+'A) Base RI'!AF265</f>
        <v/>
      </c>
      <c r="AM265" s="10" t="str">
        <f>+'A) Base RI'!AG265</f>
        <v/>
      </c>
      <c r="AN265" s="10">
        <f>+'A) Base RI'!AH265</f>
        <v>0</v>
      </c>
      <c r="AO265" s="10">
        <f>+'A) Base RI'!AI265</f>
        <v>0</v>
      </c>
      <c r="AP265" s="10">
        <f>+'A) Base RI'!AJ265</f>
        <v>0</v>
      </c>
      <c r="AQ265" s="10">
        <f>+'A) Base RI'!AK265</f>
        <v>0</v>
      </c>
      <c r="AR265" s="10">
        <f>'A) Base RI'!AN265</f>
        <v>726</v>
      </c>
    </row>
    <row r="266" spans="1:44" x14ac:dyDescent="0.25">
      <c r="A266" s="8">
        <f>'A) Base RI'!A266</f>
        <v>5857</v>
      </c>
      <c r="B266" s="33" t="str">
        <f>'A) Base RI'!B266</f>
        <v>Gilly</v>
      </c>
      <c r="C266" s="10">
        <f>'A) Base RI'!C266+'A) Base RI'!D266</f>
        <v>5226984.2200000007</v>
      </c>
      <c r="D266" s="10">
        <f>'A) Base RI'!AO266</f>
        <v>-19129.23</v>
      </c>
      <c r="E266" s="32">
        <f>'A) Base RI'!AP266</f>
        <v>0</v>
      </c>
      <c r="F266" s="32">
        <f>'A) Base RI'!AQ266</f>
        <v>-157.94</v>
      </c>
      <c r="G266" s="2">
        <f t="shared" si="28"/>
        <v>5207697.05</v>
      </c>
      <c r="H266" s="10">
        <f>+'A) Base RI'!E266</f>
        <v>0</v>
      </c>
      <c r="I266" s="10">
        <f>+'A) Base RI'!F266</f>
        <v>0</v>
      </c>
      <c r="J266" s="10">
        <f>+'A) Base RI'!G266+'A) Base RI'!H266</f>
        <v>184708.44999999998</v>
      </c>
      <c r="K266" s="10">
        <f>+'A) Base RI'!I266</f>
        <v>0</v>
      </c>
      <c r="L266" s="10">
        <f>+'A) Base RI'!J266</f>
        <v>150792.66</v>
      </c>
      <c r="M266" s="10">
        <f>+'A) Base RI'!K266</f>
        <v>1711.65</v>
      </c>
      <c r="N266" s="10">
        <f>+'A) Base RI'!Q266</f>
        <v>4026.37</v>
      </c>
      <c r="O266" s="10">
        <f t="shared" si="29"/>
        <v>384836.2</v>
      </c>
      <c r="P266" s="10">
        <f>+'A) Base RI'!L266</f>
        <v>384836.2</v>
      </c>
      <c r="Q266" s="35">
        <f>'A) Base RI'!AR266</f>
        <v>1</v>
      </c>
      <c r="R266" s="2">
        <f t="shared" si="30"/>
        <v>5933772.3800000008</v>
      </c>
      <c r="S266" s="34">
        <f>+'A) Base RI'!AM266</f>
        <v>66</v>
      </c>
      <c r="T266" s="2">
        <f t="shared" si="31"/>
        <v>5547224.5300000003</v>
      </c>
      <c r="U266" s="2">
        <f t="shared" si="32"/>
        <v>89905.642121212135</v>
      </c>
      <c r="V266" s="10">
        <f>+'A) Base RI'!O266</f>
        <v>22099.200000000001</v>
      </c>
      <c r="W266" s="10">
        <f>+'A) Base RI'!P266</f>
        <v>297434.90000000002</v>
      </c>
      <c r="X266" s="10">
        <f>+'A) Base RI'!R266</f>
        <v>39875.699999999997</v>
      </c>
      <c r="Y266" s="2">
        <f t="shared" si="33"/>
        <v>359409.80000000005</v>
      </c>
      <c r="Z266" s="10">
        <f>+'A) Base RI'!N266</f>
        <v>85330</v>
      </c>
      <c r="AA266" s="10">
        <f>+'A) Base RI'!S266+'A) Base RI'!T266</f>
        <v>0</v>
      </c>
      <c r="AB266" s="10">
        <f>+'A) Base RI'!U266</f>
        <v>2690</v>
      </c>
      <c r="AC266" s="10">
        <f>+'A) Base RI'!V266</f>
        <v>0</v>
      </c>
      <c r="AD266" s="10">
        <f>+'A) Base RI'!W266</f>
        <v>0</v>
      </c>
      <c r="AE266" s="10">
        <f>+'A) Base RI'!Y266</f>
        <v>6000</v>
      </c>
      <c r="AF266" s="10">
        <f>+'A) Base RI'!Z266</f>
        <v>0</v>
      </c>
      <c r="AG266" s="10">
        <f>+'A) Base RI'!AA266</f>
        <v>111154.6</v>
      </c>
      <c r="AH266" s="10">
        <f>+'A) Base RI'!AB266</f>
        <v>0</v>
      </c>
      <c r="AI266" s="10">
        <f>+'A) Base RI'!AC266</f>
        <v>92272.55</v>
      </c>
      <c r="AJ266" s="10">
        <f>+'A) Base RI'!AD266</f>
        <v>0</v>
      </c>
      <c r="AK266" s="10">
        <f>+'A) Base RI'!AE266</f>
        <v>0</v>
      </c>
      <c r="AL266" s="10">
        <f>+'A) Base RI'!AF266</f>
        <v>0</v>
      </c>
      <c r="AM266" s="10">
        <f>+'A) Base RI'!AG266</f>
        <v>1659.35</v>
      </c>
      <c r="AN266" s="10">
        <f>+'A) Base RI'!AH266</f>
        <v>31346.9</v>
      </c>
      <c r="AO266" s="10">
        <f>+'A) Base RI'!AI266</f>
        <v>0</v>
      </c>
      <c r="AP266" s="10">
        <f>+'A) Base RI'!AJ266</f>
        <v>0</v>
      </c>
      <c r="AQ266" s="10">
        <f>+'A) Base RI'!AK266</f>
        <v>0</v>
      </c>
      <c r="AR266" s="10">
        <f>'A) Base RI'!AN266</f>
        <v>1324</v>
      </c>
    </row>
    <row r="267" spans="1:44" x14ac:dyDescent="0.25">
      <c r="A267" s="8">
        <f>'A) Base RI'!A267</f>
        <v>5858</v>
      </c>
      <c r="B267" s="33" t="str">
        <f>'A) Base RI'!B267</f>
        <v>Luins</v>
      </c>
      <c r="C267" s="10">
        <f>'A) Base RI'!C267+'A) Base RI'!D267</f>
        <v>2250819</v>
      </c>
      <c r="D267" s="10">
        <f>'A) Base RI'!AO267</f>
        <v>-38156.839999999997</v>
      </c>
      <c r="E267" s="32">
        <f>'A) Base RI'!AP267</f>
        <v>0</v>
      </c>
      <c r="F267" s="32">
        <f>'A) Base RI'!AQ267</f>
        <v>-1594.73</v>
      </c>
      <c r="G267" s="2">
        <f t="shared" si="28"/>
        <v>2211067.4300000002</v>
      </c>
      <c r="H267" s="10">
        <f>+'A) Base RI'!E267</f>
        <v>0</v>
      </c>
      <c r="I267" s="10">
        <f>+'A) Base RI'!F267</f>
        <v>0</v>
      </c>
      <c r="J267" s="10">
        <f>+'A) Base RI'!G267+'A) Base RI'!H267</f>
        <v>9250.25</v>
      </c>
      <c r="K267" s="10">
        <f>+'A) Base RI'!I267</f>
        <v>180933.6</v>
      </c>
      <c r="L267" s="10">
        <f>+'A) Base RI'!J267</f>
        <v>78846.94</v>
      </c>
      <c r="M267" s="10">
        <f>+'A) Base RI'!K267</f>
        <v>1344.9</v>
      </c>
      <c r="N267" s="10">
        <f>+'A) Base RI'!Q267</f>
        <v>1408.85</v>
      </c>
      <c r="O267" s="10">
        <f t="shared" si="29"/>
        <v>146597.16666666666</v>
      </c>
      <c r="P267" s="10">
        <f>+'A) Base RI'!L267</f>
        <v>219895.75</v>
      </c>
      <c r="Q267" s="35">
        <f>'A) Base RI'!AR267</f>
        <v>1.5</v>
      </c>
      <c r="R267" s="2">
        <f t="shared" si="30"/>
        <v>2629449.1366666667</v>
      </c>
      <c r="S267" s="34">
        <f>+'A) Base RI'!AM267</f>
        <v>60</v>
      </c>
      <c r="T267" s="2">
        <f t="shared" si="31"/>
        <v>2481507.0700000003</v>
      </c>
      <c r="U267" s="2">
        <f t="shared" si="32"/>
        <v>43824.152277777779</v>
      </c>
      <c r="V267" s="10">
        <f>+'A) Base RI'!O267</f>
        <v>20428.5</v>
      </c>
      <c r="W267" s="10">
        <f>+'A) Base RI'!P267</f>
        <v>124139.55</v>
      </c>
      <c r="X267" s="10">
        <f>+'A) Base RI'!R267</f>
        <v>33400.6</v>
      </c>
      <c r="Y267" s="2">
        <f t="shared" si="33"/>
        <v>177968.65</v>
      </c>
      <c r="Z267" s="10">
        <f>+'A) Base RI'!N267</f>
        <v>7432.25</v>
      </c>
      <c r="AA267" s="10">
        <f>+'A) Base RI'!S267+'A) Base RI'!T267</f>
        <v>600</v>
      </c>
      <c r="AB267" s="10">
        <f>+'A) Base RI'!U267</f>
        <v>1890</v>
      </c>
      <c r="AC267" s="10">
        <f>+'A) Base RI'!V267</f>
        <v>0</v>
      </c>
      <c r="AD267" s="10">
        <f>+'A) Base RI'!W267</f>
        <v>0</v>
      </c>
      <c r="AE267" s="10">
        <f>+'A) Base RI'!Y267</f>
        <v>83400</v>
      </c>
      <c r="AF267" s="10">
        <f>+'A) Base RI'!Z267</f>
        <v>0</v>
      </c>
      <c r="AG267" s="10">
        <f>+'A) Base RI'!AA267</f>
        <v>90120</v>
      </c>
      <c r="AH267" s="10">
        <f>+'A) Base RI'!AB267</f>
        <v>0</v>
      </c>
      <c r="AI267" s="10">
        <f>+'A) Base RI'!AC267</f>
        <v>34987.449999999997</v>
      </c>
      <c r="AJ267" s="10">
        <f>+'A) Base RI'!AD267</f>
        <v>0</v>
      </c>
      <c r="AK267" s="10">
        <f>+'A) Base RI'!AE267</f>
        <v>0</v>
      </c>
      <c r="AL267" s="10">
        <f>+'A) Base RI'!AF267</f>
        <v>0</v>
      </c>
      <c r="AM267" s="10">
        <f>+'A) Base RI'!AG267</f>
        <v>106.8</v>
      </c>
      <c r="AN267" s="10">
        <f>+'A) Base RI'!AH267</f>
        <v>19032.900000000001</v>
      </c>
      <c r="AO267" s="10">
        <f>+'A) Base RI'!AI267</f>
        <v>0</v>
      </c>
      <c r="AP267" s="10">
        <f>+'A) Base RI'!AJ267</f>
        <v>0</v>
      </c>
      <c r="AQ267" s="10">
        <f>+'A) Base RI'!AK267</f>
        <v>0</v>
      </c>
      <c r="AR267" s="10">
        <f>'A) Base RI'!AN267</f>
        <v>613</v>
      </c>
    </row>
    <row r="268" spans="1:44" x14ac:dyDescent="0.25">
      <c r="A268" s="8">
        <f>'A) Base RI'!A268</f>
        <v>5859</v>
      </c>
      <c r="B268" s="33" t="str">
        <f>'A) Base RI'!B268</f>
        <v>Mont-sur-Rolle</v>
      </c>
      <c r="C268" s="10">
        <f>'A) Base RI'!C268+'A) Base RI'!D268</f>
        <v>8365663.21</v>
      </c>
      <c r="D268" s="10">
        <f>'A) Base RI'!AO268</f>
        <v>-88744.65</v>
      </c>
      <c r="E268" s="32">
        <f>'A) Base RI'!AP268</f>
        <v>0</v>
      </c>
      <c r="F268" s="32">
        <f>'A) Base RI'!AQ268</f>
        <v>-118597.85</v>
      </c>
      <c r="G268" s="2">
        <f t="shared" si="28"/>
        <v>8158320.71</v>
      </c>
      <c r="H268" s="10">
        <f>+'A) Base RI'!E268</f>
        <v>0</v>
      </c>
      <c r="I268" s="10">
        <f>+'A) Base RI'!F268</f>
        <v>0</v>
      </c>
      <c r="J268" s="10">
        <f>+'A) Base RI'!G268+'A) Base RI'!H268</f>
        <v>98270.399999999994</v>
      </c>
      <c r="K268" s="10">
        <f>+'A) Base RI'!I268</f>
        <v>291693.2</v>
      </c>
      <c r="L268" s="10">
        <f>+'A) Base RI'!J268</f>
        <v>62782.34</v>
      </c>
      <c r="M268" s="10">
        <f>+'A) Base RI'!K268</f>
        <v>20687.150000000001</v>
      </c>
      <c r="N268" s="10">
        <f>+'A) Base RI'!Q268</f>
        <v>21230.16</v>
      </c>
      <c r="O268" s="10">
        <f t="shared" si="29"/>
        <v>636858.65</v>
      </c>
      <c r="P268" s="10">
        <f>+'A) Base RI'!L268</f>
        <v>636858.65</v>
      </c>
      <c r="Q268" s="35">
        <f>'A) Base RI'!AR268</f>
        <v>1</v>
      </c>
      <c r="R268" s="2">
        <f t="shared" si="30"/>
        <v>9289842.6100000013</v>
      </c>
      <c r="S268" s="34">
        <f>+'A) Base RI'!AM268</f>
        <v>65</v>
      </c>
      <c r="T268" s="2">
        <f t="shared" si="31"/>
        <v>8632296.8100000005</v>
      </c>
      <c r="U268" s="2">
        <f t="shared" si="32"/>
        <v>142920.65553846155</v>
      </c>
      <c r="V268" s="10">
        <f>+'A) Base RI'!O268</f>
        <v>14913.2</v>
      </c>
      <c r="W268" s="10">
        <f>+'A) Base RI'!P268</f>
        <v>288927.25</v>
      </c>
      <c r="X268" s="10">
        <f>+'A) Base RI'!R268</f>
        <v>172250.8</v>
      </c>
      <c r="Y268" s="2">
        <f t="shared" si="33"/>
        <v>476091.25</v>
      </c>
      <c r="Z268" s="10">
        <f>+'A) Base RI'!N268</f>
        <v>71576.649999999994</v>
      </c>
      <c r="AA268" s="10">
        <f>+'A) Base RI'!S268+'A) Base RI'!T268</f>
        <v>297</v>
      </c>
      <c r="AB268" s="10">
        <f>+'A) Base RI'!U268</f>
        <v>16450</v>
      </c>
      <c r="AC268" s="10">
        <f>+'A) Base RI'!V268</f>
        <v>0</v>
      </c>
      <c r="AD268" s="10">
        <f>+'A) Base RI'!W268</f>
        <v>0</v>
      </c>
      <c r="AE268" s="10">
        <f>+'A) Base RI'!Y268</f>
        <v>22729.35</v>
      </c>
      <c r="AF268" s="10">
        <f>+'A) Base RI'!Z268</f>
        <v>0</v>
      </c>
      <c r="AG268" s="10">
        <f>+'A) Base RI'!AA268</f>
        <v>370402.8</v>
      </c>
      <c r="AH268" s="10">
        <f>+'A) Base RI'!AB268</f>
        <v>0</v>
      </c>
      <c r="AI268" s="10">
        <f>+'A) Base RI'!AC268</f>
        <v>174576.15</v>
      </c>
      <c r="AJ268" s="10">
        <f>+'A) Base RI'!AD268</f>
        <v>0</v>
      </c>
      <c r="AK268" s="10">
        <f>+'A) Base RI'!AE268</f>
        <v>0</v>
      </c>
      <c r="AL268" s="10">
        <f>+'A) Base RI'!AF268</f>
        <v>0</v>
      </c>
      <c r="AM268" s="10">
        <f>+'A) Base RI'!AG268</f>
        <v>0</v>
      </c>
      <c r="AN268" s="10">
        <f>+'A) Base RI'!AH268</f>
        <v>0</v>
      </c>
      <c r="AO268" s="10">
        <f>+'A) Base RI'!AI268</f>
        <v>0</v>
      </c>
      <c r="AP268" s="10">
        <f>+'A) Base RI'!AJ268</f>
        <v>0</v>
      </c>
      <c r="AQ268" s="10">
        <f>+'A) Base RI'!AK268</f>
        <v>0</v>
      </c>
      <c r="AR268" s="10">
        <f>'A) Base RI'!AN268</f>
        <v>2651</v>
      </c>
    </row>
    <row r="269" spans="1:44" x14ac:dyDescent="0.25">
      <c r="A269" s="8">
        <f>'A) Base RI'!A269</f>
        <v>5860</v>
      </c>
      <c r="B269" s="33" t="str">
        <f>'A) Base RI'!B269</f>
        <v>Perroy</v>
      </c>
      <c r="C269" s="10">
        <f>'A) Base RI'!C269+'A) Base RI'!D269</f>
        <v>4962063.09</v>
      </c>
      <c r="D269" s="10">
        <f>'A) Base RI'!AO269</f>
        <v>-64603.16</v>
      </c>
      <c r="E269" s="32">
        <f>'A) Base RI'!AP269</f>
        <v>0</v>
      </c>
      <c r="F269" s="32">
        <f>'A) Base RI'!AQ269</f>
        <v>-10354.84</v>
      </c>
      <c r="G269" s="2">
        <f t="shared" si="28"/>
        <v>4887105.09</v>
      </c>
      <c r="H269" s="10">
        <f>+'A) Base RI'!E269</f>
        <v>0</v>
      </c>
      <c r="I269" s="10">
        <f>+'A) Base RI'!F269</f>
        <v>0</v>
      </c>
      <c r="J269" s="10">
        <f>+'A) Base RI'!G269+'A) Base RI'!H269</f>
        <v>85596.55</v>
      </c>
      <c r="K269" s="10">
        <f>+'A) Base RI'!I269</f>
        <v>244794.25</v>
      </c>
      <c r="L269" s="10">
        <f>+'A) Base RI'!J269</f>
        <v>14905.56</v>
      </c>
      <c r="M269" s="10">
        <f>+'A) Base RI'!K269</f>
        <v>28333.55</v>
      </c>
      <c r="N269" s="10">
        <f>+'A) Base RI'!Q269</f>
        <v>1591.89</v>
      </c>
      <c r="O269" s="10">
        <f t="shared" si="29"/>
        <v>482049.9615384615</v>
      </c>
      <c r="P269" s="10">
        <f>+'A) Base RI'!L269</f>
        <v>626664.94999999995</v>
      </c>
      <c r="Q269" s="35">
        <f>'A) Base RI'!AR269</f>
        <v>1.3</v>
      </c>
      <c r="R269" s="2">
        <f t="shared" si="30"/>
        <v>5744376.8515384607</v>
      </c>
      <c r="S269" s="34">
        <f>+'A) Base RI'!AM269</f>
        <v>60</v>
      </c>
      <c r="T269" s="2">
        <f t="shared" si="31"/>
        <v>5233993.3399999989</v>
      </c>
      <c r="U269" s="2">
        <f t="shared" si="32"/>
        <v>95739.614192307679</v>
      </c>
      <c r="V269" s="10">
        <f>+'A) Base RI'!O269</f>
        <v>375398.3</v>
      </c>
      <c r="W269" s="10">
        <f>+'A) Base RI'!P269</f>
        <v>328301.45</v>
      </c>
      <c r="X269" s="10">
        <f>+'A) Base RI'!R269</f>
        <v>397746.65</v>
      </c>
      <c r="Y269" s="2">
        <f t="shared" si="33"/>
        <v>1101446.3999999999</v>
      </c>
      <c r="Z269" s="10">
        <f>+'A) Base RI'!N269</f>
        <v>18029.7</v>
      </c>
      <c r="AA269" s="10">
        <f>+'A) Base RI'!S269+'A) Base RI'!T269</f>
        <v>0</v>
      </c>
      <c r="AB269" s="10">
        <f>+'A) Base RI'!U269</f>
        <v>7920</v>
      </c>
      <c r="AC269" s="10">
        <f>+'A) Base RI'!V269</f>
        <v>0</v>
      </c>
      <c r="AD269" s="10">
        <f>+'A) Base RI'!W269</f>
        <v>0</v>
      </c>
      <c r="AE269" s="10">
        <f>+'A) Base RI'!Y269</f>
        <v>17163.25</v>
      </c>
      <c r="AF269" s="10" t="str">
        <f>+'A) Base RI'!Z269</f>
        <v/>
      </c>
      <c r="AG269" s="10">
        <f>+'A) Base RI'!AA269</f>
        <v>263689.5</v>
      </c>
      <c r="AH269" s="10" t="str">
        <f>+'A) Base RI'!AB269</f>
        <v/>
      </c>
      <c r="AI269" s="10">
        <f>+'A) Base RI'!AC269</f>
        <v>116376.23</v>
      </c>
      <c r="AJ269" s="10" t="str">
        <f>+'A) Base RI'!AD269</f>
        <v/>
      </c>
      <c r="AK269" s="10" t="str">
        <f>+'A) Base RI'!AE269</f>
        <v/>
      </c>
      <c r="AL269" s="10" t="str">
        <f>+'A) Base RI'!AF269</f>
        <v/>
      </c>
      <c r="AM269" s="10" t="str">
        <f>+'A) Base RI'!AG269</f>
        <v/>
      </c>
      <c r="AN269" s="10">
        <f>+'A) Base RI'!AH269</f>
        <v>0</v>
      </c>
      <c r="AO269" s="10">
        <f>+'A) Base RI'!AI269</f>
        <v>0</v>
      </c>
      <c r="AP269" s="10">
        <f>+'A) Base RI'!AJ269</f>
        <v>0</v>
      </c>
      <c r="AQ269" s="10">
        <f>+'A) Base RI'!AK269</f>
        <v>0</v>
      </c>
      <c r="AR269" s="10">
        <f>'A) Base RI'!AN269</f>
        <v>1542</v>
      </c>
    </row>
    <row r="270" spans="1:44" x14ac:dyDescent="0.25">
      <c r="A270" s="8">
        <f>'A) Base RI'!A270</f>
        <v>5861</v>
      </c>
      <c r="B270" s="33" t="str">
        <f>'A) Base RI'!B270</f>
        <v>Rolle</v>
      </c>
      <c r="C270" s="10">
        <f>'A) Base RI'!C270+'A) Base RI'!D270</f>
        <v>14965569.6</v>
      </c>
      <c r="D270" s="10">
        <f>'A) Base RI'!AO270</f>
        <v>-192694.72</v>
      </c>
      <c r="E270" s="32">
        <f>'A) Base RI'!AP270</f>
        <v>0</v>
      </c>
      <c r="F270" s="32">
        <f>'A) Base RI'!AQ270</f>
        <v>-26213.64</v>
      </c>
      <c r="G270" s="2">
        <f t="shared" si="28"/>
        <v>14746661.239999998</v>
      </c>
      <c r="H270" s="10">
        <f>+'A) Base RI'!E270</f>
        <v>0</v>
      </c>
      <c r="I270" s="10">
        <f>+'A) Base RI'!F270</f>
        <v>0</v>
      </c>
      <c r="J270" s="10">
        <f>+'A) Base RI'!G270+'A) Base RI'!H270</f>
        <v>19482472.75</v>
      </c>
      <c r="K270" s="10">
        <f>+'A) Base RI'!I270</f>
        <v>833727.05</v>
      </c>
      <c r="L270" s="10">
        <f>+'A) Base RI'!J270</f>
        <v>1772922.15</v>
      </c>
      <c r="M270" s="10">
        <f>+'A) Base RI'!K270</f>
        <v>307582.84999999998</v>
      </c>
      <c r="N270" s="10">
        <f>+'A) Base RI'!Q270</f>
        <v>19576.349999999999</v>
      </c>
      <c r="O270" s="10">
        <f t="shared" si="29"/>
        <v>1751677.05</v>
      </c>
      <c r="P270" s="10">
        <f>+'A) Base RI'!L270</f>
        <v>1751677.05</v>
      </c>
      <c r="Q270" s="35">
        <f>'A) Base RI'!AR270</f>
        <v>1</v>
      </c>
      <c r="R270" s="2">
        <f t="shared" si="30"/>
        <v>38914619.43999999</v>
      </c>
      <c r="S270" s="34">
        <f>+'A) Base RI'!AM270</f>
        <v>59.5</v>
      </c>
      <c r="T270" s="2">
        <f t="shared" si="31"/>
        <v>36855359.539999992</v>
      </c>
      <c r="U270" s="2">
        <f t="shared" si="32"/>
        <v>654027.21747899149</v>
      </c>
      <c r="V270" s="10">
        <f>+'A) Base RI'!O270</f>
        <v>496198.5</v>
      </c>
      <c r="W270" s="10">
        <f>+'A) Base RI'!P270</f>
        <v>566715.9</v>
      </c>
      <c r="X270" s="10">
        <f>+'A) Base RI'!R270</f>
        <v>450711.05</v>
      </c>
      <c r="Y270" s="2">
        <f t="shared" si="33"/>
        <v>1513625.45</v>
      </c>
      <c r="Z270" s="10">
        <f>+'A) Base RI'!N270</f>
        <v>813428.4</v>
      </c>
      <c r="AA270" s="10">
        <f>+'A) Base RI'!S270+'A) Base RI'!T270</f>
        <v>0</v>
      </c>
      <c r="AB270" s="10">
        <f>+'A) Base RI'!U270</f>
        <v>20137.5</v>
      </c>
      <c r="AC270" s="10">
        <f>+'A) Base RI'!V270</f>
        <v>0</v>
      </c>
      <c r="AD270" s="10">
        <f>+'A) Base RI'!W270</f>
        <v>0</v>
      </c>
      <c r="AE270" s="10">
        <f>+'A) Base RI'!Y270</f>
        <v>170756.45</v>
      </c>
      <c r="AF270" s="10">
        <f>+'A) Base RI'!Z270</f>
        <v>817326.55</v>
      </c>
      <c r="AG270" s="10">
        <f>+'A) Base RI'!AA270</f>
        <v>1459368.3</v>
      </c>
      <c r="AH270" s="10">
        <f>+'A) Base RI'!AB270</f>
        <v>0</v>
      </c>
      <c r="AI270" s="10">
        <f>+'A) Base RI'!AC270</f>
        <v>464872.75</v>
      </c>
      <c r="AJ270" s="10">
        <f>+'A) Base RI'!AD270</f>
        <v>0</v>
      </c>
      <c r="AK270" s="10">
        <f>+'A) Base RI'!AE270</f>
        <v>0</v>
      </c>
      <c r="AL270" s="10">
        <f>+'A) Base RI'!AF270</f>
        <v>0</v>
      </c>
      <c r="AM270" s="10">
        <f>+'A) Base RI'!AG270</f>
        <v>111278.7</v>
      </c>
      <c r="AN270" s="10">
        <f>+'A) Base RI'!AH270</f>
        <v>216490.7</v>
      </c>
      <c r="AO270" s="10">
        <f>+'A) Base RI'!AI270</f>
        <v>0</v>
      </c>
      <c r="AP270" s="10">
        <f>+'A) Base RI'!AJ270</f>
        <v>0</v>
      </c>
      <c r="AQ270" s="10">
        <f>+'A) Base RI'!AK270</f>
        <v>0</v>
      </c>
      <c r="AR270" s="10">
        <f>'A) Base RI'!AN270</f>
        <v>6246</v>
      </c>
    </row>
    <row r="271" spans="1:44" x14ac:dyDescent="0.25">
      <c r="A271" s="8">
        <f>'A) Base RI'!A271</f>
        <v>5862</v>
      </c>
      <c r="B271" s="33" t="str">
        <f>'A) Base RI'!B271</f>
        <v>Tartegnin</v>
      </c>
      <c r="C271" s="10">
        <f>'A) Base RI'!C271+'A) Base RI'!D271</f>
        <v>932377.54999999993</v>
      </c>
      <c r="D271" s="10">
        <f>'A) Base RI'!AO271</f>
        <v>-7443.52</v>
      </c>
      <c r="E271" s="32">
        <f>'A) Base RI'!AP271</f>
        <v>0</v>
      </c>
      <c r="F271" s="32">
        <f>'A) Base RI'!AQ271</f>
        <v>-0.82</v>
      </c>
      <c r="G271" s="2">
        <f t="shared" si="28"/>
        <v>924933.21</v>
      </c>
      <c r="H271" s="10">
        <f>+'A) Base RI'!E271</f>
        <v>0</v>
      </c>
      <c r="I271" s="10">
        <f>+'A) Base RI'!F271</f>
        <v>0</v>
      </c>
      <c r="J271" s="10">
        <f>+'A) Base RI'!G271+'A) Base RI'!H271</f>
        <v>13626.8</v>
      </c>
      <c r="K271" s="10">
        <f>+'A) Base RI'!I271</f>
        <v>0</v>
      </c>
      <c r="L271" s="10">
        <f>+'A) Base RI'!J271</f>
        <v>9167.89</v>
      </c>
      <c r="M271" s="10">
        <f>+'A) Base RI'!K271</f>
        <v>0</v>
      </c>
      <c r="N271" s="10">
        <f>+'A) Base RI'!Q271</f>
        <v>0</v>
      </c>
      <c r="O271" s="10">
        <f t="shared" si="29"/>
        <v>49401.4</v>
      </c>
      <c r="P271" s="10">
        <f>+'A) Base RI'!L271</f>
        <v>49401.4</v>
      </c>
      <c r="Q271" s="35">
        <f>'A) Base RI'!AR271</f>
        <v>1</v>
      </c>
      <c r="R271" s="2">
        <f t="shared" si="30"/>
        <v>997129.3</v>
      </c>
      <c r="S271" s="34">
        <f>+'A) Base RI'!AM271</f>
        <v>81</v>
      </c>
      <c r="T271" s="2">
        <f t="shared" si="31"/>
        <v>947727.9</v>
      </c>
      <c r="U271" s="2">
        <f t="shared" si="32"/>
        <v>12310.23827160494</v>
      </c>
      <c r="V271" s="10">
        <f>+'A) Base RI'!O271</f>
        <v>22662.3</v>
      </c>
      <c r="W271" s="10">
        <f>+'A) Base RI'!P271</f>
        <v>21719.5</v>
      </c>
      <c r="X271" s="10">
        <f>+'A) Base RI'!R271</f>
        <v>1414.6</v>
      </c>
      <c r="Y271" s="2">
        <f t="shared" si="33"/>
        <v>45796.4</v>
      </c>
      <c r="Z271" s="10">
        <f>+'A) Base RI'!N271</f>
        <v>5277.5</v>
      </c>
      <c r="AA271" s="10">
        <f>+'A) Base RI'!S271+'A) Base RI'!T271</f>
        <v>0</v>
      </c>
      <c r="AB271" s="10">
        <f>+'A) Base RI'!U271</f>
        <v>1025</v>
      </c>
      <c r="AC271" s="10">
        <f>+'A) Base RI'!V271</f>
        <v>0</v>
      </c>
      <c r="AD271" s="10">
        <f>+'A) Base RI'!W271</f>
        <v>0</v>
      </c>
      <c r="AE271" s="10">
        <f>+'A) Base RI'!Y271</f>
        <v>6212.8</v>
      </c>
      <c r="AF271" s="10">
        <f>+'A) Base RI'!Z271</f>
        <v>0</v>
      </c>
      <c r="AG271" s="10">
        <f>+'A) Base RI'!AA271</f>
        <v>47079.7</v>
      </c>
      <c r="AH271" s="10">
        <f>+'A) Base RI'!AB271</f>
        <v>0</v>
      </c>
      <c r="AI271" s="10">
        <f>+'A) Base RI'!AC271</f>
        <v>16343</v>
      </c>
      <c r="AJ271" s="10">
        <f>+'A) Base RI'!AD271</f>
        <v>9940.5</v>
      </c>
      <c r="AK271" s="10">
        <f>+'A) Base RI'!AE271</f>
        <v>0</v>
      </c>
      <c r="AL271" s="10">
        <f>+'A) Base RI'!AF271</f>
        <v>0</v>
      </c>
      <c r="AM271" s="10">
        <f>+'A) Base RI'!AG271</f>
        <v>0</v>
      </c>
      <c r="AN271" s="10">
        <f>+'A) Base RI'!AH271</f>
        <v>0</v>
      </c>
      <c r="AO271" s="10">
        <f>+'A) Base RI'!AI271</f>
        <v>0</v>
      </c>
      <c r="AP271" s="10">
        <f>+'A) Base RI'!AJ271</f>
        <v>0</v>
      </c>
      <c r="AQ271" s="10">
        <f>+'A) Base RI'!AK271</f>
        <v>0</v>
      </c>
      <c r="AR271" s="10">
        <f>'A) Base RI'!AN271</f>
        <v>246</v>
      </c>
    </row>
    <row r="272" spans="1:44" x14ac:dyDescent="0.25">
      <c r="A272" s="8">
        <f>'A) Base RI'!A272</f>
        <v>5863</v>
      </c>
      <c r="B272" s="33" t="str">
        <f>'A) Base RI'!B272</f>
        <v>Vinzel</v>
      </c>
      <c r="C272" s="10">
        <f>'A) Base RI'!C272+'A) Base RI'!D272</f>
        <v>1295612.0900000001</v>
      </c>
      <c r="D272" s="10">
        <f>'A) Base RI'!AO272</f>
        <v>-2201.67</v>
      </c>
      <c r="E272" s="32">
        <f>'A) Base RI'!AP272</f>
        <v>0</v>
      </c>
      <c r="F272" s="32">
        <f>'A) Base RI'!AQ272</f>
        <v>-1014.39</v>
      </c>
      <c r="G272" s="2">
        <f t="shared" si="28"/>
        <v>1292396.0300000003</v>
      </c>
      <c r="H272" s="10">
        <f>+'A) Base RI'!E272</f>
        <v>0</v>
      </c>
      <c r="I272" s="10">
        <f>+'A) Base RI'!F272</f>
        <v>0</v>
      </c>
      <c r="J272" s="10">
        <f>+'A) Base RI'!G272+'A) Base RI'!H272</f>
        <v>27875.9</v>
      </c>
      <c r="K272" s="10">
        <f>+'A) Base RI'!I272</f>
        <v>85746.6</v>
      </c>
      <c r="L272" s="10">
        <f>+'A) Base RI'!J272</f>
        <v>17146.02</v>
      </c>
      <c r="M272" s="10">
        <f>+'A) Base RI'!K272</f>
        <v>2004.9</v>
      </c>
      <c r="N272" s="10">
        <f>+'A) Base RI'!Q272</f>
        <v>2753.84</v>
      </c>
      <c r="O272" s="10">
        <f t="shared" si="29"/>
        <v>79509</v>
      </c>
      <c r="P272" s="10">
        <f>+'A) Base RI'!L272</f>
        <v>79509</v>
      </c>
      <c r="Q272" s="35">
        <f>'A) Base RI'!AR272</f>
        <v>1</v>
      </c>
      <c r="R272" s="2">
        <f t="shared" si="30"/>
        <v>1507432.2900000003</v>
      </c>
      <c r="S272" s="34">
        <f>+'A) Base RI'!AM272</f>
        <v>67</v>
      </c>
      <c r="T272" s="2">
        <f t="shared" si="31"/>
        <v>1425918.3900000004</v>
      </c>
      <c r="U272" s="2">
        <f t="shared" si="32"/>
        <v>22498.98940298508</v>
      </c>
      <c r="V272" s="10">
        <f>+'A) Base RI'!O272</f>
        <v>0</v>
      </c>
      <c r="W272" s="10">
        <f>+'A) Base RI'!P272</f>
        <v>32169.7</v>
      </c>
      <c r="X272" s="10">
        <f>+'A) Base RI'!R272</f>
        <v>23668.3</v>
      </c>
      <c r="Y272" s="2">
        <f t="shared" si="33"/>
        <v>55838</v>
      </c>
      <c r="Z272" s="10">
        <f>+'A) Base RI'!N272</f>
        <v>19069.650000000001</v>
      </c>
      <c r="AA272" s="10">
        <f>+'A) Base RI'!S272+'A) Base RI'!T272</f>
        <v>325</v>
      </c>
      <c r="AB272" s="10">
        <f>+'A) Base RI'!U272</f>
        <v>1700</v>
      </c>
      <c r="AC272" s="10">
        <f>+'A) Base RI'!V272</f>
        <v>0</v>
      </c>
      <c r="AD272" s="10">
        <f>+'A) Base RI'!W272</f>
        <v>0</v>
      </c>
      <c r="AE272" s="10">
        <f>+'A) Base RI'!Y272</f>
        <v>86919.85</v>
      </c>
      <c r="AF272" s="10" t="str">
        <f>+'A) Base RI'!Z272</f>
        <v/>
      </c>
      <c r="AG272" s="10">
        <f>+'A) Base RI'!AA272</f>
        <v>14239.75</v>
      </c>
      <c r="AH272" s="10" t="str">
        <f>+'A) Base RI'!AB272</f>
        <v/>
      </c>
      <c r="AI272" s="10">
        <f>+'A) Base RI'!AC272</f>
        <v>20731.849999999999</v>
      </c>
      <c r="AJ272" s="10" t="str">
        <f>+'A) Base RI'!AD272</f>
        <v/>
      </c>
      <c r="AK272" s="10" t="str">
        <f>+'A) Base RI'!AE272</f>
        <v/>
      </c>
      <c r="AL272" s="10" t="str">
        <f>+'A) Base RI'!AF272</f>
        <v/>
      </c>
      <c r="AM272" s="10">
        <f>+'A) Base RI'!AG272</f>
        <v>2311.3000000000002</v>
      </c>
      <c r="AN272" s="10">
        <f>+'A) Base RI'!AH272</f>
        <v>6265.35</v>
      </c>
      <c r="AO272" s="10">
        <f>+'A) Base RI'!AI272</f>
        <v>0</v>
      </c>
      <c r="AP272" s="10">
        <f>+'A) Base RI'!AJ272</f>
        <v>0</v>
      </c>
      <c r="AQ272" s="10">
        <f>+'A) Base RI'!AK272</f>
        <v>0</v>
      </c>
      <c r="AR272" s="10">
        <f>'A) Base RI'!AN272</f>
        <v>358</v>
      </c>
    </row>
    <row r="273" spans="1:44" x14ac:dyDescent="0.25">
      <c r="A273" s="8">
        <f>'A) Base RI'!A273</f>
        <v>5871</v>
      </c>
      <c r="B273" s="33" t="str">
        <f>'A) Base RI'!B273</f>
        <v>L'Abbaye</v>
      </c>
      <c r="C273" s="10">
        <f>'A) Base RI'!C273+'A) Base RI'!D273</f>
        <v>3249751.58</v>
      </c>
      <c r="D273" s="10">
        <f>'A) Base RI'!AO273</f>
        <v>-111215.38</v>
      </c>
      <c r="E273" s="32">
        <f>'A) Base RI'!AP273</f>
        <v>0</v>
      </c>
      <c r="F273" s="32">
        <f>'A) Base RI'!AQ273</f>
        <v>-172.63</v>
      </c>
      <c r="G273" s="2">
        <f t="shared" si="28"/>
        <v>3138363.5700000003</v>
      </c>
      <c r="H273" s="10">
        <f>+'A) Base RI'!E273</f>
        <v>0</v>
      </c>
      <c r="I273" s="10">
        <f>+'A) Base RI'!F273</f>
        <v>0</v>
      </c>
      <c r="J273" s="10">
        <f>+'A) Base RI'!G273+'A) Base RI'!H273</f>
        <v>3492.6</v>
      </c>
      <c r="K273" s="10">
        <f>+'A) Base RI'!I273</f>
        <v>0</v>
      </c>
      <c r="L273" s="10">
        <f>+'A) Base RI'!J273</f>
        <v>37925.01</v>
      </c>
      <c r="M273" s="10">
        <f>+'A) Base RI'!K273</f>
        <v>2764.6</v>
      </c>
      <c r="N273" s="10">
        <f>+'A) Base RI'!Q273</f>
        <v>16658.060000000001</v>
      </c>
      <c r="O273" s="10">
        <f t="shared" si="29"/>
        <v>250978.5</v>
      </c>
      <c r="P273" s="10">
        <f>+'A) Base RI'!L273</f>
        <v>250978.5</v>
      </c>
      <c r="Q273" s="35">
        <f>'A) Base RI'!AR273</f>
        <v>1</v>
      </c>
      <c r="R273" s="2">
        <f t="shared" si="30"/>
        <v>3450182.3400000003</v>
      </c>
      <c r="S273" s="34">
        <f>+'A) Base RI'!AM273</f>
        <v>77.31</v>
      </c>
      <c r="T273" s="2">
        <f t="shared" si="31"/>
        <v>3196439.24</v>
      </c>
      <c r="U273" s="2">
        <f t="shared" si="32"/>
        <v>44627.892122623205</v>
      </c>
      <c r="V273" s="10">
        <f>+'A) Base RI'!O273</f>
        <v>12161.85</v>
      </c>
      <c r="W273" s="10">
        <f>+'A) Base RI'!P273</f>
        <v>69345.3</v>
      </c>
      <c r="X273" s="10">
        <f>+'A) Base RI'!R273</f>
        <v>94301.8</v>
      </c>
      <c r="Y273" s="2">
        <f t="shared" si="33"/>
        <v>175808.95</v>
      </c>
      <c r="Z273" s="10">
        <f>+'A) Base RI'!N273</f>
        <v>637841.15</v>
      </c>
      <c r="AA273" s="10">
        <f>+'A) Base RI'!S273+'A) Base RI'!T273</f>
        <v>0</v>
      </c>
      <c r="AB273" s="10">
        <f>+'A) Base RI'!U273</f>
        <v>12000</v>
      </c>
      <c r="AC273" s="10">
        <f>+'A) Base RI'!V273</f>
        <v>0</v>
      </c>
      <c r="AD273" s="10">
        <f>+'A) Base RI'!W273</f>
        <v>0</v>
      </c>
      <c r="AE273" s="10">
        <f>+'A) Base RI'!Y273</f>
        <v>17182.400000000001</v>
      </c>
      <c r="AF273" s="10">
        <f>+'A) Base RI'!Z273</f>
        <v>22049.65</v>
      </c>
      <c r="AG273" s="10">
        <f>+'A) Base RI'!AA273</f>
        <v>299035.90000000002</v>
      </c>
      <c r="AH273" s="10">
        <f>+'A) Base RI'!AB273</f>
        <v>0</v>
      </c>
      <c r="AI273" s="10">
        <f>+'A) Base RI'!AC273</f>
        <v>144869.20000000001</v>
      </c>
      <c r="AJ273" s="10">
        <f>+'A) Base RI'!AD273</f>
        <v>0</v>
      </c>
      <c r="AK273" s="10">
        <f>+'A) Base RI'!AE273</f>
        <v>0</v>
      </c>
      <c r="AL273" s="10">
        <f>+'A) Base RI'!AF273</f>
        <v>0</v>
      </c>
      <c r="AM273" s="10">
        <f>+'A) Base RI'!AG273</f>
        <v>63667.51</v>
      </c>
      <c r="AN273" s="10">
        <f>+'A) Base RI'!AH273</f>
        <v>0</v>
      </c>
      <c r="AO273" s="10">
        <f>+'A) Base RI'!AI273</f>
        <v>0</v>
      </c>
      <c r="AP273" s="10">
        <f>+'A) Base RI'!AJ273</f>
        <v>0</v>
      </c>
      <c r="AQ273" s="10">
        <f>+'A) Base RI'!AK273</f>
        <v>0</v>
      </c>
      <c r="AR273" s="10">
        <f>'A) Base RI'!AN273</f>
        <v>1481</v>
      </c>
    </row>
    <row r="274" spans="1:44" x14ac:dyDescent="0.25">
      <c r="A274" s="8">
        <f>'A) Base RI'!A274</f>
        <v>5872</v>
      </c>
      <c r="B274" s="33" t="str">
        <f>'A) Base RI'!B274</f>
        <v>Le Chenit</v>
      </c>
      <c r="C274" s="10">
        <f>'A) Base RI'!C274+'A) Base RI'!D274</f>
        <v>8033278.1999999993</v>
      </c>
      <c r="D274" s="10">
        <f>'A) Base RI'!AO274</f>
        <v>-142424.26999999999</v>
      </c>
      <c r="E274" s="32">
        <f>'A) Base RI'!AP274</f>
        <v>0</v>
      </c>
      <c r="F274" s="32">
        <f>'A) Base RI'!AQ274</f>
        <v>-1355.09</v>
      </c>
      <c r="G274" s="2">
        <f t="shared" si="28"/>
        <v>7889498.8399999999</v>
      </c>
      <c r="H274" s="10">
        <f>+'A) Base RI'!E274</f>
        <v>0</v>
      </c>
      <c r="I274" s="10">
        <f>+'A) Base RI'!F274</f>
        <v>0</v>
      </c>
      <c r="J274" s="10">
        <f>+'A) Base RI'!G274+'A) Base RI'!H274</f>
        <v>4297924.7</v>
      </c>
      <c r="K274" s="10">
        <f>+'A) Base RI'!I274</f>
        <v>0</v>
      </c>
      <c r="L274" s="10">
        <f>+'A) Base RI'!J274</f>
        <v>347418.71</v>
      </c>
      <c r="M274" s="10">
        <f>+'A) Base RI'!K274</f>
        <v>35154.800000000003</v>
      </c>
      <c r="N274" s="10">
        <f>+'A) Base RI'!Q274</f>
        <v>58176.24</v>
      </c>
      <c r="O274" s="10">
        <f t="shared" si="29"/>
        <v>713475.35714285716</v>
      </c>
      <c r="P274" s="10">
        <f>+'A) Base RI'!L274</f>
        <v>499432.75</v>
      </c>
      <c r="Q274" s="35">
        <f>'A) Base RI'!AR274</f>
        <v>0.7</v>
      </c>
      <c r="R274" s="2">
        <f t="shared" si="30"/>
        <v>13341648.647142857</v>
      </c>
      <c r="S274" s="34">
        <f>+'A) Base RI'!AM274</f>
        <v>68.12</v>
      </c>
      <c r="T274" s="2">
        <f t="shared" si="31"/>
        <v>12593018.49</v>
      </c>
      <c r="U274" s="2">
        <f t="shared" si="32"/>
        <v>195855.08877191509</v>
      </c>
      <c r="V274" s="10">
        <f>+'A) Base RI'!O274</f>
        <v>507812.95</v>
      </c>
      <c r="W274" s="10">
        <f>+'A) Base RI'!P274</f>
        <v>292160.55</v>
      </c>
      <c r="X274" s="10">
        <f>+'A) Base RI'!R274</f>
        <v>187702.95</v>
      </c>
      <c r="Y274" s="2">
        <f t="shared" si="33"/>
        <v>987676.45</v>
      </c>
      <c r="Z274" s="10">
        <f>+'A) Base RI'!N274</f>
        <v>6604922.2999999998</v>
      </c>
      <c r="AA274" s="10">
        <f>+'A) Base RI'!S274+'A) Base RI'!T274</f>
        <v>3400</v>
      </c>
      <c r="AB274" s="10">
        <f>+'A) Base RI'!U274</f>
        <v>30800</v>
      </c>
      <c r="AC274" s="10">
        <f>+'A) Base RI'!V274</f>
        <v>0</v>
      </c>
      <c r="AD274" s="10">
        <f>+'A) Base RI'!W274</f>
        <v>0</v>
      </c>
      <c r="AE274" s="10">
        <f>+'A) Base RI'!Y274</f>
        <v>13590</v>
      </c>
      <c r="AF274" s="10">
        <f>+'A) Base RI'!Z274</f>
        <v>6795</v>
      </c>
      <c r="AG274" s="10">
        <f>+'A) Base RI'!AA274</f>
        <v>955955</v>
      </c>
      <c r="AH274" s="10">
        <f>+'A) Base RI'!AB274</f>
        <v>0</v>
      </c>
      <c r="AI274" s="10">
        <f>+'A) Base RI'!AC274</f>
        <v>417702.3</v>
      </c>
      <c r="AJ274" s="10">
        <f>+'A) Base RI'!AD274</f>
        <v>20720</v>
      </c>
      <c r="AK274" s="10">
        <f>+'A) Base RI'!AE274</f>
        <v>10360</v>
      </c>
      <c r="AL274" s="10">
        <f>+'A) Base RI'!AF274</f>
        <v>0</v>
      </c>
      <c r="AM274" s="10">
        <f>+'A) Base RI'!AG274</f>
        <v>117711.55</v>
      </c>
      <c r="AN274" s="10">
        <f>+'A) Base RI'!AH274</f>
        <v>0</v>
      </c>
      <c r="AO274" s="10">
        <f>+'A) Base RI'!AI274</f>
        <v>0</v>
      </c>
      <c r="AP274" s="10">
        <f>+'A) Base RI'!AJ274</f>
        <v>0</v>
      </c>
      <c r="AQ274" s="10">
        <f>+'A) Base RI'!AK274</f>
        <v>0</v>
      </c>
      <c r="AR274" s="10">
        <f>'A) Base RI'!AN274</f>
        <v>4605</v>
      </c>
    </row>
    <row r="275" spans="1:44" x14ac:dyDescent="0.25">
      <c r="A275" s="8">
        <f>'A) Base RI'!A275</f>
        <v>5873</v>
      </c>
      <c r="B275" s="33" t="str">
        <f>'A) Base RI'!B275</f>
        <v>Le Lieu</v>
      </c>
      <c r="C275" s="10">
        <f>'A) Base RI'!C275+'A) Base RI'!D275</f>
        <v>1800582.27</v>
      </c>
      <c r="D275" s="10">
        <f>'A) Base RI'!AO275</f>
        <v>-27723.65</v>
      </c>
      <c r="E275" s="32">
        <f>'A) Base RI'!AP275</f>
        <v>0</v>
      </c>
      <c r="F275" s="32">
        <f>'A) Base RI'!AQ275</f>
        <v>-187.1</v>
      </c>
      <c r="G275" s="2">
        <f t="shared" si="28"/>
        <v>1772671.52</v>
      </c>
      <c r="H275" s="10">
        <f>+'A) Base RI'!E275</f>
        <v>0</v>
      </c>
      <c r="I275" s="10">
        <f>+'A) Base RI'!F275</f>
        <v>0</v>
      </c>
      <c r="J275" s="10">
        <f>+'A) Base RI'!G275+'A) Base RI'!H275</f>
        <v>272444.95</v>
      </c>
      <c r="K275" s="10">
        <f>+'A) Base RI'!I275</f>
        <v>0</v>
      </c>
      <c r="L275" s="10">
        <f>+'A) Base RI'!J275</f>
        <v>27735.759999999998</v>
      </c>
      <c r="M275" s="10">
        <f>+'A) Base RI'!K275</f>
        <v>0</v>
      </c>
      <c r="N275" s="10">
        <f>+'A) Base RI'!Q275</f>
        <v>3346.62</v>
      </c>
      <c r="O275" s="10">
        <f t="shared" si="29"/>
        <v>140227.66666666669</v>
      </c>
      <c r="P275" s="10">
        <f>+'A) Base RI'!L275</f>
        <v>84136.6</v>
      </c>
      <c r="Q275" s="35">
        <f>'A) Base RI'!AR275</f>
        <v>0.6</v>
      </c>
      <c r="R275" s="2">
        <f t="shared" si="30"/>
        <v>2216426.5166666666</v>
      </c>
      <c r="S275" s="34">
        <f>+'A) Base RI'!AM275</f>
        <v>70</v>
      </c>
      <c r="T275" s="2">
        <f t="shared" si="31"/>
        <v>2076198.85</v>
      </c>
      <c r="U275" s="2">
        <f t="shared" si="32"/>
        <v>31663.23595238095</v>
      </c>
      <c r="V275" s="10">
        <f>+'A) Base RI'!O275</f>
        <v>5444.9</v>
      </c>
      <c r="W275" s="10">
        <f>+'A) Base RI'!P275</f>
        <v>67569.5</v>
      </c>
      <c r="X275" s="10">
        <f>+'A) Base RI'!R275</f>
        <v>55900.25</v>
      </c>
      <c r="Y275" s="2">
        <f t="shared" si="33"/>
        <v>128914.65</v>
      </c>
      <c r="Z275" s="10">
        <f>+'A) Base RI'!N275</f>
        <v>740316.8</v>
      </c>
      <c r="AA275" s="10">
        <f>+'A) Base RI'!S275+'A) Base RI'!T275</f>
        <v>475</v>
      </c>
      <c r="AB275" s="10">
        <f>+'A) Base RI'!U275</f>
        <v>7250</v>
      </c>
      <c r="AC275" s="10">
        <f>+'A) Base RI'!V275</f>
        <v>0</v>
      </c>
      <c r="AD275" s="10">
        <f>+'A) Base RI'!W275</f>
        <v>0</v>
      </c>
      <c r="AE275" s="10">
        <f>+'A) Base RI'!Y275</f>
        <v>12330</v>
      </c>
      <c r="AF275" s="10">
        <f>+'A) Base RI'!Z275</f>
        <v>0</v>
      </c>
      <c r="AG275" s="10">
        <f>+'A) Base RI'!AA275</f>
        <v>225090.75</v>
      </c>
      <c r="AH275" s="10">
        <f>+'A) Base RI'!AB275</f>
        <v>0</v>
      </c>
      <c r="AI275" s="10">
        <f>+'A) Base RI'!AC275</f>
        <v>88833.57</v>
      </c>
      <c r="AJ275" s="10">
        <f>+'A) Base RI'!AD275</f>
        <v>16440</v>
      </c>
      <c r="AK275" s="10">
        <f>+'A) Base RI'!AE275</f>
        <v>0</v>
      </c>
      <c r="AL275" s="10">
        <f>+'A) Base RI'!AF275</f>
        <v>0</v>
      </c>
      <c r="AM275" s="10">
        <f>+'A) Base RI'!AG275</f>
        <v>21739.200000000001</v>
      </c>
      <c r="AN275" s="10">
        <f>+'A) Base RI'!AH275</f>
        <v>0</v>
      </c>
      <c r="AO275" s="10">
        <f>+'A) Base RI'!AI275</f>
        <v>0</v>
      </c>
      <c r="AP275" s="10">
        <f>+'A) Base RI'!AJ275</f>
        <v>0</v>
      </c>
      <c r="AQ275" s="10">
        <f>+'A) Base RI'!AK275</f>
        <v>0</v>
      </c>
      <c r="AR275" s="10">
        <f>'A) Base RI'!AN275</f>
        <v>875</v>
      </c>
    </row>
    <row r="276" spans="1:44" x14ac:dyDescent="0.25">
      <c r="A276" s="8">
        <f>'A) Base RI'!A276</f>
        <v>5881</v>
      </c>
      <c r="B276" s="33" t="str">
        <f>'A) Base RI'!B276</f>
        <v>Blonay</v>
      </c>
      <c r="C276" s="10">
        <f>'A) Base RI'!C276+'A) Base RI'!D276</f>
        <v>20471184.129999999</v>
      </c>
      <c r="D276" s="10">
        <f>'A) Base RI'!AO276</f>
        <v>-352252.89</v>
      </c>
      <c r="E276" s="32">
        <f>'A) Base RI'!AP276</f>
        <v>0</v>
      </c>
      <c r="F276" s="32">
        <f>'A) Base RI'!AQ276</f>
        <v>-33453.49</v>
      </c>
      <c r="G276" s="2">
        <f t="shared" si="28"/>
        <v>20085477.75</v>
      </c>
      <c r="H276" s="10">
        <f>+'A) Base RI'!E276</f>
        <v>0</v>
      </c>
      <c r="I276" s="10">
        <f>+'A) Base RI'!F276</f>
        <v>0</v>
      </c>
      <c r="J276" s="10">
        <f>+'A) Base RI'!G276+'A) Base RI'!H276</f>
        <v>505970.95</v>
      </c>
      <c r="K276" s="10">
        <f>+'A) Base RI'!I276</f>
        <v>799779.98</v>
      </c>
      <c r="L276" s="10">
        <f>+'A) Base RI'!J276</f>
        <v>176657.79</v>
      </c>
      <c r="M276" s="10">
        <f>+'A) Base RI'!K276</f>
        <v>73316.649999999994</v>
      </c>
      <c r="N276" s="10">
        <f>+'A) Base RI'!Q276</f>
        <v>67886.2</v>
      </c>
      <c r="O276" s="10">
        <f t="shared" si="29"/>
        <v>1633917.7</v>
      </c>
      <c r="P276" s="10">
        <f>+'A) Base RI'!L276</f>
        <v>1633917.7</v>
      </c>
      <c r="Q276" s="35">
        <f>'A) Base RI'!AR276</f>
        <v>1</v>
      </c>
      <c r="R276" s="2">
        <f t="shared" si="30"/>
        <v>23343007.019999996</v>
      </c>
      <c r="S276" s="34">
        <f>+'A) Base RI'!AM276</f>
        <v>70</v>
      </c>
      <c r="T276" s="2">
        <f t="shared" si="31"/>
        <v>21635772.669999998</v>
      </c>
      <c r="U276" s="2">
        <f t="shared" si="32"/>
        <v>333471.52885714278</v>
      </c>
      <c r="V276" s="10">
        <f>+'A) Base RI'!O276</f>
        <v>120481.9</v>
      </c>
      <c r="W276" s="10">
        <f>+'A) Base RI'!P276</f>
        <v>713559.3</v>
      </c>
      <c r="X276" s="10">
        <f>+'A) Base RI'!R276</f>
        <v>511661.15</v>
      </c>
      <c r="Y276" s="2">
        <f t="shared" si="33"/>
        <v>1345702.35</v>
      </c>
      <c r="Z276" s="10">
        <f>+'A) Base RI'!N276</f>
        <v>85521.8</v>
      </c>
      <c r="AA276" s="10">
        <f>+'A) Base RI'!S276+'A) Base RI'!T276</f>
        <v>0</v>
      </c>
      <c r="AB276" s="10">
        <f>+'A) Base RI'!U276</f>
        <v>42550</v>
      </c>
      <c r="AC276" s="10">
        <f>+'A) Base RI'!V276</f>
        <v>0</v>
      </c>
      <c r="AD276" s="10">
        <f>+'A) Base RI'!W276</f>
        <v>0</v>
      </c>
      <c r="AE276" s="10">
        <f>+'A) Base RI'!Y276</f>
        <v>158224</v>
      </c>
      <c r="AF276" s="10">
        <f>+'A) Base RI'!Z276</f>
        <v>0</v>
      </c>
      <c r="AG276" s="10">
        <f>+'A) Base RI'!AA276</f>
        <v>471705.75</v>
      </c>
      <c r="AH276" s="10">
        <f>+'A) Base RI'!AB276</f>
        <v>0</v>
      </c>
      <c r="AI276" s="10">
        <f>+'A) Base RI'!AC276</f>
        <v>749260.3</v>
      </c>
      <c r="AJ276" s="10">
        <f>+'A) Base RI'!AD276</f>
        <v>101065</v>
      </c>
      <c r="AK276" s="10">
        <f>+'A) Base RI'!AE276</f>
        <v>0</v>
      </c>
      <c r="AL276" s="10">
        <f>+'A) Base RI'!AF276</f>
        <v>0</v>
      </c>
      <c r="AM276" s="10">
        <f>+'A) Base RI'!AG276</f>
        <v>0</v>
      </c>
      <c r="AN276" s="10">
        <f>+'A) Base RI'!AH276</f>
        <v>0</v>
      </c>
      <c r="AO276" s="10">
        <f>+'A) Base RI'!AI276</f>
        <v>0</v>
      </c>
      <c r="AP276" s="10">
        <f>+'A) Base RI'!AJ276</f>
        <v>0</v>
      </c>
      <c r="AQ276" s="10">
        <f>+'A) Base RI'!AK276</f>
        <v>0</v>
      </c>
      <c r="AR276" s="10">
        <f>'A) Base RI'!AN276</f>
        <v>6175</v>
      </c>
    </row>
    <row r="277" spans="1:44" x14ac:dyDescent="0.25">
      <c r="A277" s="8">
        <f>'A) Base RI'!A277</f>
        <v>5882</v>
      </c>
      <c r="B277" s="33" t="str">
        <f>'A) Base RI'!B277</f>
        <v>Chardonne</v>
      </c>
      <c r="C277" s="10">
        <f>'A) Base RI'!C277+'A) Base RI'!D277</f>
        <v>9392112.4700000007</v>
      </c>
      <c r="D277" s="10">
        <f>'A) Base RI'!AO277</f>
        <v>-111644.38</v>
      </c>
      <c r="E277" s="32">
        <f>'A) Base RI'!AP277</f>
        <v>0</v>
      </c>
      <c r="F277" s="32">
        <f>'A) Base RI'!AQ277</f>
        <v>-1095.95</v>
      </c>
      <c r="G277" s="2">
        <f t="shared" si="28"/>
        <v>9279372.1400000006</v>
      </c>
      <c r="H277" s="10">
        <f>+'A) Base RI'!E277</f>
        <v>0</v>
      </c>
      <c r="I277" s="10">
        <f>+'A) Base RI'!F277</f>
        <v>0</v>
      </c>
      <c r="J277" s="10">
        <f>+'A) Base RI'!G277+'A) Base RI'!H277</f>
        <v>126318.8</v>
      </c>
      <c r="K277" s="10">
        <f>+'A) Base RI'!I277</f>
        <v>511774.43</v>
      </c>
      <c r="L277" s="10">
        <f>+'A) Base RI'!J277</f>
        <v>127193.7</v>
      </c>
      <c r="M277" s="10">
        <f>+'A) Base RI'!K277</f>
        <v>46019.85</v>
      </c>
      <c r="N277" s="10">
        <f>+'A) Base RI'!Q277</f>
        <v>18957.77</v>
      </c>
      <c r="O277" s="10">
        <f t="shared" si="29"/>
        <v>866901.63</v>
      </c>
      <c r="P277" s="10">
        <f>+'A) Base RI'!L277</f>
        <v>866901.63</v>
      </c>
      <c r="Q277" s="35">
        <f>'A) Base RI'!AR277</f>
        <v>1</v>
      </c>
      <c r="R277" s="2">
        <f t="shared" si="30"/>
        <v>10976538.32</v>
      </c>
      <c r="S277" s="34">
        <f>+'A) Base RI'!AM277</f>
        <v>68</v>
      </c>
      <c r="T277" s="2">
        <f t="shared" si="31"/>
        <v>10063616.84</v>
      </c>
      <c r="U277" s="2">
        <f t="shared" si="32"/>
        <v>161419.68117647059</v>
      </c>
      <c r="V277" s="10">
        <f>+'A) Base RI'!O277</f>
        <v>766963</v>
      </c>
      <c r="W277" s="10">
        <f>+'A) Base RI'!P277</f>
        <v>793085.75</v>
      </c>
      <c r="X277" s="10">
        <f>+'A) Base RI'!R277</f>
        <v>320430.15000000002</v>
      </c>
      <c r="Y277" s="2">
        <f t="shared" si="33"/>
        <v>1880478.9</v>
      </c>
      <c r="Z277" s="10">
        <f>+'A) Base RI'!N277</f>
        <v>16142.55</v>
      </c>
      <c r="AA277" s="10">
        <f>+'A) Base RI'!S277+'A) Base RI'!T277</f>
        <v>0</v>
      </c>
      <c r="AB277" s="10">
        <f>+'A) Base RI'!U277</f>
        <v>14740</v>
      </c>
      <c r="AC277" s="10">
        <f>+'A) Base RI'!V277</f>
        <v>0</v>
      </c>
      <c r="AD277" s="10">
        <f>+'A) Base RI'!W277</f>
        <v>0</v>
      </c>
      <c r="AE277" s="10">
        <f>+'A) Base RI'!Y277</f>
        <v>51224.88</v>
      </c>
      <c r="AF277" s="10">
        <f>+'A) Base RI'!Z277</f>
        <v>0</v>
      </c>
      <c r="AG277" s="10">
        <f>+'A) Base RI'!AA277</f>
        <v>329686.83</v>
      </c>
      <c r="AH277" s="10">
        <f>+'A) Base RI'!AB277</f>
        <v>0</v>
      </c>
      <c r="AI277" s="10">
        <f>+'A) Base RI'!AC277</f>
        <v>295137.23</v>
      </c>
      <c r="AJ277" s="10">
        <f>+'A) Base RI'!AD277</f>
        <v>0</v>
      </c>
      <c r="AK277" s="10">
        <f>+'A) Base RI'!AE277</f>
        <v>0</v>
      </c>
      <c r="AL277" s="10">
        <f>+'A) Base RI'!AF277</f>
        <v>0</v>
      </c>
      <c r="AM277" s="10">
        <f>+'A) Base RI'!AG277</f>
        <v>0</v>
      </c>
      <c r="AN277" s="10">
        <f>+'A) Base RI'!AH277</f>
        <v>0</v>
      </c>
      <c r="AO277" s="10">
        <f>+'A) Base RI'!AI277</f>
        <v>0</v>
      </c>
      <c r="AP277" s="10">
        <f>+'A) Base RI'!AJ277</f>
        <v>0</v>
      </c>
      <c r="AQ277" s="10">
        <f>+'A) Base RI'!AK277</f>
        <v>0</v>
      </c>
      <c r="AR277" s="10">
        <f>'A) Base RI'!AN277</f>
        <v>2941</v>
      </c>
    </row>
    <row r="278" spans="1:44" x14ac:dyDescent="0.25">
      <c r="A278" s="8">
        <f>'A) Base RI'!A278</f>
        <v>5883</v>
      </c>
      <c r="B278" s="33" t="str">
        <f>'A) Base RI'!B278</f>
        <v>Corseaux</v>
      </c>
      <c r="C278" s="10">
        <f>'A) Base RI'!C278+'A) Base RI'!D278</f>
        <v>9384762.7400000002</v>
      </c>
      <c r="D278" s="10">
        <f>'A) Base RI'!AO278</f>
        <v>-53773.81</v>
      </c>
      <c r="E278" s="32">
        <f>'A) Base RI'!AP278</f>
        <v>0</v>
      </c>
      <c r="F278" s="32">
        <f>'A) Base RI'!AQ278</f>
        <v>-3956.04</v>
      </c>
      <c r="G278" s="2">
        <f t="shared" si="28"/>
        <v>9327032.8900000006</v>
      </c>
      <c r="H278" s="10">
        <f>+'A) Base RI'!E278</f>
        <v>0</v>
      </c>
      <c r="I278" s="10">
        <f>+'A) Base RI'!F278</f>
        <v>0</v>
      </c>
      <c r="J278" s="10">
        <f>+'A) Base RI'!G278+'A) Base RI'!H278</f>
        <v>209098.55</v>
      </c>
      <c r="K278" s="10">
        <f>+'A) Base RI'!I278</f>
        <v>415601.75</v>
      </c>
      <c r="L278" s="10">
        <f>+'A) Base RI'!J278</f>
        <v>145077.20000000001</v>
      </c>
      <c r="M278" s="10">
        <f>+'A) Base RI'!K278</f>
        <v>8882.1</v>
      </c>
      <c r="N278" s="10">
        <f>+'A) Base RI'!Q278</f>
        <v>27487.69</v>
      </c>
      <c r="O278" s="10">
        <f t="shared" si="29"/>
        <v>655645.55000000005</v>
      </c>
      <c r="P278" s="10">
        <f>+'A) Base RI'!L278</f>
        <v>655645.55000000005</v>
      </c>
      <c r="Q278" s="35">
        <f>'A) Base RI'!AR278</f>
        <v>1</v>
      </c>
      <c r="R278" s="2">
        <f t="shared" si="30"/>
        <v>10788825.73</v>
      </c>
      <c r="S278" s="34">
        <f>+'A) Base RI'!AM278</f>
        <v>69</v>
      </c>
      <c r="T278" s="2">
        <f t="shared" si="31"/>
        <v>10124298.08</v>
      </c>
      <c r="U278" s="2">
        <f t="shared" si="32"/>
        <v>156359.79318840581</v>
      </c>
      <c r="V278" s="10">
        <f>+'A) Base RI'!O278</f>
        <v>3009233.8</v>
      </c>
      <c r="W278" s="10">
        <f>+'A) Base RI'!P278</f>
        <v>295900</v>
      </c>
      <c r="X278" s="10">
        <f>+'A) Base RI'!R278</f>
        <v>181089.75</v>
      </c>
      <c r="Y278" s="2">
        <f t="shared" si="33"/>
        <v>3486223.55</v>
      </c>
      <c r="Z278" s="10">
        <f>+'A) Base RI'!N278</f>
        <v>3596.1</v>
      </c>
      <c r="AA278" s="10">
        <f>+'A) Base RI'!S278+'A) Base RI'!T278</f>
        <v>0</v>
      </c>
      <c r="AB278" s="10">
        <f>+'A) Base RI'!U278</f>
        <v>3700</v>
      </c>
      <c r="AC278" s="10">
        <f>+'A) Base RI'!V278</f>
        <v>0</v>
      </c>
      <c r="AD278" s="10">
        <f>+'A) Base RI'!W278</f>
        <v>0</v>
      </c>
      <c r="AE278" s="10">
        <f>+'A) Base RI'!Y278</f>
        <v>0</v>
      </c>
      <c r="AF278" s="10">
        <f>+'A) Base RI'!Z278</f>
        <v>0</v>
      </c>
      <c r="AG278" s="10">
        <f>+'A) Base RI'!AA278</f>
        <v>0</v>
      </c>
      <c r="AH278" s="10">
        <f>+'A) Base RI'!AB278</f>
        <v>0</v>
      </c>
      <c r="AI278" s="10">
        <f>+'A) Base RI'!AC278</f>
        <v>297930.51</v>
      </c>
      <c r="AJ278" s="10">
        <f>+'A) Base RI'!AD278</f>
        <v>157028.94</v>
      </c>
      <c r="AK278" s="10">
        <f>+'A) Base RI'!AE278</f>
        <v>0</v>
      </c>
      <c r="AL278" s="10">
        <f>+'A) Base RI'!AF278</f>
        <v>0</v>
      </c>
      <c r="AM278" s="10">
        <f>+'A) Base RI'!AG278</f>
        <v>0</v>
      </c>
      <c r="AN278" s="10">
        <f>+'A) Base RI'!AH278</f>
        <v>0</v>
      </c>
      <c r="AO278" s="10">
        <f>+'A) Base RI'!AI278</f>
        <v>0</v>
      </c>
      <c r="AP278" s="10">
        <f>+'A) Base RI'!AJ278</f>
        <v>0</v>
      </c>
      <c r="AQ278" s="10">
        <f>+'A) Base RI'!AK278</f>
        <v>0</v>
      </c>
      <c r="AR278" s="10">
        <f>'A) Base RI'!AN278</f>
        <v>2282</v>
      </c>
    </row>
    <row r="279" spans="1:44" x14ac:dyDescent="0.25">
      <c r="A279" s="8">
        <f>'A) Base RI'!A279</f>
        <v>5884</v>
      </c>
      <c r="B279" s="33" t="str">
        <f>'A) Base RI'!B279</f>
        <v>Corsier-sur-Vevey</v>
      </c>
      <c r="C279" s="10">
        <f>'A) Base RI'!C279+'A) Base RI'!D279</f>
        <v>6291586.9299999997</v>
      </c>
      <c r="D279" s="10">
        <f>'A) Base RI'!AO279</f>
        <v>-592432.42000000004</v>
      </c>
      <c r="E279" s="32">
        <f>'A) Base RI'!AP279</f>
        <v>0</v>
      </c>
      <c r="F279" s="32">
        <f>'A) Base RI'!AQ279</f>
        <v>-885.85</v>
      </c>
      <c r="G279" s="2">
        <f t="shared" si="28"/>
        <v>5698268.6600000001</v>
      </c>
      <c r="H279" s="10">
        <f>+'A) Base RI'!E279</f>
        <v>0</v>
      </c>
      <c r="I279" s="10">
        <f>+'A) Base RI'!F279</f>
        <v>0</v>
      </c>
      <c r="J279" s="10">
        <f>+'A) Base RI'!G279+'A) Base RI'!H279</f>
        <v>841776.5</v>
      </c>
      <c r="K279" s="10">
        <f>+'A) Base RI'!I279</f>
        <v>21268.15</v>
      </c>
      <c r="L279" s="10">
        <f>+'A) Base RI'!J279</f>
        <v>186131.75</v>
      </c>
      <c r="M279" s="10">
        <f>+'A) Base RI'!K279</f>
        <v>294440.65000000002</v>
      </c>
      <c r="N279" s="10">
        <f>+'A) Base RI'!Q279</f>
        <v>32080.6</v>
      </c>
      <c r="O279" s="10">
        <f t="shared" si="29"/>
        <v>787362.08333333337</v>
      </c>
      <c r="P279" s="10">
        <f>+'A) Base RI'!L279</f>
        <v>944834.5</v>
      </c>
      <c r="Q279" s="35">
        <f>'A) Base RI'!AR279</f>
        <v>1.2</v>
      </c>
      <c r="R279" s="2">
        <f t="shared" si="30"/>
        <v>7861328.3933333335</v>
      </c>
      <c r="S279" s="34">
        <f>+'A) Base RI'!AM279</f>
        <v>66</v>
      </c>
      <c r="T279" s="2">
        <f t="shared" si="31"/>
        <v>6779525.6600000001</v>
      </c>
      <c r="U279" s="2">
        <f t="shared" si="32"/>
        <v>119111.03626262626</v>
      </c>
      <c r="V279" s="10">
        <f>+'A) Base RI'!O279</f>
        <v>42935.4</v>
      </c>
      <c r="W279" s="10">
        <f>+'A) Base RI'!P279</f>
        <v>394216.65</v>
      </c>
      <c r="X279" s="10">
        <f>+'A) Base RI'!R279</f>
        <v>129340.95</v>
      </c>
      <c r="Y279" s="2">
        <f t="shared" si="33"/>
        <v>566493</v>
      </c>
      <c r="Z279" s="10">
        <f>+'A) Base RI'!N279</f>
        <v>423155.85</v>
      </c>
      <c r="AA279" s="10">
        <f>+'A) Base RI'!S279+'A) Base RI'!T279</f>
        <v>0</v>
      </c>
      <c r="AB279" s="10">
        <f>+'A) Base RI'!U279</f>
        <v>17050</v>
      </c>
      <c r="AC279" s="10">
        <f>+'A) Base RI'!V279</f>
        <v>0</v>
      </c>
      <c r="AD279" s="10">
        <f>+'A) Base RI'!W279</f>
        <v>0</v>
      </c>
      <c r="AE279" s="10">
        <f>+'A) Base RI'!Y279</f>
        <v>4359.7</v>
      </c>
      <c r="AF279" s="10" t="str">
        <f>+'A) Base RI'!Z279</f>
        <v/>
      </c>
      <c r="AG279" s="10">
        <f>+'A) Base RI'!AA279</f>
        <v>338240.9</v>
      </c>
      <c r="AH279" s="10">
        <f>+'A) Base RI'!AB279</f>
        <v>604917.9</v>
      </c>
      <c r="AI279" s="10">
        <f>+'A) Base RI'!AC279</f>
        <v>251456.8</v>
      </c>
      <c r="AJ279" s="10" t="str">
        <f>+'A) Base RI'!AD279</f>
        <v/>
      </c>
      <c r="AK279" s="10" t="str">
        <f>+'A) Base RI'!AE279</f>
        <v/>
      </c>
      <c r="AL279" s="10" t="str">
        <f>+'A) Base RI'!AF279</f>
        <v/>
      </c>
      <c r="AM279" s="10">
        <f>+'A) Base RI'!AG279</f>
        <v>19193</v>
      </c>
      <c r="AN279" s="10">
        <f>+'A) Base RI'!AH279</f>
        <v>283066.45</v>
      </c>
      <c r="AO279" s="10">
        <f>+'A) Base RI'!AI279</f>
        <v>0</v>
      </c>
      <c r="AP279" s="10">
        <f>+'A) Base RI'!AJ279</f>
        <v>0</v>
      </c>
      <c r="AQ279" s="10">
        <f>+'A) Base RI'!AK279</f>
        <v>0</v>
      </c>
      <c r="AR279" s="10">
        <f>'A) Base RI'!AN279</f>
        <v>3386</v>
      </c>
    </row>
    <row r="280" spans="1:44" x14ac:dyDescent="0.25">
      <c r="A280" s="8">
        <f>'A) Base RI'!A280</f>
        <v>5885</v>
      </c>
      <c r="B280" s="33" t="str">
        <f>'A) Base RI'!B280</f>
        <v>Jongny</v>
      </c>
      <c r="C280" s="10">
        <f>'A) Base RI'!C280+'A) Base RI'!D280</f>
        <v>5421151.4500000002</v>
      </c>
      <c r="D280" s="10">
        <f>'A) Base RI'!AO280</f>
        <v>-42324.17</v>
      </c>
      <c r="E280" s="32">
        <f>'A) Base RI'!AP280</f>
        <v>0</v>
      </c>
      <c r="F280" s="32">
        <f>'A) Base RI'!AQ280</f>
        <v>-1891.18</v>
      </c>
      <c r="G280" s="2">
        <f t="shared" si="28"/>
        <v>5376936.1000000006</v>
      </c>
      <c r="H280" s="10">
        <f>+'A) Base RI'!E280</f>
        <v>0</v>
      </c>
      <c r="I280" s="10">
        <f>+'A) Base RI'!F280</f>
        <v>0</v>
      </c>
      <c r="J280" s="10">
        <f>+'A) Base RI'!G280+'A) Base RI'!H280</f>
        <v>50702.25</v>
      </c>
      <c r="K280" s="10">
        <f>+'A) Base RI'!I280</f>
        <v>153733.65</v>
      </c>
      <c r="L280" s="10">
        <f>+'A) Base RI'!J280</f>
        <v>-40178.120000000003</v>
      </c>
      <c r="M280" s="10">
        <f>+'A) Base RI'!K280</f>
        <v>17671.05</v>
      </c>
      <c r="N280" s="10">
        <f>+'A) Base RI'!Q280</f>
        <v>167.64</v>
      </c>
      <c r="O280" s="10">
        <f t="shared" si="29"/>
        <v>391155.20833333337</v>
      </c>
      <c r="P280" s="10">
        <f>+'A) Base RI'!L280</f>
        <v>469386.25</v>
      </c>
      <c r="Q280" s="35">
        <f>'A) Base RI'!AR280</f>
        <v>1.2</v>
      </c>
      <c r="R280" s="2">
        <f t="shared" si="30"/>
        <v>5950187.7783333333</v>
      </c>
      <c r="S280" s="34">
        <f>+'A) Base RI'!AM280</f>
        <v>71</v>
      </c>
      <c r="T280" s="2">
        <f t="shared" si="31"/>
        <v>5541361.5200000005</v>
      </c>
      <c r="U280" s="2">
        <f t="shared" si="32"/>
        <v>83805.46166666667</v>
      </c>
      <c r="V280" s="10">
        <f>+'A) Base RI'!O280</f>
        <v>258856.3</v>
      </c>
      <c r="W280" s="10">
        <f>+'A) Base RI'!P280</f>
        <v>463666.6</v>
      </c>
      <c r="X280" s="10">
        <f>+'A) Base RI'!R280</f>
        <v>539128.85</v>
      </c>
      <c r="Y280" s="2">
        <f t="shared" si="33"/>
        <v>1261651.75</v>
      </c>
      <c r="Z280" s="10">
        <f>+'A) Base RI'!N280</f>
        <v>1646.75</v>
      </c>
      <c r="AA280" s="10">
        <f>+'A) Base RI'!S280+'A) Base RI'!T280</f>
        <v>0</v>
      </c>
      <c r="AB280" s="10">
        <f>+'A) Base RI'!U280</f>
        <v>10650</v>
      </c>
      <c r="AC280" s="10">
        <f>+'A) Base RI'!V280</f>
        <v>0</v>
      </c>
      <c r="AD280" s="10">
        <f>+'A) Base RI'!W280</f>
        <v>0</v>
      </c>
      <c r="AE280" s="10">
        <f>+'A) Base RI'!Y280</f>
        <v>0</v>
      </c>
      <c r="AF280" s="10">
        <f>+'A) Base RI'!Z280</f>
        <v>0</v>
      </c>
      <c r="AG280" s="10">
        <f>+'A) Base RI'!AA280</f>
        <v>0</v>
      </c>
      <c r="AH280" s="10">
        <f>+'A) Base RI'!AB280</f>
        <v>0</v>
      </c>
      <c r="AI280" s="10">
        <f>+'A) Base RI'!AC280</f>
        <v>159341.75</v>
      </c>
      <c r="AJ280" s="10">
        <f>+'A) Base RI'!AD280</f>
        <v>27201.5</v>
      </c>
      <c r="AK280" s="10">
        <f>+'A) Base RI'!AE280</f>
        <v>0</v>
      </c>
      <c r="AL280" s="10">
        <f>+'A) Base RI'!AF280</f>
        <v>0</v>
      </c>
      <c r="AM280" s="10">
        <f>+'A) Base RI'!AG280</f>
        <v>0</v>
      </c>
      <c r="AN280" s="10">
        <f>+'A) Base RI'!AH280</f>
        <v>0</v>
      </c>
      <c r="AO280" s="10">
        <f>+'A) Base RI'!AI280</f>
        <v>0</v>
      </c>
      <c r="AP280" s="10">
        <f>+'A) Base RI'!AJ280</f>
        <v>0</v>
      </c>
      <c r="AQ280" s="10">
        <f>+'A) Base RI'!AK280</f>
        <v>0</v>
      </c>
      <c r="AR280" s="10">
        <f>'A) Base RI'!AN280</f>
        <v>1536</v>
      </c>
    </row>
    <row r="281" spans="1:44" x14ac:dyDescent="0.25">
      <c r="A281" s="8">
        <f>'A) Base RI'!A281</f>
        <v>5886</v>
      </c>
      <c r="B281" s="33" t="str">
        <f>'A) Base RI'!B281</f>
        <v>Montreux</v>
      </c>
      <c r="C281" s="10">
        <f>'A) Base RI'!C281+'A) Base RI'!D281</f>
        <v>54622860.590000004</v>
      </c>
      <c r="D281" s="10">
        <f>'A) Base RI'!AO281</f>
        <v>-2886213.3</v>
      </c>
      <c r="E281" s="32">
        <f>'A) Base RI'!AP281</f>
        <v>0</v>
      </c>
      <c r="F281" s="32">
        <f>'A) Base RI'!AQ281</f>
        <v>-65399.87</v>
      </c>
      <c r="G281" s="2">
        <f t="shared" si="28"/>
        <v>51671247.420000009</v>
      </c>
      <c r="H281" s="10">
        <f>+'A) Base RI'!E281</f>
        <v>0</v>
      </c>
      <c r="I281" s="10">
        <f>+'A) Base RI'!F281</f>
        <v>0</v>
      </c>
      <c r="J281" s="10">
        <f>+'A) Base RI'!G281+'A) Base RI'!H281</f>
        <v>5022625.8000000007</v>
      </c>
      <c r="K281" s="10">
        <f>+'A) Base RI'!I281</f>
        <v>4863620.41</v>
      </c>
      <c r="L281" s="10">
        <f>+'A) Base RI'!J281</f>
        <v>2686994.85</v>
      </c>
      <c r="M281" s="10">
        <f>+'A) Base RI'!K281</f>
        <v>717374.25</v>
      </c>
      <c r="N281" s="10">
        <f>+'A) Base RI'!Q281</f>
        <v>1080246.4099999999</v>
      </c>
      <c r="O281" s="10">
        <f t="shared" si="29"/>
        <v>6819589.2800000003</v>
      </c>
      <c r="P281" s="10">
        <f>+'A) Base RI'!L281</f>
        <v>10229383.92</v>
      </c>
      <c r="Q281" s="35">
        <f>'A) Base RI'!AR281</f>
        <v>1.5</v>
      </c>
      <c r="R281" s="2">
        <f t="shared" si="30"/>
        <v>72861698.420000002</v>
      </c>
      <c r="S281" s="34">
        <f>+'A) Base RI'!AM281</f>
        <v>65</v>
      </c>
      <c r="T281" s="2">
        <f t="shared" si="31"/>
        <v>65324734.890000008</v>
      </c>
      <c r="U281" s="2">
        <f t="shared" si="32"/>
        <v>1120949.2064615386</v>
      </c>
      <c r="V281" s="10">
        <f>+'A) Base RI'!O281</f>
        <v>15820832</v>
      </c>
      <c r="W281" s="10">
        <f>+'A) Base RI'!P281</f>
        <v>4783529.55</v>
      </c>
      <c r="X281" s="10">
        <f>+'A) Base RI'!R281</f>
        <v>2825487.05</v>
      </c>
      <c r="Y281" s="2">
        <f t="shared" si="33"/>
        <v>23429848.600000001</v>
      </c>
      <c r="Z281" s="10">
        <f>+'A) Base RI'!N281</f>
        <v>935037.7</v>
      </c>
      <c r="AA281" s="10">
        <f>+'A) Base RI'!S281+'A) Base RI'!T281</f>
        <v>0</v>
      </c>
      <c r="AB281" s="10">
        <f>+'A) Base RI'!U281</f>
        <v>88200</v>
      </c>
      <c r="AC281" s="10">
        <f>+'A) Base RI'!V281</f>
        <v>0</v>
      </c>
      <c r="AD281" s="10">
        <f>+'A) Base RI'!W281</f>
        <v>0</v>
      </c>
      <c r="AE281" s="10">
        <f>+'A) Base RI'!Y281</f>
        <v>0</v>
      </c>
      <c r="AF281" s="10">
        <f>+'A) Base RI'!Z281</f>
        <v>0</v>
      </c>
      <c r="AG281" s="10">
        <f>+'A) Base RI'!AA281</f>
        <v>2765738</v>
      </c>
      <c r="AH281" s="10">
        <f>+'A) Base RI'!AB281</f>
        <v>0</v>
      </c>
      <c r="AI281" s="10">
        <f>+'A) Base RI'!AC281</f>
        <v>3955845</v>
      </c>
      <c r="AJ281" s="10">
        <f>+'A) Base RI'!AD281</f>
        <v>0</v>
      </c>
      <c r="AK281" s="10">
        <f>+'A) Base RI'!AE281</f>
        <v>0</v>
      </c>
      <c r="AL281" s="10">
        <f>+'A) Base RI'!AF281</f>
        <v>0</v>
      </c>
      <c r="AM281" s="10">
        <f>+'A) Base RI'!AG281</f>
        <v>0</v>
      </c>
      <c r="AN281" s="10">
        <f>+'A) Base RI'!AH281</f>
        <v>0</v>
      </c>
      <c r="AO281" s="10">
        <f>+'A) Base RI'!AI281</f>
        <v>0</v>
      </c>
      <c r="AP281" s="10">
        <f>+'A) Base RI'!AJ281</f>
        <v>0</v>
      </c>
      <c r="AQ281" s="10">
        <f>+'A) Base RI'!AK281</f>
        <v>0</v>
      </c>
      <c r="AR281" s="10">
        <f>'A) Base RI'!AN281</f>
        <v>26006</v>
      </c>
    </row>
    <row r="282" spans="1:44" x14ac:dyDescent="0.25">
      <c r="A282" s="8">
        <f>'A) Base RI'!A282</f>
        <v>5888</v>
      </c>
      <c r="B282" s="33" t="str">
        <f>'A) Base RI'!B282</f>
        <v>Saint-Légier-La Chiésaz</v>
      </c>
      <c r="C282" s="10">
        <f>'A) Base RI'!C282+'A) Base RI'!D282</f>
        <v>19929861.039999999</v>
      </c>
      <c r="D282" s="10">
        <f>'A) Base RI'!AO282</f>
        <v>-381108.72</v>
      </c>
      <c r="E282" s="32">
        <f>'A) Base RI'!AP282</f>
        <v>0</v>
      </c>
      <c r="F282" s="32">
        <f>'A) Base RI'!AQ282</f>
        <v>-24183.64</v>
      </c>
      <c r="G282" s="2">
        <f t="shared" si="28"/>
        <v>19524568.68</v>
      </c>
      <c r="H282" s="10">
        <f>+'A) Base RI'!E282</f>
        <v>0</v>
      </c>
      <c r="I282" s="10">
        <f>+'A) Base RI'!F282</f>
        <v>0</v>
      </c>
      <c r="J282" s="10">
        <f>+'A) Base RI'!G282+'A) Base RI'!H282</f>
        <v>848207.04999999993</v>
      </c>
      <c r="K282" s="10">
        <f>+'A) Base RI'!I282</f>
        <v>336888.7</v>
      </c>
      <c r="L282" s="10">
        <f>+'A) Base RI'!J282</f>
        <v>14283.69</v>
      </c>
      <c r="M282" s="10">
        <f>+'A) Base RI'!K282</f>
        <v>57640.4</v>
      </c>
      <c r="N282" s="10">
        <f>+'A) Base RI'!Q282</f>
        <v>27224.98</v>
      </c>
      <c r="O282" s="10">
        <f t="shared" si="29"/>
        <v>1501546.625</v>
      </c>
      <c r="P282" s="10">
        <f>+'A) Base RI'!L282</f>
        <v>1801855.95</v>
      </c>
      <c r="Q282" s="35">
        <f>'A) Base RI'!AR282</f>
        <v>1.2</v>
      </c>
      <c r="R282" s="2">
        <f t="shared" si="30"/>
        <v>22310360.125</v>
      </c>
      <c r="S282" s="34">
        <f>+'A) Base RI'!AM282</f>
        <v>70</v>
      </c>
      <c r="T282" s="2">
        <f t="shared" si="31"/>
        <v>20751173.100000001</v>
      </c>
      <c r="U282" s="2">
        <f t="shared" si="32"/>
        <v>318719.43035714288</v>
      </c>
      <c r="V282" s="10">
        <f>+'A) Base RI'!O282</f>
        <v>237679.4</v>
      </c>
      <c r="W282" s="10">
        <f>+'A) Base RI'!P282</f>
        <v>1099647.05</v>
      </c>
      <c r="X282" s="10">
        <f>+'A) Base RI'!R282</f>
        <v>505743</v>
      </c>
      <c r="Y282" s="2">
        <f t="shared" si="33"/>
        <v>1843069.45</v>
      </c>
      <c r="Z282" s="10">
        <f>+'A) Base RI'!N282</f>
        <v>196987.95</v>
      </c>
      <c r="AA282" s="10">
        <f>+'A) Base RI'!S282+'A) Base RI'!T282</f>
        <v>0</v>
      </c>
      <c r="AB282" s="10">
        <f>+'A) Base RI'!U282</f>
        <v>34250</v>
      </c>
      <c r="AC282" s="10">
        <f>+'A) Base RI'!V282</f>
        <v>0</v>
      </c>
      <c r="AD282" s="10">
        <f>+'A) Base RI'!W282</f>
        <v>0</v>
      </c>
      <c r="AE282" s="10">
        <f>+'A) Base RI'!Y282</f>
        <v>278903.8</v>
      </c>
      <c r="AF282" s="10" t="str">
        <f>+'A) Base RI'!Z282</f>
        <v/>
      </c>
      <c r="AG282" s="10">
        <f>+'A) Base RI'!AA282</f>
        <v>722523.25</v>
      </c>
      <c r="AH282" s="10">
        <f>+'A) Base RI'!AB282</f>
        <v>942339.39</v>
      </c>
      <c r="AI282" s="10">
        <f>+'A) Base RI'!AC282</f>
        <v>383256.45</v>
      </c>
      <c r="AJ282" s="10">
        <f>+'A) Base RI'!AD282</f>
        <v>257416.3</v>
      </c>
      <c r="AK282" s="10" t="str">
        <f>+'A) Base RI'!AE282</f>
        <v/>
      </c>
      <c r="AL282" s="10" t="str">
        <f>+'A) Base RI'!AF282</f>
        <v/>
      </c>
      <c r="AM282" s="10">
        <f>+'A) Base RI'!AG282</f>
        <v>136325</v>
      </c>
      <c r="AN282" s="10">
        <f>+'A) Base RI'!AH282</f>
        <v>0</v>
      </c>
      <c r="AO282" s="10">
        <f>+'A) Base RI'!AI282</f>
        <v>0</v>
      </c>
      <c r="AP282" s="10">
        <f>+'A) Base RI'!AJ282</f>
        <v>0</v>
      </c>
      <c r="AQ282" s="10">
        <f>+'A) Base RI'!AK282</f>
        <v>0</v>
      </c>
      <c r="AR282" s="10">
        <f>'A) Base RI'!AN282</f>
        <v>5185</v>
      </c>
    </row>
    <row r="283" spans="1:44" x14ac:dyDescent="0.25">
      <c r="A283" s="8">
        <f>'A) Base RI'!A283</f>
        <v>5889</v>
      </c>
      <c r="B283" s="33" t="str">
        <f>'A) Base RI'!B283</f>
        <v>La Tour-de-Peilz</v>
      </c>
      <c r="C283" s="10">
        <f>'A) Base RI'!C283+'A) Base RI'!D283</f>
        <v>29642254.5</v>
      </c>
      <c r="D283" s="10">
        <f>'A) Base RI'!AO283</f>
        <v>-462818.63</v>
      </c>
      <c r="E283" s="32">
        <f>'A) Base RI'!AP283</f>
        <v>0</v>
      </c>
      <c r="F283" s="32">
        <f>'A) Base RI'!AQ283</f>
        <v>-19719.11</v>
      </c>
      <c r="G283" s="2">
        <f t="shared" si="28"/>
        <v>29159716.760000002</v>
      </c>
      <c r="H283" s="10">
        <f>+'A) Base RI'!E283</f>
        <v>0</v>
      </c>
      <c r="I283" s="10">
        <f>+'A) Base RI'!F283</f>
        <v>0</v>
      </c>
      <c r="J283" s="10">
        <f>+'A) Base RI'!G283+'A) Base RI'!H283</f>
        <v>7915265.3999999994</v>
      </c>
      <c r="K283" s="10">
        <f>+'A) Base RI'!I283</f>
        <v>791446.15</v>
      </c>
      <c r="L283" s="10">
        <f>+'A) Base RI'!J283</f>
        <v>952948.39</v>
      </c>
      <c r="M283" s="10">
        <f>+'A) Base RI'!K283</f>
        <v>139674.95000000001</v>
      </c>
      <c r="N283" s="10">
        <f>+'A) Base RI'!Q283</f>
        <v>59764.22</v>
      </c>
      <c r="O283" s="10">
        <f t="shared" si="29"/>
        <v>2298947.2500000005</v>
      </c>
      <c r="P283" s="10">
        <f>+'A) Base RI'!L283</f>
        <v>2758736.7</v>
      </c>
      <c r="Q283" s="35">
        <f>'A) Base RI'!AR283</f>
        <v>1.2</v>
      </c>
      <c r="R283" s="2">
        <f t="shared" si="30"/>
        <v>41317763.120000005</v>
      </c>
      <c r="S283" s="34">
        <f>+'A) Base RI'!AM283</f>
        <v>64</v>
      </c>
      <c r="T283" s="2">
        <f t="shared" si="31"/>
        <v>38879140.920000002</v>
      </c>
      <c r="U283" s="2">
        <f t="shared" si="32"/>
        <v>645590.04875000007</v>
      </c>
      <c r="V283" s="10">
        <f>+'A) Base RI'!O283</f>
        <v>3865016.2</v>
      </c>
      <c r="W283" s="10">
        <f>+'A) Base RI'!P283</f>
        <v>2168065.25</v>
      </c>
      <c r="X283" s="10">
        <f>+'A) Base RI'!R283</f>
        <v>2106081</v>
      </c>
      <c r="Y283" s="2">
        <f t="shared" si="33"/>
        <v>8139162.4500000002</v>
      </c>
      <c r="Z283" s="10">
        <f>+'A) Base RI'!N283</f>
        <v>131618.15</v>
      </c>
      <c r="AA283" s="10">
        <f>+'A) Base RI'!S283+'A) Base RI'!T283</f>
        <v>0</v>
      </c>
      <c r="AB283" s="10">
        <f>+'A) Base RI'!U283</f>
        <v>35250</v>
      </c>
      <c r="AC283" s="10">
        <f>+'A) Base RI'!V283</f>
        <v>0</v>
      </c>
      <c r="AD283" s="10">
        <f>+'A) Base RI'!W283</f>
        <v>297757.08</v>
      </c>
      <c r="AE283" s="10">
        <f>+'A) Base RI'!Y283</f>
        <v>10493</v>
      </c>
      <c r="AF283" s="10">
        <f>+'A) Base RI'!Z283</f>
        <v>0</v>
      </c>
      <c r="AG283" s="10">
        <f>+'A) Base RI'!AA283</f>
        <v>874736.79</v>
      </c>
      <c r="AH283" s="10">
        <f>+'A) Base RI'!AB283</f>
        <v>1900012.69</v>
      </c>
      <c r="AI283" s="10">
        <f>+'A) Base RI'!AC283</f>
        <v>1080910.19</v>
      </c>
      <c r="AJ283" s="10">
        <f>+'A) Base RI'!AD283</f>
        <v>10493</v>
      </c>
      <c r="AK283" s="10">
        <f>+'A) Base RI'!AE283</f>
        <v>0</v>
      </c>
      <c r="AL283" s="10">
        <f>+'A) Base RI'!AF283</f>
        <v>0</v>
      </c>
      <c r="AM283" s="10">
        <f>+'A) Base RI'!AG283</f>
        <v>0</v>
      </c>
      <c r="AN283" s="10">
        <f>+'A) Base RI'!AH283</f>
        <v>222066</v>
      </c>
      <c r="AO283" s="10">
        <f>+'A) Base RI'!AI283</f>
        <v>0</v>
      </c>
      <c r="AP283" s="10">
        <f>+'A) Base RI'!AJ283</f>
        <v>0</v>
      </c>
      <c r="AQ283" s="10">
        <f>+'A) Base RI'!AK283</f>
        <v>0</v>
      </c>
      <c r="AR283" s="10">
        <f>'A) Base RI'!AN283</f>
        <v>11871</v>
      </c>
    </row>
    <row r="284" spans="1:44" x14ac:dyDescent="0.25">
      <c r="A284" s="8">
        <f>'A) Base RI'!A284</f>
        <v>5890</v>
      </c>
      <c r="B284" s="33" t="str">
        <f>'A) Base RI'!B284</f>
        <v>Vevey</v>
      </c>
      <c r="C284" s="10">
        <f>'A) Base RI'!C284+'A) Base RI'!D284</f>
        <v>44180062.109999999</v>
      </c>
      <c r="D284" s="10">
        <f>'A) Base RI'!AO284</f>
        <v>-1082533.03</v>
      </c>
      <c r="E284" s="32">
        <f>'A) Base RI'!AP284</f>
        <v>0</v>
      </c>
      <c r="F284" s="32">
        <f>'A) Base RI'!AQ284</f>
        <v>-39020.400000000001</v>
      </c>
      <c r="G284" s="2">
        <f t="shared" si="28"/>
        <v>43058508.68</v>
      </c>
      <c r="H284" s="10">
        <f>+'A) Base RI'!E284</f>
        <v>0</v>
      </c>
      <c r="I284" s="10">
        <f>+'A) Base RI'!F284</f>
        <v>0</v>
      </c>
      <c r="J284" s="10">
        <f>+'A) Base RI'!G284+'A) Base RI'!H284</f>
        <v>19411242.699999999</v>
      </c>
      <c r="K284" s="10">
        <f>+'A) Base RI'!I284</f>
        <v>440123.1</v>
      </c>
      <c r="L284" s="10">
        <f>+'A) Base RI'!J284</f>
        <v>3161407.99</v>
      </c>
      <c r="M284" s="10">
        <f>+'A) Base RI'!K284</f>
        <v>510911.1</v>
      </c>
      <c r="N284" s="10">
        <f>+'A) Base RI'!Q284</f>
        <v>209552.93</v>
      </c>
      <c r="O284" s="10">
        <f t="shared" si="29"/>
        <v>3418230.8000000003</v>
      </c>
      <c r="P284" s="10">
        <f>+'A) Base RI'!L284</f>
        <v>5127346.2</v>
      </c>
      <c r="Q284" s="35">
        <f>'A) Base RI'!AR284</f>
        <v>1.5</v>
      </c>
      <c r="R284" s="2">
        <f t="shared" si="30"/>
        <v>70209977.299999997</v>
      </c>
      <c r="S284" s="34">
        <f>+'A) Base RI'!AM284</f>
        <v>76</v>
      </c>
      <c r="T284" s="2">
        <f t="shared" si="31"/>
        <v>66280835.399999999</v>
      </c>
      <c r="U284" s="2">
        <f t="shared" si="32"/>
        <v>923815.49078947364</v>
      </c>
      <c r="V284" s="10">
        <f>+'A) Base RI'!O284</f>
        <v>3910879.1</v>
      </c>
      <c r="W284" s="10">
        <f>+'A) Base RI'!P284</f>
        <v>1589173.55</v>
      </c>
      <c r="X284" s="10">
        <f>+'A) Base RI'!R284</f>
        <v>1617245.6</v>
      </c>
      <c r="Y284" s="2">
        <f t="shared" si="33"/>
        <v>7117298.25</v>
      </c>
      <c r="Z284" s="10">
        <f>+'A) Base RI'!N284</f>
        <v>845604.05</v>
      </c>
      <c r="AA284" s="10">
        <f>+'A) Base RI'!S284+'A) Base RI'!T284</f>
        <v>0</v>
      </c>
      <c r="AB284" s="10">
        <f>+'A) Base RI'!U284</f>
        <v>57300</v>
      </c>
      <c r="AC284" s="10">
        <f>+'A) Base RI'!V284</f>
        <v>0</v>
      </c>
      <c r="AD284" s="10">
        <f>+'A) Base RI'!W284</f>
        <v>0</v>
      </c>
      <c r="AE284" s="10">
        <f>+'A) Base RI'!Y284</f>
        <v>0</v>
      </c>
      <c r="AF284" s="10">
        <f>+'A) Base RI'!Z284</f>
        <v>0</v>
      </c>
      <c r="AG284" s="10">
        <f>+'A) Base RI'!AA284</f>
        <v>926124.15</v>
      </c>
      <c r="AH284" s="10">
        <f>+'A) Base RI'!AB284</f>
        <v>0</v>
      </c>
      <c r="AI284" s="10">
        <f>+'A) Base RI'!AC284</f>
        <v>1155887.75</v>
      </c>
      <c r="AJ284" s="10">
        <f>+'A) Base RI'!AD284</f>
        <v>0</v>
      </c>
      <c r="AK284" s="10">
        <f>+'A) Base RI'!AE284</f>
        <v>0</v>
      </c>
      <c r="AL284" s="10">
        <f>+'A) Base RI'!AF284</f>
        <v>0</v>
      </c>
      <c r="AM284" s="10">
        <f>+'A) Base RI'!AG284</f>
        <v>0</v>
      </c>
      <c r="AN284" s="10">
        <f>+'A) Base RI'!AH284</f>
        <v>658147.94999999995</v>
      </c>
      <c r="AO284" s="10">
        <f>+'A) Base RI'!AI284</f>
        <v>0</v>
      </c>
      <c r="AP284" s="10">
        <f>+'A) Base RI'!AJ284</f>
        <v>188556.55</v>
      </c>
      <c r="AQ284" s="10">
        <f>+'A) Base RI'!AK284</f>
        <v>0</v>
      </c>
      <c r="AR284" s="10">
        <f>'A) Base RI'!AN284</f>
        <v>19904</v>
      </c>
    </row>
    <row r="285" spans="1:44" x14ac:dyDescent="0.25">
      <c r="A285" s="8">
        <f>'A) Base RI'!A285</f>
        <v>5891</v>
      </c>
      <c r="B285" s="33" t="str">
        <f>'A) Base RI'!B285</f>
        <v>Veytaux</v>
      </c>
      <c r="C285" s="10">
        <f>'A) Base RI'!C285+'A) Base RI'!D285</f>
        <v>2158216.75</v>
      </c>
      <c r="D285" s="10">
        <f>'A) Base RI'!AO285</f>
        <v>-35511.449999999997</v>
      </c>
      <c r="E285" s="32">
        <f>'A) Base RI'!AP285</f>
        <v>0</v>
      </c>
      <c r="F285" s="32">
        <f>'A) Base RI'!AQ285</f>
        <v>-648.39</v>
      </c>
      <c r="G285" s="2">
        <f t="shared" si="28"/>
        <v>2122056.9099999997</v>
      </c>
      <c r="H285" s="10">
        <f>+'A) Base RI'!E285</f>
        <v>0</v>
      </c>
      <c r="I285" s="10">
        <f>+'A) Base RI'!F285</f>
        <v>0</v>
      </c>
      <c r="J285" s="10">
        <f>+'A) Base RI'!G285+'A) Base RI'!H285</f>
        <v>143962.95000000001</v>
      </c>
      <c r="K285" s="10">
        <f>+'A) Base RI'!I285</f>
        <v>57848.4</v>
      </c>
      <c r="L285" s="10">
        <f>+'A) Base RI'!J285</f>
        <v>59177.27</v>
      </c>
      <c r="M285" s="10">
        <f>+'A) Base RI'!K285</f>
        <v>196.20000000000101</v>
      </c>
      <c r="N285" s="10">
        <f>+'A) Base RI'!Q285</f>
        <v>-2162.46</v>
      </c>
      <c r="O285" s="10">
        <f t="shared" si="29"/>
        <v>279165</v>
      </c>
      <c r="P285" s="10">
        <f>+'A) Base RI'!L285</f>
        <v>418747.5</v>
      </c>
      <c r="Q285" s="35">
        <f>'A) Base RI'!AR285</f>
        <v>1.5</v>
      </c>
      <c r="R285" s="2">
        <f t="shared" si="30"/>
        <v>2660244.27</v>
      </c>
      <c r="S285" s="34">
        <f>+'A) Base RI'!AM285</f>
        <v>71</v>
      </c>
      <c r="T285" s="2">
        <f t="shared" si="31"/>
        <v>2380883.0699999998</v>
      </c>
      <c r="U285" s="2">
        <f t="shared" si="32"/>
        <v>37468.229154929577</v>
      </c>
      <c r="V285" s="10">
        <f>+'A) Base RI'!O285</f>
        <v>517592.4</v>
      </c>
      <c r="W285" s="10">
        <f>+'A) Base RI'!P285</f>
        <v>225963.55</v>
      </c>
      <c r="X285" s="10">
        <f>+'A) Base RI'!R285</f>
        <v>125038.45</v>
      </c>
      <c r="Y285" s="2">
        <f t="shared" si="33"/>
        <v>868594.39999999991</v>
      </c>
      <c r="Z285" s="10">
        <f>+'A) Base RI'!N285</f>
        <v>0</v>
      </c>
      <c r="AA285" s="10">
        <f>+'A) Base RI'!S285+'A) Base RI'!T285</f>
        <v>0</v>
      </c>
      <c r="AB285" s="10">
        <f>+'A) Base RI'!U285</f>
        <v>4250</v>
      </c>
      <c r="AC285" s="10">
        <f>+'A) Base RI'!V285</f>
        <v>368384.4</v>
      </c>
      <c r="AD285" s="10">
        <f>+'A) Base RI'!W285</f>
        <v>0</v>
      </c>
      <c r="AE285" s="10">
        <f>+'A) Base RI'!Y285</f>
        <v>0</v>
      </c>
      <c r="AF285" s="10">
        <f>+'A) Base RI'!Z285</f>
        <v>0</v>
      </c>
      <c r="AG285" s="10">
        <f>+'A) Base RI'!AA285</f>
        <v>50619.25</v>
      </c>
      <c r="AH285" s="10">
        <f>+'A) Base RI'!AB285</f>
        <v>0</v>
      </c>
      <c r="AI285" s="10">
        <f>+'A) Base RI'!AC285</f>
        <v>92036.74</v>
      </c>
      <c r="AJ285" s="10">
        <f>+'A) Base RI'!AD285</f>
        <v>0</v>
      </c>
      <c r="AK285" s="10">
        <f>+'A) Base RI'!AE285</f>
        <v>0</v>
      </c>
      <c r="AL285" s="10">
        <f>+'A) Base RI'!AF285</f>
        <v>0</v>
      </c>
      <c r="AM285" s="10">
        <f>+'A) Base RI'!AG285</f>
        <v>0</v>
      </c>
      <c r="AN285" s="10">
        <f>+'A) Base RI'!AH285</f>
        <v>28605.3</v>
      </c>
      <c r="AO285" s="10">
        <f>+'A) Base RI'!AI285</f>
        <v>0</v>
      </c>
      <c r="AP285" s="10">
        <f>+'A) Base RI'!AJ285</f>
        <v>0</v>
      </c>
      <c r="AQ285" s="10">
        <f>+'A) Base RI'!AK285</f>
        <v>8087.25</v>
      </c>
      <c r="AR285" s="10">
        <f>'A) Base RI'!AN285</f>
        <v>884</v>
      </c>
    </row>
    <row r="286" spans="1:44" x14ac:dyDescent="0.25">
      <c r="A286" s="8">
        <f>'A) Base RI'!A286</f>
        <v>5902</v>
      </c>
      <c r="B286" s="33" t="str">
        <f>'A) Base RI'!B286</f>
        <v>Belmont-sur-Yverdon</v>
      </c>
      <c r="C286" s="10">
        <f>'A) Base RI'!C286+'A) Base RI'!D286</f>
        <v>727770.96000000008</v>
      </c>
      <c r="D286" s="10">
        <f>'A) Base RI'!AO286</f>
        <v>-2697.85</v>
      </c>
      <c r="E286" s="32">
        <f>'A) Base RI'!AP286</f>
        <v>0</v>
      </c>
      <c r="F286" s="32">
        <f>'A) Base RI'!AQ286</f>
        <v>0</v>
      </c>
      <c r="G286" s="2">
        <f t="shared" si="28"/>
        <v>725073.1100000001</v>
      </c>
      <c r="H286" s="10">
        <f>+'A) Base RI'!E286</f>
        <v>0</v>
      </c>
      <c r="I286" s="10">
        <f>+'A) Base RI'!F286</f>
        <v>0</v>
      </c>
      <c r="J286" s="10">
        <f>+'A) Base RI'!G286+'A) Base RI'!H286</f>
        <v>2115.5499999999997</v>
      </c>
      <c r="K286" s="10">
        <f>+'A) Base RI'!I286</f>
        <v>0</v>
      </c>
      <c r="L286" s="10">
        <f>+'A) Base RI'!J286</f>
        <v>295.73</v>
      </c>
      <c r="M286" s="10">
        <f>+'A) Base RI'!K286</f>
        <v>0</v>
      </c>
      <c r="N286" s="10">
        <f>+'A) Base RI'!Q286</f>
        <v>1345.1</v>
      </c>
      <c r="O286" s="10">
        <f t="shared" si="29"/>
        <v>55676.9</v>
      </c>
      <c r="P286" s="10">
        <f>+'A) Base RI'!L286</f>
        <v>55676.9</v>
      </c>
      <c r="Q286" s="35">
        <f>'A) Base RI'!AR286</f>
        <v>1</v>
      </c>
      <c r="R286" s="2">
        <f t="shared" si="30"/>
        <v>784506.39000000013</v>
      </c>
      <c r="S286" s="34">
        <f>+'A) Base RI'!AM286</f>
        <v>76</v>
      </c>
      <c r="T286" s="2">
        <f t="shared" si="31"/>
        <v>728829.49000000011</v>
      </c>
      <c r="U286" s="2">
        <f t="shared" si="32"/>
        <v>10322.452500000001</v>
      </c>
      <c r="V286" s="10">
        <f>+'A) Base RI'!O286</f>
        <v>0</v>
      </c>
      <c r="W286" s="10">
        <f>+'A) Base RI'!P286</f>
        <v>1273.9000000000001</v>
      </c>
      <c r="X286" s="10">
        <f>+'A) Base RI'!R286</f>
        <v>0</v>
      </c>
      <c r="Y286" s="2">
        <f t="shared" si="33"/>
        <v>1273.9000000000001</v>
      </c>
      <c r="Z286" s="10">
        <f>+'A) Base RI'!N286</f>
        <v>0</v>
      </c>
      <c r="AA286" s="10">
        <f>+'A) Base RI'!S286+'A) Base RI'!T286</f>
        <v>500</v>
      </c>
      <c r="AB286" s="10">
        <f>+'A) Base RI'!U286</f>
        <v>4250</v>
      </c>
      <c r="AC286" s="10">
        <f>+'A) Base RI'!V286</f>
        <v>0</v>
      </c>
      <c r="AD286" s="10">
        <f>+'A) Base RI'!W286</f>
        <v>0</v>
      </c>
      <c r="AE286" s="10">
        <f>+'A) Base RI'!Y286</f>
        <v>0</v>
      </c>
      <c r="AF286" s="10">
        <f>+'A) Base RI'!Z286</f>
        <v>0</v>
      </c>
      <c r="AG286" s="10">
        <f>+'A) Base RI'!AA286</f>
        <v>67686.399999999994</v>
      </c>
      <c r="AH286" s="10">
        <f>+'A) Base RI'!AB286</f>
        <v>0</v>
      </c>
      <c r="AI286" s="10">
        <f>+'A) Base RI'!AC286</f>
        <v>25692.14</v>
      </c>
      <c r="AJ286" s="10">
        <f>+'A) Base RI'!AD286</f>
        <v>0</v>
      </c>
      <c r="AK286" s="10">
        <f>+'A) Base RI'!AE286</f>
        <v>0</v>
      </c>
      <c r="AL286" s="10">
        <f>+'A) Base RI'!AF286</f>
        <v>0</v>
      </c>
      <c r="AM286" s="10">
        <f>+'A) Base RI'!AG286</f>
        <v>0</v>
      </c>
      <c r="AN286" s="10">
        <f>+'A) Base RI'!AH286</f>
        <v>0</v>
      </c>
      <c r="AO286" s="10">
        <f>+'A) Base RI'!AI286</f>
        <v>0</v>
      </c>
      <c r="AP286" s="10">
        <f>+'A) Base RI'!AJ286</f>
        <v>0</v>
      </c>
      <c r="AQ286" s="10">
        <f>+'A) Base RI'!AK286</f>
        <v>0</v>
      </c>
      <c r="AR286" s="10">
        <f>'A) Base RI'!AN286</f>
        <v>384</v>
      </c>
    </row>
    <row r="287" spans="1:44" x14ac:dyDescent="0.25">
      <c r="A287" s="8">
        <f>'A) Base RI'!A287</f>
        <v>5903</v>
      </c>
      <c r="B287" s="33" t="str">
        <f>'A) Base RI'!B287</f>
        <v>Bioley-Magnoux</v>
      </c>
      <c r="C287" s="10">
        <f>'A) Base RI'!C287+'A) Base RI'!D287</f>
        <v>362505.46</v>
      </c>
      <c r="D287" s="10">
        <f>'A) Base RI'!AO287</f>
        <v>-4088.83</v>
      </c>
      <c r="E287" s="32">
        <f>'A) Base RI'!AP287</f>
        <v>0</v>
      </c>
      <c r="F287" s="32">
        <f>'A) Base RI'!AQ287</f>
        <v>0</v>
      </c>
      <c r="G287" s="2">
        <f t="shared" si="28"/>
        <v>358416.63</v>
      </c>
      <c r="H287" s="10">
        <f>+'A) Base RI'!E287</f>
        <v>0</v>
      </c>
      <c r="I287" s="10">
        <f>+'A) Base RI'!F287</f>
        <v>0</v>
      </c>
      <c r="J287" s="10">
        <f>+'A) Base RI'!G287+'A) Base RI'!H287</f>
        <v>8872</v>
      </c>
      <c r="K287" s="10">
        <f>+'A) Base RI'!I287</f>
        <v>0</v>
      </c>
      <c r="L287" s="10">
        <f>+'A) Base RI'!J287</f>
        <v>2546.4</v>
      </c>
      <c r="M287" s="10">
        <f>+'A) Base RI'!K287</f>
        <v>0</v>
      </c>
      <c r="N287" s="10">
        <f>+'A) Base RI'!Q287</f>
        <v>0</v>
      </c>
      <c r="O287" s="10">
        <f t="shared" si="29"/>
        <v>36641.071428571428</v>
      </c>
      <c r="P287" s="10">
        <f>+'A) Base RI'!L287</f>
        <v>25648.75</v>
      </c>
      <c r="Q287" s="35">
        <f>'A) Base RI'!AR287</f>
        <v>0.7</v>
      </c>
      <c r="R287" s="2">
        <f t="shared" si="30"/>
        <v>406476.10142857145</v>
      </c>
      <c r="S287" s="34">
        <f>+'A) Base RI'!AM287</f>
        <v>74</v>
      </c>
      <c r="T287" s="2">
        <f t="shared" si="31"/>
        <v>369835.03</v>
      </c>
      <c r="U287" s="2">
        <f t="shared" si="32"/>
        <v>5492.9202895752896</v>
      </c>
      <c r="V287" s="10">
        <f>+'A) Base RI'!O287</f>
        <v>269.89999999999998</v>
      </c>
      <c r="W287" s="10">
        <f>+'A) Base RI'!P287</f>
        <v>5115</v>
      </c>
      <c r="X287" s="10">
        <f>+'A) Base RI'!R287</f>
        <v>9172.6</v>
      </c>
      <c r="Y287" s="2">
        <f t="shared" si="33"/>
        <v>14557.5</v>
      </c>
      <c r="Z287" s="10">
        <f>+'A) Base RI'!N287</f>
        <v>28151.35</v>
      </c>
      <c r="AA287" s="10">
        <f>+'A) Base RI'!S287+'A) Base RI'!T287</f>
        <v>150</v>
      </c>
      <c r="AB287" s="10">
        <f>+'A) Base RI'!U287</f>
        <v>1200</v>
      </c>
      <c r="AC287" s="10">
        <f>+'A) Base RI'!V287</f>
        <v>0</v>
      </c>
      <c r="AD287" s="10">
        <f>+'A) Base RI'!W287</f>
        <v>0</v>
      </c>
      <c r="AE287" s="10">
        <f>+'A) Base RI'!Y287</f>
        <v>0</v>
      </c>
      <c r="AF287" s="10">
        <f>+'A) Base RI'!Z287</f>
        <v>0</v>
      </c>
      <c r="AG287" s="10">
        <f>+'A) Base RI'!AA287</f>
        <v>15939.5</v>
      </c>
      <c r="AH287" s="10">
        <f>+'A) Base RI'!AB287</f>
        <v>0</v>
      </c>
      <c r="AI287" s="10">
        <f>+'A) Base RI'!AC287</f>
        <v>8589.0499999999993</v>
      </c>
      <c r="AJ287" s="10">
        <f>+'A) Base RI'!AD287</f>
        <v>0</v>
      </c>
      <c r="AK287" s="10">
        <f>+'A) Base RI'!AE287</f>
        <v>0</v>
      </c>
      <c r="AL287" s="10">
        <f>+'A) Base RI'!AF287</f>
        <v>0</v>
      </c>
      <c r="AM287" s="10">
        <f>+'A) Base RI'!AG287</f>
        <v>0</v>
      </c>
      <c r="AN287" s="10">
        <f>+'A) Base RI'!AH287</f>
        <v>0</v>
      </c>
      <c r="AO287" s="10">
        <f>+'A) Base RI'!AI287</f>
        <v>0</v>
      </c>
      <c r="AP287" s="10">
        <f>+'A) Base RI'!AJ287</f>
        <v>0</v>
      </c>
      <c r="AQ287" s="10">
        <f>+'A) Base RI'!AK287</f>
        <v>0</v>
      </c>
      <c r="AR287" s="10">
        <f>'A) Base RI'!AN287</f>
        <v>225</v>
      </c>
    </row>
    <row r="288" spans="1:44" x14ac:dyDescent="0.25">
      <c r="A288" s="8">
        <f>'A) Base RI'!A288</f>
        <v>5904</v>
      </c>
      <c r="B288" s="33" t="str">
        <f>'A) Base RI'!B288</f>
        <v>Chamblon</v>
      </c>
      <c r="C288" s="10">
        <f>'A) Base RI'!C288+'A) Base RI'!D288</f>
        <v>1193700.79</v>
      </c>
      <c r="D288" s="10">
        <f>'A) Base RI'!AO288</f>
        <v>-21124.51</v>
      </c>
      <c r="E288" s="32">
        <f>'A) Base RI'!AP288</f>
        <v>0</v>
      </c>
      <c r="F288" s="32">
        <f>'A) Base RI'!AQ288</f>
        <v>-4.78</v>
      </c>
      <c r="G288" s="2">
        <f t="shared" si="28"/>
        <v>1172571.5</v>
      </c>
      <c r="H288" s="10">
        <f>+'A) Base RI'!E288</f>
        <v>0</v>
      </c>
      <c r="I288" s="10">
        <f>+'A) Base RI'!F288</f>
        <v>0</v>
      </c>
      <c r="J288" s="10">
        <f>+'A) Base RI'!G288+'A) Base RI'!H288</f>
        <v>11066.85</v>
      </c>
      <c r="K288" s="10">
        <f>+'A) Base RI'!I288</f>
        <v>0</v>
      </c>
      <c r="L288" s="10">
        <f>+'A) Base RI'!J288</f>
        <v>20344.86</v>
      </c>
      <c r="M288" s="10">
        <f>+'A) Base RI'!K288</f>
        <v>3183.15</v>
      </c>
      <c r="N288" s="10">
        <f>+'A) Base RI'!Q288</f>
        <v>21306.61</v>
      </c>
      <c r="O288" s="10">
        <f t="shared" si="29"/>
        <v>94251</v>
      </c>
      <c r="P288" s="10">
        <f>+'A) Base RI'!L288</f>
        <v>94251</v>
      </c>
      <c r="Q288" s="35">
        <f>'A) Base RI'!AR288</f>
        <v>1</v>
      </c>
      <c r="R288" s="2">
        <f t="shared" si="30"/>
        <v>1322723.9700000002</v>
      </c>
      <c r="S288" s="34">
        <f>+'A) Base RI'!AM288</f>
        <v>66</v>
      </c>
      <c r="T288" s="2">
        <f t="shared" si="31"/>
        <v>1225289.8200000003</v>
      </c>
      <c r="U288" s="2">
        <f t="shared" si="32"/>
        <v>20041.272272727278</v>
      </c>
      <c r="V288" s="10">
        <f>+'A) Base RI'!O288</f>
        <v>0</v>
      </c>
      <c r="W288" s="10">
        <f>+'A) Base RI'!P288</f>
        <v>26418.6</v>
      </c>
      <c r="X288" s="10">
        <f>+'A) Base RI'!R288</f>
        <v>23246.1</v>
      </c>
      <c r="Y288" s="2">
        <f t="shared" si="33"/>
        <v>49664.7</v>
      </c>
      <c r="Z288" s="10">
        <f>+'A) Base RI'!N288</f>
        <v>32246.1</v>
      </c>
      <c r="AA288" s="10">
        <f>+'A) Base RI'!S288+'A) Base RI'!T288</f>
        <v>222.25</v>
      </c>
      <c r="AB288" s="10">
        <f>+'A) Base RI'!U288</f>
        <v>3200</v>
      </c>
      <c r="AC288" s="10">
        <f>+'A) Base RI'!V288</f>
        <v>0</v>
      </c>
      <c r="AD288" s="10">
        <f>+'A) Base RI'!W288</f>
        <v>0</v>
      </c>
      <c r="AE288" s="10">
        <f>+'A) Base RI'!Y288</f>
        <v>10414</v>
      </c>
      <c r="AF288" s="10">
        <f>+'A) Base RI'!Z288</f>
        <v>0</v>
      </c>
      <c r="AG288" s="10">
        <f>+'A) Base RI'!AA288</f>
        <v>91851.85</v>
      </c>
      <c r="AH288" s="10">
        <f>+'A) Base RI'!AB288</f>
        <v>0</v>
      </c>
      <c r="AI288" s="10">
        <f>+'A) Base RI'!AC288</f>
        <v>35535.949999999997</v>
      </c>
      <c r="AJ288" s="10">
        <f>+'A) Base RI'!AD288</f>
        <v>15541</v>
      </c>
      <c r="AK288" s="10">
        <f>+'A) Base RI'!AE288</f>
        <v>0</v>
      </c>
      <c r="AL288" s="10">
        <f>+'A) Base RI'!AF288</f>
        <v>0</v>
      </c>
      <c r="AM288" s="10">
        <f>+'A) Base RI'!AG288</f>
        <v>0</v>
      </c>
      <c r="AN288" s="10">
        <f>+'A) Base RI'!AH288</f>
        <v>20911.599999999999</v>
      </c>
      <c r="AO288" s="10">
        <f>+'A) Base RI'!AI288</f>
        <v>0</v>
      </c>
      <c r="AP288" s="10">
        <f>+'A) Base RI'!AJ288</f>
        <v>0</v>
      </c>
      <c r="AQ288" s="10">
        <f>+'A) Base RI'!AK288</f>
        <v>0</v>
      </c>
      <c r="AR288" s="10">
        <f>'A) Base RI'!AN288</f>
        <v>542</v>
      </c>
    </row>
    <row r="289" spans="1:44" x14ac:dyDescent="0.25">
      <c r="A289" s="8">
        <f>'A) Base RI'!A289</f>
        <v>5905</v>
      </c>
      <c r="B289" s="33" t="str">
        <f>'A) Base RI'!B289</f>
        <v>Champvent</v>
      </c>
      <c r="C289" s="10">
        <f>'A) Base RI'!C289+'A) Base RI'!D289</f>
        <v>1429744.1700000002</v>
      </c>
      <c r="D289" s="10">
        <f>'A) Base RI'!AO289</f>
        <v>-25301.32</v>
      </c>
      <c r="E289" s="32">
        <f>'A) Base RI'!AP289</f>
        <v>0</v>
      </c>
      <c r="F289" s="32">
        <f>'A) Base RI'!AQ289</f>
        <v>0</v>
      </c>
      <c r="G289" s="2">
        <f t="shared" si="28"/>
        <v>1404442.85</v>
      </c>
      <c r="H289" s="10">
        <f>+'A) Base RI'!E289</f>
        <v>0</v>
      </c>
      <c r="I289" s="10">
        <f>+'A) Base RI'!F289</f>
        <v>0</v>
      </c>
      <c r="J289" s="10">
        <f>+'A) Base RI'!G289+'A) Base RI'!H289</f>
        <v>197088.25</v>
      </c>
      <c r="K289" s="10">
        <f>+'A) Base RI'!I289</f>
        <v>0</v>
      </c>
      <c r="L289" s="10">
        <f>+'A) Base RI'!J289</f>
        <v>10164.43</v>
      </c>
      <c r="M289" s="10">
        <f>+'A) Base RI'!K289</f>
        <v>2957.7</v>
      </c>
      <c r="N289" s="10">
        <f>+'A) Base RI'!Q289</f>
        <v>0</v>
      </c>
      <c r="O289" s="10">
        <f t="shared" si="29"/>
        <v>96615</v>
      </c>
      <c r="P289" s="10">
        <f>+'A) Base RI'!L289</f>
        <v>96615</v>
      </c>
      <c r="Q289" s="35">
        <f>'A) Base RI'!AR289</f>
        <v>1</v>
      </c>
      <c r="R289" s="2">
        <f t="shared" si="30"/>
        <v>1711268.23</v>
      </c>
      <c r="S289" s="34">
        <f>+'A) Base RI'!AM289</f>
        <v>71</v>
      </c>
      <c r="T289" s="2">
        <f t="shared" si="31"/>
        <v>1611695.53</v>
      </c>
      <c r="U289" s="2">
        <f t="shared" si="32"/>
        <v>24102.36943661972</v>
      </c>
      <c r="V289" s="10">
        <f>+'A) Base RI'!O289</f>
        <v>2639.8</v>
      </c>
      <c r="W289" s="10">
        <f>+'A) Base RI'!P289</f>
        <v>5876</v>
      </c>
      <c r="X289" s="10">
        <f>+'A) Base RI'!R289</f>
        <v>5468.75</v>
      </c>
      <c r="Y289" s="2">
        <f t="shared" si="33"/>
        <v>13984.55</v>
      </c>
      <c r="Z289" s="10">
        <f>+'A) Base RI'!N289</f>
        <v>111915.7</v>
      </c>
      <c r="AA289" s="10">
        <f>+'A) Base RI'!S289+'A) Base RI'!T289</f>
        <v>0</v>
      </c>
      <c r="AB289" s="10">
        <f>+'A) Base RI'!U289</f>
        <v>0</v>
      </c>
      <c r="AC289" s="10">
        <f>+'A) Base RI'!V289</f>
        <v>0</v>
      </c>
      <c r="AD289" s="10">
        <f>+'A) Base RI'!W289</f>
        <v>0</v>
      </c>
      <c r="AE289" s="10">
        <f>+'A) Base RI'!Y289</f>
        <v>0</v>
      </c>
      <c r="AF289" s="10">
        <f>+'A) Base RI'!Z289</f>
        <v>0</v>
      </c>
      <c r="AG289" s="10">
        <f>+'A) Base RI'!AA289</f>
        <v>115583.5</v>
      </c>
      <c r="AH289" s="10">
        <f>+'A) Base RI'!AB289</f>
        <v>0</v>
      </c>
      <c r="AI289" s="10">
        <f>+'A) Base RI'!AC289</f>
        <v>0</v>
      </c>
      <c r="AJ289" s="10">
        <f>+'A) Base RI'!AD289</f>
        <v>0</v>
      </c>
      <c r="AK289" s="10">
        <f>+'A) Base RI'!AE289</f>
        <v>0</v>
      </c>
      <c r="AL289" s="10">
        <f>+'A) Base RI'!AF289</f>
        <v>0</v>
      </c>
      <c r="AM289" s="10">
        <f>+'A) Base RI'!AG289</f>
        <v>0</v>
      </c>
      <c r="AN289" s="10">
        <f>+'A) Base RI'!AH289</f>
        <v>0</v>
      </c>
      <c r="AO289" s="10">
        <f>+'A) Base RI'!AI289</f>
        <v>0</v>
      </c>
      <c r="AP289" s="10">
        <f>+'A) Base RI'!AJ289</f>
        <v>0</v>
      </c>
      <c r="AQ289" s="10">
        <f>+'A) Base RI'!AK289</f>
        <v>0</v>
      </c>
      <c r="AR289" s="10">
        <f>'A) Base RI'!AN289</f>
        <v>685</v>
      </c>
    </row>
    <row r="290" spans="1:44" x14ac:dyDescent="0.25">
      <c r="A290" s="8">
        <f>'A) Base RI'!A290</f>
        <v>5907</v>
      </c>
      <c r="B290" s="33" t="str">
        <f>'A) Base RI'!B290</f>
        <v>Chavannes-le-Chêne</v>
      </c>
      <c r="C290" s="10">
        <f>'A) Base RI'!C290+'A) Base RI'!D290</f>
        <v>587042.80999999994</v>
      </c>
      <c r="D290" s="10">
        <f>'A) Base RI'!AO290</f>
        <v>-15172.28</v>
      </c>
      <c r="E290" s="32">
        <f>'A) Base RI'!AP290</f>
        <v>0</v>
      </c>
      <c r="F290" s="32">
        <f>'A) Base RI'!AQ290</f>
        <v>-358.31</v>
      </c>
      <c r="G290" s="2">
        <f t="shared" si="28"/>
        <v>571512.21999999986</v>
      </c>
      <c r="H290" s="10">
        <f>+'A) Base RI'!E290</f>
        <v>0</v>
      </c>
      <c r="I290" s="10">
        <f>+'A) Base RI'!F290</f>
        <v>1850</v>
      </c>
      <c r="J290" s="10">
        <f>+'A) Base RI'!G290+'A) Base RI'!H290</f>
        <v>2164.6999999999998</v>
      </c>
      <c r="K290" s="10">
        <f>+'A) Base RI'!I290</f>
        <v>0</v>
      </c>
      <c r="L290" s="10">
        <f>+'A) Base RI'!J290</f>
        <v>12081.91</v>
      </c>
      <c r="M290" s="10">
        <f>+'A) Base RI'!K290</f>
        <v>490</v>
      </c>
      <c r="N290" s="10">
        <f>+'A) Base RI'!Q290</f>
        <v>0</v>
      </c>
      <c r="O290" s="10">
        <f t="shared" si="29"/>
        <v>41444.699999999997</v>
      </c>
      <c r="P290" s="10">
        <f>+'A) Base RI'!L290</f>
        <v>41444.699999999997</v>
      </c>
      <c r="Q290" s="35">
        <f>'A) Base RI'!AR290</f>
        <v>1</v>
      </c>
      <c r="R290" s="2">
        <f t="shared" si="30"/>
        <v>629543.5299999998</v>
      </c>
      <c r="S290" s="34">
        <f>+'A) Base RI'!AM290</f>
        <v>78</v>
      </c>
      <c r="T290" s="2">
        <f t="shared" si="31"/>
        <v>585758.82999999984</v>
      </c>
      <c r="U290" s="2">
        <f t="shared" si="32"/>
        <v>8071.0708974358949</v>
      </c>
      <c r="V290" s="10">
        <f>+'A) Base RI'!O290</f>
        <v>0</v>
      </c>
      <c r="W290" s="10">
        <f>+'A) Base RI'!P290</f>
        <v>2282.5</v>
      </c>
      <c r="X290" s="10">
        <f>+'A) Base RI'!R290</f>
        <v>8478.15</v>
      </c>
      <c r="Y290" s="2">
        <f t="shared" si="33"/>
        <v>10760.65</v>
      </c>
      <c r="Z290" s="10">
        <f>+'A) Base RI'!N290</f>
        <v>9747.75</v>
      </c>
      <c r="AA290" s="10">
        <f>+'A) Base RI'!S290+'A) Base RI'!T290</f>
        <v>1325.7</v>
      </c>
      <c r="AB290" s="10">
        <f>+'A) Base RI'!U290</f>
        <v>2040</v>
      </c>
      <c r="AC290" s="10">
        <f>+'A) Base RI'!V290</f>
        <v>0</v>
      </c>
      <c r="AD290" s="10">
        <f>+'A) Base RI'!W290</f>
        <v>0</v>
      </c>
      <c r="AE290" s="10">
        <f>+'A) Base RI'!Y290</f>
        <v>18500</v>
      </c>
      <c r="AF290" s="10">
        <f>+'A) Base RI'!Z290</f>
        <v>0</v>
      </c>
      <c r="AG290" s="10">
        <f>+'A) Base RI'!AA290</f>
        <v>7165.05</v>
      </c>
      <c r="AH290" s="10">
        <f>+'A) Base RI'!AB290</f>
        <v>0</v>
      </c>
      <c r="AI290" s="10">
        <f>+'A) Base RI'!AC290</f>
        <v>10991.7</v>
      </c>
      <c r="AJ290" s="10">
        <f>+'A) Base RI'!AD290</f>
        <v>7265.05</v>
      </c>
      <c r="AK290" s="10">
        <f>+'A) Base RI'!AE290</f>
        <v>9000</v>
      </c>
      <c r="AL290" s="10">
        <f>+'A) Base RI'!AF290</f>
        <v>0</v>
      </c>
      <c r="AM290" s="10">
        <f>+'A) Base RI'!AG290</f>
        <v>0</v>
      </c>
      <c r="AN290" s="10">
        <f>+'A) Base RI'!AH290</f>
        <v>0</v>
      </c>
      <c r="AO290" s="10">
        <f>+'A) Base RI'!AI290</f>
        <v>0</v>
      </c>
      <c r="AP290" s="10">
        <f>+'A) Base RI'!AJ290</f>
        <v>0</v>
      </c>
      <c r="AQ290" s="10">
        <f>+'A) Base RI'!AK290</f>
        <v>0</v>
      </c>
      <c r="AR290" s="10">
        <f>'A) Base RI'!AN290</f>
        <v>308</v>
      </c>
    </row>
    <row r="291" spans="1:44" x14ac:dyDescent="0.25">
      <c r="A291" s="8">
        <f>'A) Base RI'!A291</f>
        <v>5908</v>
      </c>
      <c r="B291" s="33" t="str">
        <f>'A) Base RI'!B291</f>
        <v>Chêne-Pâquier</v>
      </c>
      <c r="C291" s="10">
        <f>'A) Base RI'!C291+'A) Base RI'!D291</f>
        <v>240951.63999999998</v>
      </c>
      <c r="D291" s="10">
        <f>'A) Base RI'!AO291</f>
        <v>-13121.61</v>
      </c>
      <c r="E291" s="32">
        <f>'A) Base RI'!AP291</f>
        <v>0</v>
      </c>
      <c r="F291" s="32">
        <f>'A) Base RI'!AQ291</f>
        <v>0</v>
      </c>
      <c r="G291" s="2">
        <f t="shared" si="28"/>
        <v>227830.02999999997</v>
      </c>
      <c r="H291" s="10">
        <f>+'A) Base RI'!E291</f>
        <v>0</v>
      </c>
      <c r="I291" s="10">
        <f>+'A) Base RI'!F291</f>
        <v>0</v>
      </c>
      <c r="J291" s="10">
        <f>+'A) Base RI'!G291+'A) Base RI'!H291</f>
        <v>-2503.0500000000002</v>
      </c>
      <c r="K291" s="10">
        <f>+'A) Base RI'!I291</f>
        <v>0</v>
      </c>
      <c r="L291" s="10">
        <f>+'A) Base RI'!J291</f>
        <v>5196.34</v>
      </c>
      <c r="M291" s="10">
        <f>+'A) Base RI'!K291</f>
        <v>49.5</v>
      </c>
      <c r="N291" s="10">
        <f>+'A) Base RI'!Q291</f>
        <v>0</v>
      </c>
      <c r="O291" s="10">
        <f t="shared" si="29"/>
        <v>16348</v>
      </c>
      <c r="P291" s="10">
        <f>+'A) Base RI'!L291</f>
        <v>16348</v>
      </c>
      <c r="Q291" s="35">
        <f>'A) Base RI'!AR291</f>
        <v>1</v>
      </c>
      <c r="R291" s="2">
        <f t="shared" si="30"/>
        <v>246920.81999999998</v>
      </c>
      <c r="S291" s="34">
        <f>+'A) Base RI'!AM291</f>
        <v>79</v>
      </c>
      <c r="T291" s="2">
        <f t="shared" si="31"/>
        <v>230523.31999999998</v>
      </c>
      <c r="U291" s="2">
        <f t="shared" si="32"/>
        <v>3125.58</v>
      </c>
      <c r="V291" s="10">
        <f>+'A) Base RI'!O291</f>
        <v>64020</v>
      </c>
      <c r="W291" s="10">
        <f>+'A) Base RI'!P291</f>
        <v>5349.35</v>
      </c>
      <c r="X291" s="10">
        <f>+'A) Base RI'!R291</f>
        <v>10450.549999999999</v>
      </c>
      <c r="Y291" s="2">
        <f t="shared" si="33"/>
        <v>79819.900000000009</v>
      </c>
      <c r="Z291" s="10">
        <f>+'A) Base RI'!N291</f>
        <v>297.45</v>
      </c>
      <c r="AA291" s="10">
        <f>+'A) Base RI'!S291+'A) Base RI'!T291</f>
        <v>0</v>
      </c>
      <c r="AB291" s="10">
        <f>+'A) Base RI'!U291</f>
        <v>1221</v>
      </c>
      <c r="AC291" s="10">
        <f>+'A) Base RI'!V291</f>
        <v>0</v>
      </c>
      <c r="AD291" s="10">
        <f>+'A) Base RI'!W291</f>
        <v>0</v>
      </c>
      <c r="AE291" s="10">
        <f>+'A) Base RI'!Y291</f>
        <v>29750</v>
      </c>
      <c r="AF291" s="10">
        <f>+'A) Base RI'!Z291</f>
        <v>0</v>
      </c>
      <c r="AG291" s="10">
        <f>+'A) Base RI'!AA291</f>
        <v>37800</v>
      </c>
      <c r="AH291" s="10">
        <f>+'A) Base RI'!AB291</f>
        <v>0</v>
      </c>
      <c r="AI291" s="10">
        <f>+'A) Base RI'!AC291</f>
        <v>5620</v>
      </c>
      <c r="AJ291" s="10">
        <f>+'A) Base RI'!AD291</f>
        <v>3000</v>
      </c>
      <c r="AK291" s="10">
        <f>+'A) Base RI'!AE291</f>
        <v>0</v>
      </c>
      <c r="AL291" s="10">
        <f>+'A) Base RI'!AF291</f>
        <v>0</v>
      </c>
      <c r="AM291" s="10">
        <f>+'A) Base RI'!AG291</f>
        <v>0</v>
      </c>
      <c r="AN291" s="10">
        <f>+'A) Base RI'!AH291</f>
        <v>0</v>
      </c>
      <c r="AO291" s="10">
        <f>+'A) Base RI'!AI291</f>
        <v>0</v>
      </c>
      <c r="AP291" s="10">
        <f>+'A) Base RI'!AJ291</f>
        <v>0</v>
      </c>
      <c r="AQ291" s="10">
        <f>+'A) Base RI'!AK291</f>
        <v>0</v>
      </c>
      <c r="AR291" s="10">
        <f>'A) Base RI'!AN291</f>
        <v>141</v>
      </c>
    </row>
    <row r="292" spans="1:44" x14ac:dyDescent="0.25">
      <c r="A292" s="8">
        <f>'A) Base RI'!A292</f>
        <v>5909</v>
      </c>
      <c r="B292" s="33" t="str">
        <f>'A) Base RI'!B292</f>
        <v>Cheseaux-Noréaz</v>
      </c>
      <c r="C292" s="10">
        <f>'A) Base RI'!C292+'A) Base RI'!D292</f>
        <v>2097778.21</v>
      </c>
      <c r="D292" s="10">
        <f>'A) Base RI'!AO292</f>
        <v>-1835.08</v>
      </c>
      <c r="E292" s="32">
        <f>'A) Base RI'!AP292</f>
        <v>-37825.730000000003</v>
      </c>
      <c r="F292" s="32">
        <f>'A) Base RI'!AQ292</f>
        <v>-86.48</v>
      </c>
      <c r="G292" s="2">
        <f t="shared" si="28"/>
        <v>2058030.92</v>
      </c>
      <c r="H292" s="10">
        <f>+'A) Base RI'!E292</f>
        <v>0</v>
      </c>
      <c r="I292" s="10">
        <f>+'A) Base RI'!F292</f>
        <v>0</v>
      </c>
      <c r="J292" s="10">
        <f>+'A) Base RI'!G292+'A) Base RI'!H292</f>
        <v>63609.7</v>
      </c>
      <c r="K292" s="10">
        <f>+'A) Base RI'!I292</f>
        <v>0</v>
      </c>
      <c r="L292" s="10">
        <f>+'A) Base RI'!J292</f>
        <v>8407.77</v>
      </c>
      <c r="M292" s="10">
        <f>+'A) Base RI'!K292</f>
        <v>2699.95</v>
      </c>
      <c r="N292" s="10">
        <f>+'A) Base RI'!Q292</f>
        <v>0</v>
      </c>
      <c r="O292" s="10">
        <f t="shared" si="29"/>
        <v>160685</v>
      </c>
      <c r="P292" s="10">
        <f>+'A) Base RI'!L292</f>
        <v>160685</v>
      </c>
      <c r="Q292" s="35">
        <f>'A) Base RI'!AR292</f>
        <v>1</v>
      </c>
      <c r="R292" s="2">
        <f t="shared" si="30"/>
        <v>2293433.3400000003</v>
      </c>
      <c r="S292" s="34">
        <f>+'A) Base RI'!AM292</f>
        <v>70</v>
      </c>
      <c r="T292" s="2">
        <f t="shared" si="31"/>
        <v>2130048.39</v>
      </c>
      <c r="U292" s="2">
        <f t="shared" si="32"/>
        <v>32763.333428571434</v>
      </c>
      <c r="V292" s="10">
        <f>+'A) Base RI'!O292</f>
        <v>14272.2</v>
      </c>
      <c r="W292" s="10">
        <f>+'A) Base RI'!P292</f>
        <v>77892.800000000003</v>
      </c>
      <c r="X292" s="10">
        <f>+'A) Base RI'!R292</f>
        <v>81354.05</v>
      </c>
      <c r="Y292" s="2">
        <f t="shared" si="33"/>
        <v>173519.05</v>
      </c>
      <c r="Z292" s="10">
        <f>+'A) Base RI'!N292</f>
        <v>8427.9</v>
      </c>
      <c r="AA292" s="10">
        <f>+'A) Base RI'!S292+'A) Base RI'!T292</f>
        <v>0</v>
      </c>
      <c r="AB292" s="10">
        <f>+'A) Base RI'!U292</f>
        <v>880</v>
      </c>
      <c r="AC292" s="10">
        <f>+'A) Base RI'!V292</f>
        <v>2000</v>
      </c>
      <c r="AD292" s="10">
        <f>+'A) Base RI'!W292</f>
        <v>0</v>
      </c>
      <c r="AE292" s="10">
        <f>+'A) Base RI'!Y292</f>
        <v>79039</v>
      </c>
      <c r="AF292" s="10" t="str">
        <f>+'A) Base RI'!Z292</f>
        <v/>
      </c>
      <c r="AG292" s="10">
        <f>+'A) Base RI'!AA292</f>
        <v>62159.49</v>
      </c>
      <c r="AH292" s="10" t="str">
        <f>+'A) Base RI'!AB292</f>
        <v/>
      </c>
      <c r="AI292" s="10">
        <f>+'A) Base RI'!AC292</f>
        <v>42405.55</v>
      </c>
      <c r="AJ292" s="10">
        <f>+'A) Base RI'!AD292</f>
        <v>77399.63</v>
      </c>
      <c r="AK292" s="10" t="str">
        <f>+'A) Base RI'!AE292</f>
        <v/>
      </c>
      <c r="AL292" s="10" t="str">
        <f>+'A) Base RI'!AF292</f>
        <v/>
      </c>
      <c r="AM292" s="10">
        <f>+'A) Base RI'!AG292</f>
        <v>67242.240000000005</v>
      </c>
      <c r="AN292" s="10">
        <f>+'A) Base RI'!AH292</f>
        <v>0</v>
      </c>
      <c r="AO292" s="10">
        <f>+'A) Base RI'!AI292</f>
        <v>0</v>
      </c>
      <c r="AP292" s="10">
        <f>+'A) Base RI'!AJ292</f>
        <v>0</v>
      </c>
      <c r="AQ292" s="10">
        <f>+'A) Base RI'!AK292</f>
        <v>0</v>
      </c>
      <c r="AR292" s="10">
        <f>'A) Base RI'!AN292</f>
        <v>721</v>
      </c>
    </row>
    <row r="293" spans="1:44" x14ac:dyDescent="0.25">
      <c r="A293" s="8">
        <f>'A) Base RI'!A293</f>
        <v>5910</v>
      </c>
      <c r="B293" s="33" t="str">
        <f>'A) Base RI'!B293</f>
        <v>Cronay</v>
      </c>
      <c r="C293" s="10">
        <f>'A) Base RI'!C293+'A) Base RI'!D293</f>
        <v>718453.8600000001</v>
      </c>
      <c r="D293" s="10">
        <f>'A) Base RI'!AO293</f>
        <v>-18838.95</v>
      </c>
      <c r="E293" s="32">
        <f>'A) Base RI'!AP293</f>
        <v>0</v>
      </c>
      <c r="F293" s="32">
        <f>'A) Base RI'!AQ293</f>
        <v>-5.76</v>
      </c>
      <c r="G293" s="2">
        <f t="shared" si="28"/>
        <v>699609.15000000014</v>
      </c>
      <c r="H293" s="10">
        <f>+'A) Base RI'!E293</f>
        <v>0</v>
      </c>
      <c r="I293" s="10">
        <f>+'A) Base RI'!F293</f>
        <v>2230</v>
      </c>
      <c r="J293" s="10">
        <f>+'A) Base RI'!G293+'A) Base RI'!H293</f>
        <v>7652.5</v>
      </c>
      <c r="K293" s="10">
        <f>+'A) Base RI'!I293</f>
        <v>0</v>
      </c>
      <c r="L293" s="10">
        <f>+'A) Base RI'!J293</f>
        <v>3558.14</v>
      </c>
      <c r="M293" s="10">
        <f>+'A) Base RI'!K293</f>
        <v>0</v>
      </c>
      <c r="N293" s="10">
        <f>+'A) Base RI'!Q293</f>
        <v>0</v>
      </c>
      <c r="O293" s="10">
        <f t="shared" si="29"/>
        <v>49553.4</v>
      </c>
      <c r="P293" s="10">
        <f>+'A) Base RI'!L293</f>
        <v>49553.4</v>
      </c>
      <c r="Q293" s="35">
        <f>'A) Base RI'!AR293</f>
        <v>1</v>
      </c>
      <c r="R293" s="2">
        <f t="shared" si="30"/>
        <v>762603.19000000018</v>
      </c>
      <c r="S293" s="34">
        <f>+'A) Base RI'!AM293</f>
        <v>79</v>
      </c>
      <c r="T293" s="2">
        <f t="shared" si="31"/>
        <v>710819.79000000015</v>
      </c>
      <c r="U293" s="2">
        <f t="shared" si="32"/>
        <v>9653.2049367088639</v>
      </c>
      <c r="V293" s="10">
        <f>+'A) Base RI'!O293</f>
        <v>678.7</v>
      </c>
      <c r="W293" s="10">
        <f>+'A) Base RI'!P293</f>
        <v>18729.349999999999</v>
      </c>
      <c r="X293" s="10">
        <f>+'A) Base RI'!R293</f>
        <v>8458.35</v>
      </c>
      <c r="Y293" s="2">
        <f t="shared" si="33"/>
        <v>27866.400000000001</v>
      </c>
      <c r="Z293" s="10">
        <f>+'A) Base RI'!N293</f>
        <v>0</v>
      </c>
      <c r="AA293" s="10">
        <f>+'A) Base RI'!S293+'A) Base RI'!T293</f>
        <v>440</v>
      </c>
      <c r="AB293" s="10">
        <f>+'A) Base RI'!U293</f>
        <v>3837.2</v>
      </c>
      <c r="AC293" s="10">
        <f>+'A) Base RI'!V293</f>
        <v>0</v>
      </c>
      <c r="AD293" s="10">
        <f>+'A) Base RI'!W293</f>
        <v>0</v>
      </c>
      <c r="AE293" s="10">
        <f>+'A) Base RI'!Y293</f>
        <v>26117.5</v>
      </c>
      <c r="AF293" s="10">
        <f>+'A) Base RI'!Z293</f>
        <v>0</v>
      </c>
      <c r="AG293" s="10">
        <f>+'A) Base RI'!AA293</f>
        <v>23963</v>
      </c>
      <c r="AH293" s="10">
        <f>+'A) Base RI'!AB293</f>
        <v>0</v>
      </c>
      <c r="AI293" s="10">
        <f>+'A) Base RI'!AC293</f>
        <v>21961.25</v>
      </c>
      <c r="AJ293" s="10">
        <f>+'A) Base RI'!AD293</f>
        <v>0</v>
      </c>
      <c r="AK293" s="10">
        <f>+'A) Base RI'!AE293</f>
        <v>0</v>
      </c>
      <c r="AL293" s="10">
        <f>+'A) Base RI'!AF293</f>
        <v>0</v>
      </c>
      <c r="AM293" s="10">
        <f>+'A) Base RI'!AG293</f>
        <v>0</v>
      </c>
      <c r="AN293" s="10">
        <f>+'A) Base RI'!AH293</f>
        <v>0</v>
      </c>
      <c r="AO293" s="10">
        <f>+'A) Base RI'!AI293</f>
        <v>0</v>
      </c>
      <c r="AP293" s="10">
        <f>+'A) Base RI'!AJ293</f>
        <v>0</v>
      </c>
      <c r="AQ293" s="10">
        <f>+'A) Base RI'!AK293</f>
        <v>0</v>
      </c>
      <c r="AR293" s="10">
        <f>'A) Base RI'!AN293</f>
        <v>385</v>
      </c>
    </row>
    <row r="294" spans="1:44" x14ac:dyDescent="0.25">
      <c r="A294" s="8">
        <f>'A) Base RI'!A294</f>
        <v>5911</v>
      </c>
      <c r="B294" s="33" t="str">
        <f>'A) Base RI'!B294</f>
        <v>Cuarny</v>
      </c>
      <c r="C294" s="10">
        <f>'A) Base RI'!C294+'A) Base RI'!D294</f>
        <v>496475.5</v>
      </c>
      <c r="D294" s="10">
        <f>'A) Base RI'!AO294</f>
        <v>-1133.1400000000001</v>
      </c>
      <c r="E294" s="32">
        <f>'A) Base RI'!AP294</f>
        <v>0</v>
      </c>
      <c r="F294" s="32">
        <f>'A) Base RI'!AQ294</f>
        <v>-111.78</v>
      </c>
      <c r="G294" s="2">
        <f t="shared" si="28"/>
        <v>495230.57999999996</v>
      </c>
      <c r="H294" s="10">
        <f>+'A) Base RI'!E294</f>
        <v>0</v>
      </c>
      <c r="I294" s="10">
        <f>+'A) Base RI'!F294</f>
        <v>1521</v>
      </c>
      <c r="J294" s="10">
        <f>+'A) Base RI'!G294+'A) Base RI'!H294</f>
        <v>11928.949999999999</v>
      </c>
      <c r="K294" s="10">
        <f>+'A) Base RI'!I294</f>
        <v>0</v>
      </c>
      <c r="L294" s="10">
        <f>+'A) Base RI'!J294</f>
        <v>5595.91</v>
      </c>
      <c r="M294" s="10">
        <f>+'A) Base RI'!K294</f>
        <v>827</v>
      </c>
      <c r="N294" s="10">
        <f>+'A) Base RI'!Q294</f>
        <v>0</v>
      </c>
      <c r="O294" s="10">
        <f t="shared" si="29"/>
        <v>29745.7</v>
      </c>
      <c r="P294" s="10">
        <f>+'A) Base RI'!L294</f>
        <v>29745.7</v>
      </c>
      <c r="Q294" s="35">
        <f>'A) Base RI'!AR294</f>
        <v>1</v>
      </c>
      <c r="R294" s="2">
        <f t="shared" si="30"/>
        <v>544849.1399999999</v>
      </c>
      <c r="S294" s="34">
        <f>+'A) Base RI'!AM294</f>
        <v>79</v>
      </c>
      <c r="T294" s="2">
        <f t="shared" si="31"/>
        <v>512755.43999999994</v>
      </c>
      <c r="U294" s="2">
        <f t="shared" si="32"/>
        <v>6896.824556962024</v>
      </c>
      <c r="V294" s="10">
        <f>+'A) Base RI'!O294</f>
        <v>617.70000000000005</v>
      </c>
      <c r="W294" s="10">
        <f>+'A) Base RI'!P294</f>
        <v>30416.25</v>
      </c>
      <c r="X294" s="10">
        <f>+'A) Base RI'!R294</f>
        <v>24878</v>
      </c>
      <c r="Y294" s="2">
        <f t="shared" si="33"/>
        <v>55911.95</v>
      </c>
      <c r="Z294" s="10">
        <f>+'A) Base RI'!N294</f>
        <v>2766.6</v>
      </c>
      <c r="AA294" s="10">
        <f>+'A) Base RI'!S294+'A) Base RI'!T294</f>
        <v>0</v>
      </c>
      <c r="AB294" s="10">
        <f>+'A) Base RI'!U294</f>
        <v>950</v>
      </c>
      <c r="AC294" s="10">
        <f>+'A) Base RI'!V294</f>
        <v>0</v>
      </c>
      <c r="AD294" s="10">
        <f>+'A) Base RI'!W294</f>
        <v>0</v>
      </c>
      <c r="AE294" s="10">
        <f>+'A) Base RI'!Y294</f>
        <v>5586</v>
      </c>
      <c r="AF294" s="10">
        <f>+'A) Base RI'!Z294</f>
        <v>0</v>
      </c>
      <c r="AG294" s="10">
        <f>+'A) Base RI'!AA294</f>
        <v>34240.800000000003</v>
      </c>
      <c r="AH294" s="10">
        <f>+'A) Base RI'!AB294</f>
        <v>0</v>
      </c>
      <c r="AI294" s="10">
        <f>+'A) Base RI'!AC294</f>
        <v>14710.4</v>
      </c>
      <c r="AJ294" s="10">
        <f>+'A) Base RI'!AD294</f>
        <v>19700</v>
      </c>
      <c r="AK294" s="10">
        <f>+'A) Base RI'!AE294</f>
        <v>3000</v>
      </c>
      <c r="AL294" s="10">
        <f>+'A) Base RI'!AF294</f>
        <v>0</v>
      </c>
      <c r="AM294" s="10">
        <f>+'A) Base RI'!AG294</f>
        <v>0</v>
      </c>
      <c r="AN294" s="10">
        <f>+'A) Base RI'!AH294</f>
        <v>0</v>
      </c>
      <c r="AO294" s="10">
        <f>+'A) Base RI'!AI294</f>
        <v>0</v>
      </c>
      <c r="AP294" s="10">
        <f>+'A) Base RI'!AJ294</f>
        <v>0</v>
      </c>
      <c r="AQ294" s="10">
        <f>+'A) Base RI'!AK294</f>
        <v>0</v>
      </c>
      <c r="AR294" s="10">
        <f>'A) Base RI'!AN294</f>
        <v>243</v>
      </c>
    </row>
    <row r="295" spans="1:44" x14ac:dyDescent="0.25">
      <c r="A295" s="8">
        <f>'A) Base RI'!A295</f>
        <v>5912</v>
      </c>
      <c r="B295" s="33" t="str">
        <f>'A) Base RI'!B295</f>
        <v>Démoret</v>
      </c>
      <c r="C295" s="10">
        <f>'A) Base RI'!C295+'A) Base RI'!D295</f>
        <v>236704.23</v>
      </c>
      <c r="D295" s="10">
        <f>'A) Base RI'!AO295</f>
        <v>-3192.89</v>
      </c>
      <c r="E295" s="32">
        <f>'A) Base RI'!AP295</f>
        <v>0</v>
      </c>
      <c r="F295" s="32">
        <f>'A) Base RI'!AQ295</f>
        <v>0</v>
      </c>
      <c r="G295" s="2">
        <f t="shared" si="28"/>
        <v>233511.34</v>
      </c>
      <c r="H295" s="10">
        <f>+'A) Base RI'!E295</f>
        <v>0</v>
      </c>
      <c r="I295" s="10">
        <f>+'A) Base RI'!F295</f>
        <v>840</v>
      </c>
      <c r="J295" s="10">
        <f>+'A) Base RI'!G295+'A) Base RI'!H295</f>
        <v>622</v>
      </c>
      <c r="K295" s="10">
        <f>+'A) Base RI'!I295</f>
        <v>0</v>
      </c>
      <c r="L295" s="10">
        <f>+'A) Base RI'!J295</f>
        <v>-67.06</v>
      </c>
      <c r="M295" s="10">
        <f>+'A) Base RI'!K295</f>
        <v>0</v>
      </c>
      <c r="N295" s="10">
        <f>+'A) Base RI'!Q295</f>
        <v>0</v>
      </c>
      <c r="O295" s="10">
        <f t="shared" si="29"/>
        <v>19143.099999999999</v>
      </c>
      <c r="P295" s="10">
        <f>+'A) Base RI'!L295</f>
        <v>19143.099999999999</v>
      </c>
      <c r="Q295" s="35">
        <f>'A) Base RI'!AR295</f>
        <v>1</v>
      </c>
      <c r="R295" s="2">
        <f t="shared" si="30"/>
        <v>254049.38</v>
      </c>
      <c r="S295" s="34">
        <f>+'A) Base RI'!AM295</f>
        <v>81</v>
      </c>
      <c r="T295" s="2">
        <f t="shared" si="31"/>
        <v>234066.28</v>
      </c>
      <c r="U295" s="2">
        <f t="shared" si="32"/>
        <v>3136.4120987654323</v>
      </c>
      <c r="V295" s="10">
        <f>+'A) Base RI'!O295</f>
        <v>0</v>
      </c>
      <c r="W295" s="10">
        <f>+'A) Base RI'!P295</f>
        <v>0</v>
      </c>
      <c r="X295" s="10">
        <f>+'A) Base RI'!R295</f>
        <v>0</v>
      </c>
      <c r="Y295" s="2">
        <f t="shared" si="33"/>
        <v>0</v>
      </c>
      <c r="Z295" s="10">
        <f>+'A) Base RI'!N295</f>
        <v>0</v>
      </c>
      <c r="AA295" s="10">
        <f>+'A) Base RI'!S295+'A) Base RI'!T295</f>
        <v>0</v>
      </c>
      <c r="AB295" s="10">
        <f>+'A) Base RI'!U295</f>
        <v>1300</v>
      </c>
      <c r="AC295" s="10">
        <f>+'A) Base RI'!V295</f>
        <v>0</v>
      </c>
      <c r="AD295" s="10">
        <f>+'A) Base RI'!W295</f>
        <v>0</v>
      </c>
      <c r="AE295" s="10">
        <f>+'A) Base RI'!Y295</f>
        <v>0</v>
      </c>
      <c r="AF295" s="10">
        <f>+'A) Base RI'!Z295</f>
        <v>0</v>
      </c>
      <c r="AG295" s="10">
        <f>+'A) Base RI'!AA295</f>
        <v>18456.5</v>
      </c>
      <c r="AH295" s="10">
        <f>+'A) Base RI'!AB295</f>
        <v>0</v>
      </c>
      <c r="AI295" s="10">
        <f>+'A) Base RI'!AC295</f>
        <v>8800</v>
      </c>
      <c r="AJ295" s="10">
        <f>+'A) Base RI'!AD295</f>
        <v>5350</v>
      </c>
      <c r="AK295" s="10">
        <f>+'A) Base RI'!AE295</f>
        <v>0</v>
      </c>
      <c r="AL295" s="10">
        <f>+'A) Base RI'!AF295</f>
        <v>0</v>
      </c>
      <c r="AM295" s="10">
        <f>+'A) Base RI'!AG295</f>
        <v>0</v>
      </c>
      <c r="AN295" s="10">
        <f>+'A) Base RI'!AH295</f>
        <v>0</v>
      </c>
      <c r="AO295" s="10">
        <f>+'A) Base RI'!AI295</f>
        <v>0</v>
      </c>
      <c r="AP295" s="10">
        <f>+'A) Base RI'!AJ295</f>
        <v>0</v>
      </c>
      <c r="AQ295" s="10">
        <f>+'A) Base RI'!AK295</f>
        <v>0</v>
      </c>
      <c r="AR295" s="10">
        <f>'A) Base RI'!AN295</f>
        <v>141</v>
      </c>
    </row>
    <row r="296" spans="1:44" x14ac:dyDescent="0.25">
      <c r="A296" s="8">
        <f>'A) Base RI'!A296</f>
        <v>5913</v>
      </c>
      <c r="B296" s="33" t="str">
        <f>'A) Base RI'!B296</f>
        <v>Donneloye</v>
      </c>
      <c r="C296" s="10">
        <f>'A) Base RI'!C296+'A) Base RI'!D296</f>
        <v>1332325.8</v>
      </c>
      <c r="D296" s="10">
        <f>'A) Base RI'!AO296</f>
        <v>-19214.46</v>
      </c>
      <c r="E296" s="32">
        <f>'A) Base RI'!AP296</f>
        <v>0</v>
      </c>
      <c r="F296" s="32">
        <f>'A) Base RI'!AQ296</f>
        <v>-290.07</v>
      </c>
      <c r="G296" s="2">
        <f t="shared" si="28"/>
        <v>1312821.27</v>
      </c>
      <c r="H296" s="10">
        <f>+'A) Base RI'!E296</f>
        <v>0</v>
      </c>
      <c r="I296" s="10">
        <f>+'A) Base RI'!F296</f>
        <v>0</v>
      </c>
      <c r="J296" s="10">
        <f>+'A) Base RI'!G296+'A) Base RI'!H296</f>
        <v>41446.899999999994</v>
      </c>
      <c r="K296" s="10">
        <f>+'A) Base RI'!I296</f>
        <v>0</v>
      </c>
      <c r="L296" s="10">
        <f>+'A) Base RI'!J296</f>
        <v>19235</v>
      </c>
      <c r="M296" s="10">
        <f>+'A) Base RI'!K296</f>
        <v>1314.65</v>
      </c>
      <c r="N296" s="10">
        <f>+'A) Base RI'!Q296</f>
        <v>2495.17</v>
      </c>
      <c r="O296" s="10">
        <f t="shared" si="29"/>
        <v>109909.4</v>
      </c>
      <c r="P296" s="10">
        <f>+'A) Base RI'!L296</f>
        <v>109909.4</v>
      </c>
      <c r="Q296" s="35">
        <f>'A) Base RI'!AR296</f>
        <v>1</v>
      </c>
      <c r="R296" s="2">
        <f t="shared" si="30"/>
        <v>1487222.3899999997</v>
      </c>
      <c r="S296" s="34">
        <f>+'A) Base RI'!AM296</f>
        <v>73</v>
      </c>
      <c r="T296" s="2">
        <f t="shared" si="31"/>
        <v>1375998.3399999999</v>
      </c>
      <c r="U296" s="2">
        <f t="shared" si="32"/>
        <v>20372.909452054791</v>
      </c>
      <c r="V296" s="10">
        <f>+'A) Base RI'!O296</f>
        <v>31.2</v>
      </c>
      <c r="W296" s="10">
        <f>+'A) Base RI'!P296</f>
        <v>95782.5</v>
      </c>
      <c r="X296" s="10">
        <f>+'A) Base RI'!R296</f>
        <v>51418.8</v>
      </c>
      <c r="Y296" s="2">
        <f t="shared" si="33"/>
        <v>147232.5</v>
      </c>
      <c r="Z296" s="10">
        <f>+'A) Base RI'!N296</f>
        <v>22459.05</v>
      </c>
      <c r="AA296" s="10">
        <f>+'A) Base RI'!S296+'A) Base RI'!T296</f>
        <v>572.25</v>
      </c>
      <c r="AB296" s="10">
        <f>+'A) Base RI'!U296</f>
        <v>5717.5</v>
      </c>
      <c r="AC296" s="10">
        <f>+'A) Base RI'!V296</f>
        <v>48</v>
      </c>
      <c r="AD296" s="10">
        <f>+'A) Base RI'!W296</f>
        <v>0</v>
      </c>
      <c r="AE296" s="10">
        <f>+'A) Base RI'!Y296</f>
        <v>1110</v>
      </c>
      <c r="AF296" s="10">
        <f>+'A) Base RI'!Z296</f>
        <v>0</v>
      </c>
      <c r="AG296" s="10">
        <f>+'A) Base RI'!AA296</f>
        <v>72531</v>
      </c>
      <c r="AH296" s="10">
        <f>+'A) Base RI'!AB296</f>
        <v>36446</v>
      </c>
      <c r="AI296" s="10">
        <f>+'A) Base RI'!AC296</f>
        <v>0</v>
      </c>
      <c r="AJ296" s="10">
        <f>+'A) Base RI'!AD296</f>
        <v>33435</v>
      </c>
      <c r="AK296" s="10">
        <f>+'A) Base RI'!AE296</f>
        <v>0</v>
      </c>
      <c r="AL296" s="10">
        <f>+'A) Base RI'!AF296</f>
        <v>0</v>
      </c>
      <c r="AM296" s="10">
        <f>+'A) Base RI'!AG296</f>
        <v>0</v>
      </c>
      <c r="AN296" s="10">
        <f>+'A) Base RI'!AH296</f>
        <v>20899.900000000001</v>
      </c>
      <c r="AO296" s="10">
        <f>+'A) Base RI'!AI296</f>
        <v>0</v>
      </c>
      <c r="AP296" s="10">
        <f>+'A) Base RI'!AJ296</f>
        <v>0</v>
      </c>
      <c r="AQ296" s="10">
        <f>+'A) Base RI'!AK296</f>
        <v>0</v>
      </c>
      <c r="AR296" s="10">
        <f>'A) Base RI'!AN296</f>
        <v>809</v>
      </c>
    </row>
    <row r="297" spans="1:44" x14ac:dyDescent="0.25">
      <c r="A297" s="8">
        <f>'A) Base RI'!A297</f>
        <v>5914</v>
      </c>
      <c r="B297" s="33" t="str">
        <f>'A) Base RI'!B297</f>
        <v>Ependes</v>
      </c>
      <c r="C297" s="10">
        <f>'A) Base RI'!C297+'A) Base RI'!D297</f>
        <v>623548.79999999993</v>
      </c>
      <c r="D297" s="10">
        <f>'A) Base RI'!AO297</f>
        <v>-23336.240000000002</v>
      </c>
      <c r="E297" s="32">
        <f>'A) Base RI'!AP297</f>
        <v>0</v>
      </c>
      <c r="F297" s="32">
        <f>'A) Base RI'!AQ297</f>
        <v>0</v>
      </c>
      <c r="G297" s="2">
        <f t="shared" si="28"/>
        <v>600212.55999999994</v>
      </c>
      <c r="H297" s="10">
        <f>+'A) Base RI'!E297</f>
        <v>0</v>
      </c>
      <c r="I297" s="10">
        <f>+'A) Base RI'!F297</f>
        <v>2200</v>
      </c>
      <c r="J297" s="10">
        <f>+'A) Base RI'!G297+'A) Base RI'!H297</f>
        <v>20307.95</v>
      </c>
      <c r="K297" s="10">
        <f>+'A) Base RI'!I297</f>
        <v>0</v>
      </c>
      <c r="L297" s="10">
        <f>+'A) Base RI'!J297</f>
        <v>8998.52</v>
      </c>
      <c r="M297" s="10">
        <f>+'A) Base RI'!K297</f>
        <v>3449.45</v>
      </c>
      <c r="N297" s="10">
        <f>+'A) Base RI'!Q297</f>
        <v>15616.31</v>
      </c>
      <c r="O297" s="10">
        <f t="shared" si="29"/>
        <v>50883.65</v>
      </c>
      <c r="P297" s="10">
        <f>+'A) Base RI'!L297</f>
        <v>50883.65</v>
      </c>
      <c r="Q297" s="35">
        <f>'A) Base RI'!AR297</f>
        <v>1</v>
      </c>
      <c r="R297" s="2">
        <f t="shared" si="30"/>
        <v>701668.44</v>
      </c>
      <c r="S297" s="34">
        <f>+'A) Base RI'!AM297</f>
        <v>75</v>
      </c>
      <c r="T297" s="2">
        <f t="shared" si="31"/>
        <v>645135.34</v>
      </c>
      <c r="U297" s="2">
        <f t="shared" si="32"/>
        <v>9355.5792000000001</v>
      </c>
      <c r="V297" s="10">
        <f>+'A) Base RI'!O297</f>
        <v>0</v>
      </c>
      <c r="W297" s="10">
        <f>+'A) Base RI'!P297</f>
        <v>29230.1</v>
      </c>
      <c r="X297" s="10">
        <f>+'A) Base RI'!R297</f>
        <v>8560.2999999999993</v>
      </c>
      <c r="Y297" s="2">
        <f t="shared" si="33"/>
        <v>37790.399999999994</v>
      </c>
      <c r="Z297" s="10">
        <f>+'A) Base RI'!N297</f>
        <v>12.4</v>
      </c>
      <c r="AA297" s="10">
        <f>+'A) Base RI'!S297+'A) Base RI'!T297</f>
        <v>1178.8</v>
      </c>
      <c r="AB297" s="10">
        <f>+'A) Base RI'!U297</f>
        <v>1380</v>
      </c>
      <c r="AC297" s="10">
        <f>+'A) Base RI'!V297</f>
        <v>0</v>
      </c>
      <c r="AD297" s="10">
        <f>+'A) Base RI'!W297</f>
        <v>0</v>
      </c>
      <c r="AE297" s="10">
        <f>+'A) Base RI'!Y297</f>
        <v>34309</v>
      </c>
      <c r="AF297" s="10">
        <f>+'A) Base RI'!Z297</f>
        <v>0</v>
      </c>
      <c r="AG297" s="10">
        <f>+'A) Base RI'!AA297</f>
        <v>63785.25</v>
      </c>
      <c r="AH297" s="10">
        <f>+'A) Base RI'!AB297</f>
        <v>0</v>
      </c>
      <c r="AI297" s="10">
        <f>+'A) Base RI'!AC297</f>
        <v>32327.85</v>
      </c>
      <c r="AJ297" s="10">
        <f>+'A) Base RI'!AD297</f>
        <v>0</v>
      </c>
      <c r="AK297" s="10">
        <f>+'A) Base RI'!AE297</f>
        <v>0</v>
      </c>
      <c r="AL297" s="10">
        <f>+'A) Base RI'!AF297</f>
        <v>0</v>
      </c>
      <c r="AM297" s="10">
        <f>+'A) Base RI'!AG297</f>
        <v>0</v>
      </c>
      <c r="AN297" s="10">
        <f>+'A) Base RI'!AH297</f>
        <v>0</v>
      </c>
      <c r="AO297" s="10">
        <f>+'A) Base RI'!AI297</f>
        <v>0</v>
      </c>
      <c r="AP297" s="10">
        <f>+'A) Base RI'!AJ297</f>
        <v>0</v>
      </c>
      <c r="AQ297" s="10">
        <f>+'A) Base RI'!AK297</f>
        <v>0</v>
      </c>
      <c r="AR297" s="10">
        <f>'A) Base RI'!AN297</f>
        <v>360</v>
      </c>
    </row>
    <row r="298" spans="1:44" x14ac:dyDescent="0.25">
      <c r="A298" s="8">
        <f>'A) Base RI'!A298</f>
        <v>5919</v>
      </c>
      <c r="B298" s="33" t="str">
        <f>'A) Base RI'!B298</f>
        <v>Mathod</v>
      </c>
      <c r="C298" s="10">
        <f>'A) Base RI'!C298+'A) Base RI'!D298</f>
        <v>1093477.4100000001</v>
      </c>
      <c r="D298" s="10">
        <f>'A) Base RI'!AO298</f>
        <v>-15089</v>
      </c>
      <c r="E298" s="32">
        <f>'A) Base RI'!AP298</f>
        <v>0</v>
      </c>
      <c r="F298" s="32">
        <f>'A) Base RI'!AQ298</f>
        <v>-66.599999999999994</v>
      </c>
      <c r="G298" s="2">
        <f t="shared" si="28"/>
        <v>1078321.81</v>
      </c>
      <c r="H298" s="10">
        <f>+'A) Base RI'!E298</f>
        <v>0</v>
      </c>
      <c r="I298" s="10">
        <f>+'A) Base RI'!F298</f>
        <v>3640</v>
      </c>
      <c r="J298" s="10">
        <f>+'A) Base RI'!G298+'A) Base RI'!H298</f>
        <v>10100.200000000001</v>
      </c>
      <c r="K298" s="10">
        <f>+'A) Base RI'!I298</f>
        <v>0</v>
      </c>
      <c r="L298" s="10">
        <f>+'A) Base RI'!J298</f>
        <v>14754.13</v>
      </c>
      <c r="M298" s="10">
        <f>+'A) Base RI'!K298</f>
        <v>9931.7000000000007</v>
      </c>
      <c r="N298" s="10">
        <f>+'A) Base RI'!Q298</f>
        <v>12306.42</v>
      </c>
      <c r="O298" s="10">
        <f t="shared" si="29"/>
        <v>106676.58333333333</v>
      </c>
      <c r="P298" s="10">
        <f>+'A) Base RI'!L298</f>
        <v>128011.9</v>
      </c>
      <c r="Q298" s="35">
        <f>'A) Base RI'!AR298</f>
        <v>1.2</v>
      </c>
      <c r="R298" s="2">
        <f t="shared" si="30"/>
        <v>1235730.843333333</v>
      </c>
      <c r="S298" s="34">
        <f>+'A) Base RI'!AM298</f>
        <v>72</v>
      </c>
      <c r="T298" s="2">
        <f t="shared" si="31"/>
        <v>1115482.5599999998</v>
      </c>
      <c r="U298" s="2">
        <f t="shared" si="32"/>
        <v>17162.928379629626</v>
      </c>
      <c r="V298" s="10">
        <f>+'A) Base RI'!O298</f>
        <v>106.5</v>
      </c>
      <c r="W298" s="10">
        <f>+'A) Base RI'!P298</f>
        <v>80839.8</v>
      </c>
      <c r="X298" s="10">
        <f>+'A) Base RI'!R298</f>
        <v>128908.95</v>
      </c>
      <c r="Y298" s="2">
        <f t="shared" si="33"/>
        <v>209855.25</v>
      </c>
      <c r="Z298" s="10">
        <f>+'A) Base RI'!N298</f>
        <v>8139.8</v>
      </c>
      <c r="AA298" s="10">
        <f>+'A) Base RI'!S298+'A) Base RI'!T298</f>
        <v>0</v>
      </c>
      <c r="AB298" s="10">
        <f>+'A) Base RI'!U298</f>
        <v>3800</v>
      </c>
      <c r="AC298" s="10">
        <f>+'A) Base RI'!V298</f>
        <v>0</v>
      </c>
      <c r="AD298" s="10">
        <f>+'A) Base RI'!W298</f>
        <v>0</v>
      </c>
      <c r="AE298" s="10">
        <f>+'A) Base RI'!Y298</f>
        <v>50754</v>
      </c>
      <c r="AF298" s="10">
        <f>+'A) Base RI'!Z298</f>
        <v>0</v>
      </c>
      <c r="AG298" s="10">
        <f>+'A) Base RI'!AA298</f>
        <v>164759.6</v>
      </c>
      <c r="AH298" s="10">
        <f>+'A) Base RI'!AB298</f>
        <v>0</v>
      </c>
      <c r="AI298" s="10">
        <f>+'A) Base RI'!AC298</f>
        <v>45379.3</v>
      </c>
      <c r="AJ298" s="10">
        <f>+'A) Base RI'!AD298</f>
        <v>78136.3</v>
      </c>
      <c r="AK298" s="10">
        <f>+'A) Base RI'!AE298</f>
        <v>0</v>
      </c>
      <c r="AL298" s="10">
        <f>+'A) Base RI'!AF298</f>
        <v>0</v>
      </c>
      <c r="AM298" s="10">
        <f>+'A) Base RI'!AG298</f>
        <v>0</v>
      </c>
      <c r="AN298" s="10">
        <f>+'A) Base RI'!AH298</f>
        <v>0</v>
      </c>
      <c r="AO298" s="10">
        <f>+'A) Base RI'!AI298</f>
        <v>0</v>
      </c>
      <c r="AP298" s="10">
        <f>+'A) Base RI'!AJ298</f>
        <v>0</v>
      </c>
      <c r="AQ298" s="10">
        <f>+'A) Base RI'!AK298</f>
        <v>0</v>
      </c>
      <c r="AR298" s="10">
        <f>'A) Base RI'!AN298</f>
        <v>611</v>
      </c>
    </row>
    <row r="299" spans="1:44" x14ac:dyDescent="0.25">
      <c r="A299" s="8">
        <f>'A) Base RI'!A299</f>
        <v>5921</v>
      </c>
      <c r="B299" s="33" t="str">
        <f>'A) Base RI'!B299</f>
        <v>Molondin</v>
      </c>
      <c r="C299" s="10">
        <f>'A) Base RI'!C299+'A) Base RI'!D299</f>
        <v>354375.51999999996</v>
      </c>
      <c r="D299" s="10">
        <f>'A) Base RI'!AO299</f>
        <v>-13098.52</v>
      </c>
      <c r="E299" s="32">
        <f>'A) Base RI'!AP299</f>
        <v>0</v>
      </c>
      <c r="F299" s="32">
        <f>'A) Base RI'!AQ299</f>
        <v>0</v>
      </c>
      <c r="G299" s="2">
        <f t="shared" si="28"/>
        <v>341276.99999999994</v>
      </c>
      <c r="H299" s="10">
        <f>+'A) Base RI'!E299</f>
        <v>0</v>
      </c>
      <c r="I299" s="10">
        <f>+'A) Base RI'!F299</f>
        <v>1370</v>
      </c>
      <c r="J299" s="10">
        <f>+'A) Base RI'!G299+'A) Base RI'!H299</f>
        <v>63765.649999999994</v>
      </c>
      <c r="K299" s="10">
        <f>+'A) Base RI'!I299</f>
        <v>0</v>
      </c>
      <c r="L299" s="10">
        <f>+'A) Base RI'!J299</f>
        <v>13405.95</v>
      </c>
      <c r="M299" s="10">
        <f>+'A) Base RI'!K299</f>
        <v>0</v>
      </c>
      <c r="N299" s="10">
        <f>+'A) Base RI'!Q299</f>
        <v>0</v>
      </c>
      <c r="O299" s="10">
        <f t="shared" si="29"/>
        <v>30414.05</v>
      </c>
      <c r="P299" s="10">
        <f>+'A) Base RI'!L299</f>
        <v>30414.05</v>
      </c>
      <c r="Q299" s="35">
        <f>'A) Base RI'!AR299</f>
        <v>1</v>
      </c>
      <c r="R299" s="2">
        <f t="shared" si="30"/>
        <v>450232.64999999991</v>
      </c>
      <c r="S299" s="34">
        <f>+'A) Base RI'!AM299</f>
        <v>81</v>
      </c>
      <c r="T299" s="2">
        <f t="shared" si="31"/>
        <v>418448.59999999992</v>
      </c>
      <c r="U299" s="2">
        <f t="shared" si="32"/>
        <v>5558.427777777777</v>
      </c>
      <c r="V299" s="10">
        <f>+'A) Base RI'!O299</f>
        <v>5029</v>
      </c>
      <c r="W299" s="10">
        <f>+'A) Base RI'!P299</f>
        <v>9240</v>
      </c>
      <c r="X299" s="10">
        <f>+'A) Base RI'!R299</f>
        <v>7524.8</v>
      </c>
      <c r="Y299" s="2">
        <f t="shared" si="33"/>
        <v>21793.8</v>
      </c>
      <c r="Z299" s="10">
        <f>+'A) Base RI'!N299</f>
        <v>0</v>
      </c>
      <c r="AA299" s="10">
        <f>+'A) Base RI'!S299+'A) Base RI'!T299</f>
        <v>175</v>
      </c>
      <c r="AB299" s="10">
        <f>+'A) Base RI'!U299</f>
        <v>1665</v>
      </c>
      <c r="AC299" s="10">
        <f>+'A) Base RI'!V299</f>
        <v>446</v>
      </c>
      <c r="AD299" s="10">
        <f>+'A) Base RI'!W299</f>
        <v>0</v>
      </c>
      <c r="AE299" s="10" t="str">
        <f>+'A) Base RI'!Y299</f>
        <v/>
      </c>
      <c r="AF299" s="10">
        <f>+'A) Base RI'!Z299</f>
        <v>7920</v>
      </c>
      <c r="AG299" s="10">
        <f>+'A) Base RI'!AA299</f>
        <v>38190</v>
      </c>
      <c r="AH299" s="10" t="str">
        <f>+'A) Base RI'!AB299</f>
        <v/>
      </c>
      <c r="AI299" s="10">
        <f>+'A) Base RI'!AC299</f>
        <v>8847</v>
      </c>
      <c r="AJ299" s="10" t="str">
        <f>+'A) Base RI'!AD299</f>
        <v/>
      </c>
      <c r="AK299" s="10">
        <f>+'A) Base RI'!AE299</f>
        <v>6480</v>
      </c>
      <c r="AL299" s="10" t="str">
        <f>+'A) Base RI'!AF299</f>
        <v/>
      </c>
      <c r="AM299" s="10" t="str">
        <f>+'A) Base RI'!AG299</f>
        <v/>
      </c>
      <c r="AN299" s="10">
        <f>+'A) Base RI'!AH299</f>
        <v>0</v>
      </c>
      <c r="AO299" s="10">
        <f>+'A) Base RI'!AI299</f>
        <v>0</v>
      </c>
      <c r="AP299" s="10">
        <f>+'A) Base RI'!AJ299</f>
        <v>0</v>
      </c>
      <c r="AQ299" s="10">
        <f>+'A) Base RI'!AK299</f>
        <v>0</v>
      </c>
      <c r="AR299" s="10">
        <f>'A) Base RI'!AN299</f>
        <v>235</v>
      </c>
    </row>
    <row r="300" spans="1:44" x14ac:dyDescent="0.25">
      <c r="A300" s="8">
        <f>'A) Base RI'!A300</f>
        <v>5922</v>
      </c>
      <c r="B300" s="33" t="str">
        <f>'A) Base RI'!B300</f>
        <v>Montagny-près-Yverdon</v>
      </c>
      <c r="C300" s="10">
        <f>'A) Base RI'!C300+'A) Base RI'!D300</f>
        <v>1594217.67</v>
      </c>
      <c r="D300" s="10">
        <f>'A) Base RI'!AO300</f>
        <v>-28253.3</v>
      </c>
      <c r="E300" s="32">
        <f>'A) Base RI'!AP300</f>
        <v>0</v>
      </c>
      <c r="F300" s="32">
        <f>'A) Base RI'!AQ300</f>
        <v>-167.95</v>
      </c>
      <c r="G300" s="2">
        <f t="shared" si="28"/>
        <v>1565796.42</v>
      </c>
      <c r="H300" s="10">
        <f>+'A) Base RI'!E300</f>
        <v>0</v>
      </c>
      <c r="I300" s="10">
        <f>+'A) Base RI'!F300</f>
        <v>0</v>
      </c>
      <c r="J300" s="10">
        <f>+'A) Base RI'!G300+'A) Base RI'!H300</f>
        <v>553466.94999999995</v>
      </c>
      <c r="K300" s="10">
        <f>+'A) Base RI'!I300</f>
        <v>0</v>
      </c>
      <c r="L300" s="10">
        <f>+'A) Base RI'!J300</f>
        <v>81972.91</v>
      </c>
      <c r="M300" s="10">
        <f>+'A) Base RI'!K300</f>
        <v>45778.95</v>
      </c>
      <c r="N300" s="10">
        <f>+'A) Base RI'!Q300</f>
        <v>827.08</v>
      </c>
      <c r="O300" s="10">
        <f t="shared" si="29"/>
        <v>306523.0625</v>
      </c>
      <c r="P300" s="10">
        <f>+'A) Base RI'!L300</f>
        <v>245218.45</v>
      </c>
      <c r="Q300" s="35">
        <f>'A) Base RI'!AR300</f>
        <v>0.8</v>
      </c>
      <c r="R300" s="2">
        <f t="shared" si="30"/>
        <v>2554365.3725000005</v>
      </c>
      <c r="S300" s="34">
        <f>+'A) Base RI'!AM300</f>
        <v>65</v>
      </c>
      <c r="T300" s="2">
        <f t="shared" si="31"/>
        <v>2202063.3600000003</v>
      </c>
      <c r="U300" s="2">
        <f t="shared" si="32"/>
        <v>39297.928807692319</v>
      </c>
      <c r="V300" s="10">
        <f>+'A) Base RI'!O300</f>
        <v>303290.2</v>
      </c>
      <c r="W300" s="10">
        <f>+'A) Base RI'!P300</f>
        <v>25315.3</v>
      </c>
      <c r="X300" s="10">
        <f>+'A) Base RI'!R300</f>
        <v>44514.2</v>
      </c>
      <c r="Y300" s="2">
        <f t="shared" si="33"/>
        <v>373119.7</v>
      </c>
      <c r="Z300" s="10">
        <f>+'A) Base RI'!N300</f>
        <v>185044.2</v>
      </c>
      <c r="AA300" s="10">
        <f>+'A) Base RI'!S300+'A) Base RI'!T300</f>
        <v>87661.25</v>
      </c>
      <c r="AB300" s="10">
        <f>+'A) Base RI'!U300</f>
        <v>1640</v>
      </c>
      <c r="AC300" s="10">
        <f>+'A) Base RI'!V300</f>
        <v>27</v>
      </c>
      <c r="AD300" s="10">
        <f>+'A) Base RI'!W300</f>
        <v>0</v>
      </c>
      <c r="AE300" s="10">
        <f>+'A) Base RI'!Y300</f>
        <v>14595.05</v>
      </c>
      <c r="AF300" s="10">
        <f>+'A) Base RI'!Z300</f>
        <v>0</v>
      </c>
      <c r="AG300" s="10">
        <f>+'A) Base RI'!AA300</f>
        <v>119968.85</v>
      </c>
      <c r="AH300" s="10">
        <f>+'A) Base RI'!AB300</f>
        <v>0</v>
      </c>
      <c r="AI300" s="10">
        <f>+'A) Base RI'!AC300</f>
        <v>126895.2</v>
      </c>
      <c r="AJ300" s="10">
        <f>+'A) Base RI'!AD300</f>
        <v>11410.75</v>
      </c>
      <c r="AK300" s="10">
        <f>+'A) Base RI'!AE300</f>
        <v>0</v>
      </c>
      <c r="AL300" s="10">
        <f>+'A) Base RI'!AF300</f>
        <v>0</v>
      </c>
      <c r="AM300" s="10">
        <f>+'A) Base RI'!AG300</f>
        <v>54.35</v>
      </c>
      <c r="AN300" s="10">
        <f>+'A) Base RI'!AH300</f>
        <v>102281.9</v>
      </c>
      <c r="AO300" s="10">
        <f>+'A) Base RI'!AI300</f>
        <v>0</v>
      </c>
      <c r="AP300" s="10">
        <f>+'A) Base RI'!AJ300</f>
        <v>0</v>
      </c>
      <c r="AQ300" s="10">
        <f>+'A) Base RI'!AK300</f>
        <v>0</v>
      </c>
      <c r="AR300" s="10">
        <f>'A) Base RI'!AN300</f>
        <v>738</v>
      </c>
    </row>
    <row r="301" spans="1:44" x14ac:dyDescent="0.25">
      <c r="A301" s="8">
        <f>'A) Base RI'!A301</f>
        <v>5923</v>
      </c>
      <c r="B301" s="33" t="str">
        <f>'A) Base RI'!B301</f>
        <v>Oppens</v>
      </c>
      <c r="C301" s="10">
        <f>'A) Base RI'!C301+'A) Base RI'!D301</f>
        <v>366893.16000000003</v>
      </c>
      <c r="D301" s="10">
        <f>'A) Base RI'!AO301</f>
        <v>-3483.09</v>
      </c>
      <c r="E301" s="32">
        <f>'A) Base RI'!AP301</f>
        <v>0</v>
      </c>
      <c r="F301" s="32">
        <f>'A) Base RI'!AQ301</f>
        <v>0</v>
      </c>
      <c r="G301" s="2">
        <f t="shared" si="28"/>
        <v>363410.07</v>
      </c>
      <c r="H301" s="10">
        <f>+'A) Base RI'!E301</f>
        <v>0</v>
      </c>
      <c r="I301" s="10">
        <f>+'A) Base RI'!F301</f>
        <v>0</v>
      </c>
      <c r="J301" s="10">
        <f>+'A) Base RI'!G301+'A) Base RI'!H301</f>
        <v>493.55000000000007</v>
      </c>
      <c r="K301" s="10">
        <f>+'A) Base RI'!I301</f>
        <v>0</v>
      </c>
      <c r="L301" s="10">
        <f>+'A) Base RI'!J301</f>
        <v>28952.13</v>
      </c>
      <c r="M301" s="10">
        <f>+'A) Base RI'!K301</f>
        <v>0</v>
      </c>
      <c r="N301" s="10">
        <f>+'A) Base RI'!Q301</f>
        <v>0</v>
      </c>
      <c r="O301" s="10">
        <f t="shared" si="29"/>
        <v>24160</v>
      </c>
      <c r="P301" s="10">
        <f>+'A) Base RI'!L301</f>
        <v>24160</v>
      </c>
      <c r="Q301" s="35">
        <f>'A) Base RI'!AR301</f>
        <v>1</v>
      </c>
      <c r="R301" s="2">
        <f t="shared" si="30"/>
        <v>417015.75</v>
      </c>
      <c r="S301" s="34">
        <f>+'A) Base RI'!AM301</f>
        <v>81</v>
      </c>
      <c r="T301" s="2">
        <f t="shared" si="31"/>
        <v>392855.75</v>
      </c>
      <c r="U301" s="2">
        <f t="shared" si="32"/>
        <v>5148.3425925925922</v>
      </c>
      <c r="V301" s="10">
        <f>+'A) Base RI'!O301</f>
        <v>132.1</v>
      </c>
      <c r="W301" s="10">
        <f>+'A) Base RI'!P301</f>
        <v>6140.75</v>
      </c>
      <c r="X301" s="10">
        <f>+'A) Base RI'!R301</f>
        <v>10208.35</v>
      </c>
      <c r="Y301" s="2">
        <f t="shared" si="33"/>
        <v>16481.2</v>
      </c>
      <c r="Z301" s="10">
        <f>+'A) Base RI'!N301</f>
        <v>28113.25</v>
      </c>
      <c r="AA301" s="10">
        <f>+'A) Base RI'!S301+'A) Base RI'!T301</f>
        <v>0</v>
      </c>
      <c r="AB301" s="10">
        <f>+'A) Base RI'!U301</f>
        <v>2415</v>
      </c>
      <c r="AC301" s="10">
        <f>+'A) Base RI'!V301</f>
        <v>0</v>
      </c>
      <c r="AD301" s="10">
        <f>+'A) Base RI'!W301</f>
        <v>0</v>
      </c>
      <c r="AE301" s="10">
        <f>+'A) Base RI'!Y301</f>
        <v>5600</v>
      </c>
      <c r="AF301" s="10">
        <f>+'A) Base RI'!Z301</f>
        <v>0</v>
      </c>
      <c r="AG301" s="10">
        <f>+'A) Base RI'!AA301</f>
        <v>50199.9</v>
      </c>
      <c r="AH301" s="10">
        <f>+'A) Base RI'!AB301</f>
        <v>0</v>
      </c>
      <c r="AI301" s="10">
        <f>+'A) Base RI'!AC301</f>
        <v>16963.45</v>
      </c>
      <c r="AJ301" s="10">
        <f>+'A) Base RI'!AD301</f>
        <v>0</v>
      </c>
      <c r="AK301" s="10">
        <f>+'A) Base RI'!AE301</f>
        <v>0</v>
      </c>
      <c r="AL301" s="10">
        <f>+'A) Base RI'!AF301</f>
        <v>0</v>
      </c>
      <c r="AM301" s="10">
        <f>+'A) Base RI'!AG301</f>
        <v>0</v>
      </c>
      <c r="AN301" s="10">
        <f>+'A) Base RI'!AH301</f>
        <v>0</v>
      </c>
      <c r="AO301" s="10">
        <f>+'A) Base RI'!AI301</f>
        <v>0</v>
      </c>
      <c r="AP301" s="10">
        <f>+'A) Base RI'!AJ301</f>
        <v>0</v>
      </c>
      <c r="AQ301" s="10">
        <f>+'A) Base RI'!AK301</f>
        <v>0</v>
      </c>
      <c r="AR301" s="10">
        <f>'A) Base RI'!AN301</f>
        <v>196</v>
      </c>
    </row>
    <row r="302" spans="1:44" x14ac:dyDescent="0.25">
      <c r="A302" s="8">
        <f>'A) Base RI'!A302</f>
        <v>5924</v>
      </c>
      <c r="B302" s="33" t="str">
        <f>'A) Base RI'!B302</f>
        <v>Orges</v>
      </c>
      <c r="C302" s="10">
        <f>'A) Base RI'!C302+'A) Base RI'!D302</f>
        <v>683039.88</v>
      </c>
      <c r="D302" s="10">
        <f>'A) Base RI'!AO302</f>
        <v>-4072.86</v>
      </c>
      <c r="E302" s="32">
        <f>'A) Base RI'!AP302</f>
        <v>0</v>
      </c>
      <c r="F302" s="32">
        <f>'A) Base RI'!AQ302</f>
        <v>-33.19</v>
      </c>
      <c r="G302" s="2">
        <f t="shared" si="28"/>
        <v>678933.83000000007</v>
      </c>
      <c r="H302" s="10">
        <f>+'A) Base RI'!E302</f>
        <v>0</v>
      </c>
      <c r="I302" s="10">
        <f>+'A) Base RI'!F302</f>
        <v>0</v>
      </c>
      <c r="J302" s="10">
        <f>+'A) Base RI'!G302+'A) Base RI'!H302</f>
        <v>45664.1</v>
      </c>
      <c r="K302" s="10">
        <f>+'A) Base RI'!I302</f>
        <v>0</v>
      </c>
      <c r="L302" s="10">
        <f>+'A) Base RI'!J302</f>
        <v>6746.31</v>
      </c>
      <c r="M302" s="10">
        <f>+'A) Base RI'!K302</f>
        <v>0</v>
      </c>
      <c r="N302" s="10">
        <f>+'A) Base RI'!Q302</f>
        <v>0</v>
      </c>
      <c r="O302" s="10">
        <f t="shared" si="29"/>
        <v>49693.599999999999</v>
      </c>
      <c r="P302" s="10">
        <f>+'A) Base RI'!L302</f>
        <v>49693.599999999999</v>
      </c>
      <c r="Q302" s="35">
        <f>'A) Base RI'!AR302</f>
        <v>1</v>
      </c>
      <c r="R302" s="2">
        <f t="shared" si="30"/>
        <v>781037.84000000008</v>
      </c>
      <c r="S302" s="34">
        <f>+'A) Base RI'!AM302</f>
        <v>74</v>
      </c>
      <c r="T302" s="2">
        <f t="shared" si="31"/>
        <v>731344.24000000011</v>
      </c>
      <c r="U302" s="2">
        <f t="shared" si="32"/>
        <v>10554.565405405407</v>
      </c>
      <c r="V302" s="10">
        <f>+'A) Base RI'!O302</f>
        <v>0</v>
      </c>
      <c r="W302" s="10">
        <f>+'A) Base RI'!P302</f>
        <v>19738.7</v>
      </c>
      <c r="X302" s="10">
        <f>+'A) Base RI'!R302</f>
        <v>0</v>
      </c>
      <c r="Y302" s="2">
        <f t="shared" si="33"/>
        <v>19738.7</v>
      </c>
      <c r="Z302" s="10">
        <f>+'A) Base RI'!N302</f>
        <v>39972.85</v>
      </c>
      <c r="AA302" s="10">
        <f>+'A) Base RI'!S302+'A) Base RI'!T302</f>
        <v>8150.75</v>
      </c>
      <c r="AB302" s="10">
        <f>+'A) Base RI'!U302</f>
        <v>3144.5</v>
      </c>
      <c r="AC302" s="10">
        <f>+'A) Base RI'!V302</f>
        <v>0</v>
      </c>
      <c r="AD302" s="10">
        <f>+'A) Base RI'!W302</f>
        <v>0</v>
      </c>
      <c r="AE302" s="10">
        <f>+'A) Base RI'!Y302</f>
        <v>0</v>
      </c>
      <c r="AF302" s="10">
        <f>+'A) Base RI'!Z302</f>
        <v>0</v>
      </c>
      <c r="AG302" s="10">
        <f>+'A) Base RI'!AA302</f>
        <v>41706.1</v>
      </c>
      <c r="AH302" s="10">
        <f>+'A) Base RI'!AB302</f>
        <v>0</v>
      </c>
      <c r="AI302" s="10">
        <f>+'A) Base RI'!AC302</f>
        <v>26161.88</v>
      </c>
      <c r="AJ302" s="10">
        <f>+'A) Base RI'!AD302</f>
        <v>75975.92</v>
      </c>
      <c r="AK302" s="10">
        <f>+'A) Base RI'!AE302</f>
        <v>0</v>
      </c>
      <c r="AL302" s="10">
        <f>+'A) Base RI'!AF302</f>
        <v>0</v>
      </c>
      <c r="AM302" s="10">
        <f>+'A) Base RI'!AG302</f>
        <v>637.6</v>
      </c>
      <c r="AN302" s="10">
        <f>+'A) Base RI'!AH302</f>
        <v>0</v>
      </c>
      <c r="AO302" s="10">
        <f>+'A) Base RI'!AI302</f>
        <v>0</v>
      </c>
      <c r="AP302" s="10">
        <f>+'A) Base RI'!AJ302</f>
        <v>0</v>
      </c>
      <c r="AQ302" s="10">
        <f>+'A) Base RI'!AK302</f>
        <v>0</v>
      </c>
      <c r="AR302" s="10">
        <f>'A) Base RI'!AN302</f>
        <v>332</v>
      </c>
    </row>
    <row r="303" spans="1:44" x14ac:dyDescent="0.25">
      <c r="A303" s="8">
        <f>'A) Base RI'!A303</f>
        <v>5925</v>
      </c>
      <c r="B303" s="33" t="str">
        <f>'A) Base RI'!B303</f>
        <v>Orzens</v>
      </c>
      <c r="C303" s="10">
        <f>'A) Base RI'!C303+'A) Base RI'!D303</f>
        <v>409359.83999999997</v>
      </c>
      <c r="D303" s="10">
        <f>'A) Base RI'!AO303</f>
        <v>-4939.18</v>
      </c>
      <c r="E303" s="32">
        <f>'A) Base RI'!AP303</f>
        <v>0</v>
      </c>
      <c r="F303" s="32">
        <f>'A) Base RI'!AQ303</f>
        <v>0</v>
      </c>
      <c r="G303" s="2">
        <f t="shared" si="28"/>
        <v>404420.66</v>
      </c>
      <c r="H303" s="10">
        <f>+'A) Base RI'!E303</f>
        <v>0</v>
      </c>
      <c r="I303" s="10">
        <f>+'A) Base RI'!F303</f>
        <v>1160</v>
      </c>
      <c r="J303" s="10">
        <f>+'A) Base RI'!G303+'A) Base RI'!H303</f>
        <v>4885.5</v>
      </c>
      <c r="K303" s="10">
        <f>+'A) Base RI'!I303</f>
        <v>0</v>
      </c>
      <c r="L303" s="10">
        <f>+'A) Base RI'!J303</f>
        <v>715.55</v>
      </c>
      <c r="M303" s="10">
        <f>+'A) Base RI'!K303</f>
        <v>0</v>
      </c>
      <c r="N303" s="10">
        <f>+'A) Base RI'!Q303</f>
        <v>0</v>
      </c>
      <c r="O303" s="10">
        <f t="shared" si="29"/>
        <v>30671</v>
      </c>
      <c r="P303" s="10">
        <f>+'A) Base RI'!L303</f>
        <v>30671</v>
      </c>
      <c r="Q303" s="35">
        <f>'A) Base RI'!AR303</f>
        <v>1</v>
      </c>
      <c r="R303" s="2">
        <f t="shared" si="30"/>
        <v>441852.70999999996</v>
      </c>
      <c r="S303" s="34">
        <f>+'A) Base RI'!AM303</f>
        <v>79</v>
      </c>
      <c r="T303" s="2">
        <f t="shared" si="31"/>
        <v>410021.70999999996</v>
      </c>
      <c r="U303" s="2">
        <f t="shared" si="32"/>
        <v>5593.0722784810123</v>
      </c>
      <c r="V303" s="10">
        <f>+'A) Base RI'!O303</f>
        <v>24832.55</v>
      </c>
      <c r="W303" s="10">
        <f>+'A) Base RI'!P303</f>
        <v>121</v>
      </c>
      <c r="X303" s="10">
        <f>+'A) Base RI'!R303</f>
        <v>6772.55</v>
      </c>
      <c r="Y303" s="2">
        <f t="shared" si="33"/>
        <v>31726.1</v>
      </c>
      <c r="Z303" s="10">
        <f>+'A) Base RI'!N303</f>
        <v>31078.1</v>
      </c>
      <c r="AA303" s="10">
        <f>+'A) Base RI'!S303+'A) Base RI'!T303</f>
        <v>556.4</v>
      </c>
      <c r="AB303" s="10">
        <f>+'A) Base RI'!U303</f>
        <v>2200</v>
      </c>
      <c r="AC303" s="10">
        <f>+'A) Base RI'!V303</f>
        <v>0</v>
      </c>
      <c r="AD303" s="10">
        <f>+'A) Base RI'!W303</f>
        <v>0</v>
      </c>
      <c r="AE303" s="10">
        <f>+'A) Base RI'!Y303</f>
        <v>0</v>
      </c>
      <c r="AF303" s="10">
        <f>+'A) Base RI'!Z303</f>
        <v>4900</v>
      </c>
      <c r="AG303" s="10">
        <f>+'A) Base RI'!AA303</f>
        <v>37989</v>
      </c>
      <c r="AH303" s="10">
        <f>+'A) Base RI'!AB303</f>
        <v>0</v>
      </c>
      <c r="AI303" s="10">
        <f>+'A) Base RI'!AC303</f>
        <v>13129.6</v>
      </c>
      <c r="AJ303" s="10">
        <f>+'A) Base RI'!AD303</f>
        <v>0</v>
      </c>
      <c r="AK303" s="10">
        <f>+'A) Base RI'!AE303</f>
        <v>0</v>
      </c>
      <c r="AL303" s="10">
        <f>+'A) Base RI'!AF303</f>
        <v>0</v>
      </c>
      <c r="AM303" s="10">
        <f>+'A) Base RI'!AG303</f>
        <v>0</v>
      </c>
      <c r="AN303" s="10">
        <f>+'A) Base RI'!AH303</f>
        <v>0</v>
      </c>
      <c r="AO303" s="10">
        <f>+'A) Base RI'!AI303</f>
        <v>0</v>
      </c>
      <c r="AP303" s="10">
        <f>+'A) Base RI'!AJ303</f>
        <v>0</v>
      </c>
      <c r="AQ303" s="10">
        <f>+'A) Base RI'!AK303</f>
        <v>0</v>
      </c>
      <c r="AR303" s="10">
        <f>'A) Base RI'!AN303</f>
        <v>196</v>
      </c>
    </row>
    <row r="304" spans="1:44" x14ac:dyDescent="0.25">
      <c r="A304" s="8">
        <f>'A) Base RI'!A304</f>
        <v>5926</v>
      </c>
      <c r="B304" s="33" t="str">
        <f>'A) Base RI'!B304</f>
        <v>Pomy</v>
      </c>
      <c r="C304" s="10">
        <f>'A) Base RI'!C304+'A) Base RI'!D304</f>
        <v>1763369.71</v>
      </c>
      <c r="D304" s="10">
        <f>'A) Base RI'!AO304</f>
        <v>-8745.7099999999991</v>
      </c>
      <c r="E304" s="32">
        <f>'A) Base RI'!AP304</f>
        <v>0</v>
      </c>
      <c r="F304" s="32">
        <f>'A) Base RI'!AQ304</f>
        <v>-189.99</v>
      </c>
      <c r="G304" s="2">
        <f t="shared" si="28"/>
        <v>1754434.01</v>
      </c>
      <c r="H304" s="10">
        <f>+'A) Base RI'!E304</f>
        <v>0</v>
      </c>
      <c r="I304" s="10">
        <f>+'A) Base RI'!F304</f>
        <v>0</v>
      </c>
      <c r="J304" s="10">
        <f>+'A) Base RI'!G304+'A) Base RI'!H304</f>
        <v>5054.75</v>
      </c>
      <c r="K304" s="10">
        <f>+'A) Base RI'!I304</f>
        <v>0</v>
      </c>
      <c r="L304" s="10">
        <f>+'A) Base RI'!J304</f>
        <v>9575.85</v>
      </c>
      <c r="M304" s="10">
        <f>+'A) Base RI'!K304</f>
        <v>0</v>
      </c>
      <c r="N304" s="10">
        <f>+'A) Base RI'!Q304</f>
        <v>0</v>
      </c>
      <c r="O304" s="10">
        <f t="shared" si="29"/>
        <v>120388.5</v>
      </c>
      <c r="P304" s="10">
        <f>+'A) Base RI'!L304</f>
        <v>120388.5</v>
      </c>
      <c r="Q304" s="35">
        <f>'A) Base RI'!AR304</f>
        <v>1</v>
      </c>
      <c r="R304" s="2">
        <f t="shared" si="30"/>
        <v>1889453.11</v>
      </c>
      <c r="S304" s="34">
        <f>+'A) Base RI'!AM304</f>
        <v>71</v>
      </c>
      <c r="T304" s="2">
        <f t="shared" si="31"/>
        <v>1769064.61</v>
      </c>
      <c r="U304" s="2">
        <f t="shared" si="32"/>
        <v>26612.015633802817</v>
      </c>
      <c r="V304" s="10">
        <f>+'A) Base RI'!O304</f>
        <v>5601.9</v>
      </c>
      <c r="W304" s="10">
        <f>+'A) Base RI'!P304</f>
        <v>21082.85</v>
      </c>
      <c r="X304" s="10">
        <f>+'A) Base RI'!R304</f>
        <v>25344.85</v>
      </c>
      <c r="Y304" s="2">
        <f t="shared" si="33"/>
        <v>52029.599999999999</v>
      </c>
      <c r="Z304" s="10">
        <f>+'A) Base RI'!N304</f>
        <v>7673.7</v>
      </c>
      <c r="AA304" s="10">
        <f>+'A) Base RI'!S304+'A) Base RI'!T304</f>
        <v>800</v>
      </c>
      <c r="AB304" s="10">
        <f>+'A) Base RI'!U304</f>
        <v>4000</v>
      </c>
      <c r="AC304" s="10">
        <f>+'A) Base RI'!V304</f>
        <v>0</v>
      </c>
      <c r="AD304" s="10">
        <f>+'A) Base RI'!W304</f>
        <v>297</v>
      </c>
      <c r="AE304" s="10">
        <f>+'A) Base RI'!Y304</f>
        <v>-12091</v>
      </c>
      <c r="AF304" s="10">
        <f>+'A) Base RI'!Z304</f>
        <v>0</v>
      </c>
      <c r="AG304" s="10">
        <f>+'A) Base RI'!AA304</f>
        <v>50271.95</v>
      </c>
      <c r="AH304" s="10">
        <f>+'A) Base RI'!AB304</f>
        <v>0</v>
      </c>
      <c r="AI304" s="10">
        <f>+'A) Base RI'!AC304</f>
        <v>27665.7</v>
      </c>
      <c r="AJ304" s="10">
        <f>+'A) Base RI'!AD304</f>
        <v>-12791</v>
      </c>
      <c r="AK304" s="10">
        <f>+'A) Base RI'!AE304</f>
        <v>5668.75</v>
      </c>
      <c r="AL304" s="10">
        <f>+'A) Base RI'!AF304</f>
        <v>0</v>
      </c>
      <c r="AM304" s="10">
        <f>+'A) Base RI'!AG304</f>
        <v>2806.75</v>
      </c>
      <c r="AN304" s="10">
        <f>+'A) Base RI'!AH304</f>
        <v>0</v>
      </c>
      <c r="AO304" s="10">
        <f>+'A) Base RI'!AI304</f>
        <v>0</v>
      </c>
      <c r="AP304" s="10">
        <f>+'A) Base RI'!AJ304</f>
        <v>0</v>
      </c>
      <c r="AQ304" s="10">
        <f>+'A) Base RI'!AK304</f>
        <v>0</v>
      </c>
      <c r="AR304" s="10">
        <f>'A) Base RI'!AN304</f>
        <v>780</v>
      </c>
    </row>
    <row r="305" spans="1:44" x14ac:dyDescent="0.25">
      <c r="A305" s="8">
        <f>'A) Base RI'!A305</f>
        <v>5928</v>
      </c>
      <c r="B305" s="33" t="str">
        <f>'A) Base RI'!B305</f>
        <v>Rovray</v>
      </c>
      <c r="C305" s="10">
        <f>'A) Base RI'!C305+'A) Base RI'!D305</f>
        <v>299498.78999999998</v>
      </c>
      <c r="D305" s="10">
        <f>'A) Base RI'!AO305</f>
        <v>-4699.6099999999997</v>
      </c>
      <c r="E305" s="32">
        <f>'A) Base RI'!AP305</f>
        <v>0</v>
      </c>
      <c r="F305" s="32">
        <f>'A) Base RI'!AQ305</f>
        <v>-0.33</v>
      </c>
      <c r="G305" s="2">
        <f t="shared" si="28"/>
        <v>294798.84999999998</v>
      </c>
      <c r="H305" s="10">
        <f>+'A) Base RI'!E305</f>
        <v>0</v>
      </c>
      <c r="I305" s="10">
        <f>+'A) Base RI'!F305</f>
        <v>0</v>
      </c>
      <c r="J305" s="10">
        <f>+'A) Base RI'!G305+'A) Base RI'!H305</f>
        <v>432.65</v>
      </c>
      <c r="K305" s="10">
        <f>+'A) Base RI'!I305</f>
        <v>0</v>
      </c>
      <c r="L305" s="10">
        <f>+'A) Base RI'!J305</f>
        <v>236.96</v>
      </c>
      <c r="M305" s="10">
        <f>+'A) Base RI'!K305</f>
        <v>0</v>
      </c>
      <c r="N305" s="10">
        <f>+'A) Base RI'!Q305</f>
        <v>0</v>
      </c>
      <c r="O305" s="10">
        <f t="shared" si="29"/>
        <v>20913.400000000001</v>
      </c>
      <c r="P305" s="10">
        <f>+'A) Base RI'!L305</f>
        <v>20913.400000000001</v>
      </c>
      <c r="Q305" s="35">
        <f>'A) Base RI'!AR305</f>
        <v>1</v>
      </c>
      <c r="R305" s="2">
        <f t="shared" si="30"/>
        <v>316381.86000000004</v>
      </c>
      <c r="S305" s="34">
        <f>+'A) Base RI'!AM305</f>
        <v>73</v>
      </c>
      <c r="T305" s="2">
        <f t="shared" si="31"/>
        <v>295468.46000000002</v>
      </c>
      <c r="U305" s="2">
        <f t="shared" si="32"/>
        <v>4333.9980821917816</v>
      </c>
      <c r="V305" s="10">
        <f>+'A) Base RI'!O305</f>
        <v>21366.400000000001</v>
      </c>
      <c r="W305" s="10">
        <f>+'A) Base RI'!P305</f>
        <v>880</v>
      </c>
      <c r="X305" s="10">
        <f>+'A) Base RI'!R305</f>
        <v>3881.3</v>
      </c>
      <c r="Y305" s="2">
        <f t="shared" si="33"/>
        <v>26127.7</v>
      </c>
      <c r="Z305" s="10">
        <f>+'A) Base RI'!N305</f>
        <v>3919.1</v>
      </c>
      <c r="AA305" s="10">
        <f>+'A) Base RI'!S305+'A) Base RI'!T305</f>
        <v>0</v>
      </c>
      <c r="AB305" s="10">
        <f>+'A) Base RI'!U305</f>
        <v>1530</v>
      </c>
      <c r="AC305" s="10">
        <f>+'A) Base RI'!V305</f>
        <v>0</v>
      </c>
      <c r="AD305" s="10">
        <f>+'A) Base RI'!W305</f>
        <v>0</v>
      </c>
      <c r="AE305" s="10">
        <f>+'A) Base RI'!Y305</f>
        <v>0</v>
      </c>
      <c r="AF305" s="10">
        <f>+'A) Base RI'!Z305</f>
        <v>2000</v>
      </c>
      <c r="AG305" s="10">
        <f>+'A) Base RI'!AA305</f>
        <v>31716.7</v>
      </c>
      <c r="AH305" s="10">
        <f>+'A) Base RI'!AB305</f>
        <v>0</v>
      </c>
      <c r="AI305" s="10">
        <f>+'A) Base RI'!AC305</f>
        <v>8290.2000000000007</v>
      </c>
      <c r="AJ305" s="10">
        <f>+'A) Base RI'!AD305</f>
        <v>0</v>
      </c>
      <c r="AK305" s="10">
        <f>+'A) Base RI'!AE305</f>
        <v>1000</v>
      </c>
      <c r="AL305" s="10">
        <f>+'A) Base RI'!AF305</f>
        <v>0</v>
      </c>
      <c r="AM305" s="10">
        <f>+'A) Base RI'!AG305</f>
        <v>0</v>
      </c>
      <c r="AN305" s="10">
        <f>+'A) Base RI'!AH305</f>
        <v>0</v>
      </c>
      <c r="AO305" s="10">
        <f>+'A) Base RI'!AI305</f>
        <v>0</v>
      </c>
      <c r="AP305" s="10">
        <f>+'A) Base RI'!AJ305</f>
        <v>0</v>
      </c>
      <c r="AQ305" s="10">
        <f>+'A) Base RI'!AK305</f>
        <v>0</v>
      </c>
      <c r="AR305" s="10">
        <f>'A) Base RI'!AN305</f>
        <v>180</v>
      </c>
    </row>
    <row r="306" spans="1:44" x14ac:dyDescent="0.25">
      <c r="A306" s="8">
        <f>'A) Base RI'!A306</f>
        <v>5929</v>
      </c>
      <c r="B306" s="33" t="str">
        <f>'A) Base RI'!B306</f>
        <v>Suchy</v>
      </c>
      <c r="C306" s="10">
        <f>'A) Base RI'!C306+'A) Base RI'!D306</f>
        <v>1060841.25</v>
      </c>
      <c r="D306" s="10">
        <f>'A) Base RI'!AO306</f>
        <v>-24213.96</v>
      </c>
      <c r="E306" s="32">
        <f>'A) Base RI'!AP306</f>
        <v>0</v>
      </c>
      <c r="F306" s="32">
        <f>'A) Base RI'!AQ306</f>
        <v>-15.07</v>
      </c>
      <c r="G306" s="2">
        <f t="shared" si="28"/>
        <v>1036612.2200000001</v>
      </c>
      <c r="H306" s="10">
        <f>+'A) Base RI'!E306</f>
        <v>0</v>
      </c>
      <c r="I306" s="10">
        <f>+'A) Base RI'!F306</f>
        <v>0</v>
      </c>
      <c r="J306" s="10">
        <f>+'A) Base RI'!G306+'A) Base RI'!H306</f>
        <v>6286.2</v>
      </c>
      <c r="K306" s="10">
        <f>+'A) Base RI'!I306</f>
        <v>41100.15</v>
      </c>
      <c r="L306" s="10">
        <f>+'A) Base RI'!J306</f>
        <v>10957.02</v>
      </c>
      <c r="M306" s="10">
        <f>+'A) Base RI'!K306</f>
        <v>0</v>
      </c>
      <c r="N306" s="10">
        <f>+'A) Base RI'!Q306</f>
        <v>91.08</v>
      </c>
      <c r="O306" s="10">
        <f t="shared" si="29"/>
        <v>105368.8125</v>
      </c>
      <c r="P306" s="10">
        <f>+'A) Base RI'!L306</f>
        <v>84295.05</v>
      </c>
      <c r="Q306" s="35">
        <f>'A) Base RI'!AR306</f>
        <v>0.8</v>
      </c>
      <c r="R306" s="2">
        <f t="shared" si="30"/>
        <v>1200415.4825000002</v>
      </c>
      <c r="S306" s="34">
        <f>+'A) Base RI'!AM306</f>
        <v>70</v>
      </c>
      <c r="T306" s="2">
        <f t="shared" si="31"/>
        <v>1095046.6700000002</v>
      </c>
      <c r="U306" s="2">
        <f t="shared" si="32"/>
        <v>17148.792607142859</v>
      </c>
      <c r="V306" s="10">
        <f>+'A) Base RI'!O306</f>
        <v>11616</v>
      </c>
      <c r="W306" s="10">
        <f>+'A) Base RI'!P306</f>
        <v>45410.8</v>
      </c>
      <c r="X306" s="10">
        <f>+'A) Base RI'!R306</f>
        <v>38356.050000000003</v>
      </c>
      <c r="Y306" s="2">
        <f t="shared" si="33"/>
        <v>95382.85</v>
      </c>
      <c r="Z306" s="10">
        <f>+'A) Base RI'!N306</f>
        <v>3741.4</v>
      </c>
      <c r="AA306" s="10">
        <f>+'A) Base RI'!S306+'A) Base RI'!T306</f>
        <v>376.6</v>
      </c>
      <c r="AB306" s="10">
        <f>+'A) Base RI'!U306</f>
        <v>1650</v>
      </c>
      <c r="AC306" s="10">
        <f>+'A) Base RI'!V306</f>
        <v>0</v>
      </c>
      <c r="AD306" s="10">
        <f>+'A) Base RI'!W306</f>
        <v>0</v>
      </c>
      <c r="AE306" s="10">
        <f>+'A) Base RI'!Y306</f>
        <v>14523.9</v>
      </c>
      <c r="AF306" s="10">
        <f>+'A) Base RI'!Z306</f>
        <v>0</v>
      </c>
      <c r="AG306" s="10">
        <f>+'A) Base RI'!AA306</f>
        <v>221653</v>
      </c>
      <c r="AH306" s="10">
        <f>+'A) Base RI'!AB306</f>
        <v>0</v>
      </c>
      <c r="AI306" s="10">
        <f>+'A) Base RI'!AC306</f>
        <v>41934.9</v>
      </c>
      <c r="AJ306" s="10">
        <f>+'A) Base RI'!AD306</f>
        <v>0</v>
      </c>
      <c r="AK306" s="10">
        <f>+'A) Base RI'!AE306</f>
        <v>0</v>
      </c>
      <c r="AL306" s="10">
        <f>+'A) Base RI'!AF306</f>
        <v>0</v>
      </c>
      <c r="AM306" s="10">
        <f>+'A) Base RI'!AG306</f>
        <v>0</v>
      </c>
      <c r="AN306" s="10">
        <f>+'A) Base RI'!AH306</f>
        <v>11657.55</v>
      </c>
      <c r="AO306" s="10">
        <f>+'A) Base RI'!AI306</f>
        <v>0</v>
      </c>
      <c r="AP306" s="10">
        <f>+'A) Base RI'!AJ306</f>
        <v>0</v>
      </c>
      <c r="AQ306" s="10">
        <f>+'A) Base RI'!AK306</f>
        <v>0</v>
      </c>
      <c r="AR306" s="10">
        <f>'A) Base RI'!AN306</f>
        <v>599</v>
      </c>
    </row>
    <row r="307" spans="1:44" x14ac:dyDescent="0.25">
      <c r="A307" s="8">
        <f>'A) Base RI'!A307</f>
        <v>5930</v>
      </c>
      <c r="B307" s="33" t="str">
        <f>'A) Base RI'!B307</f>
        <v>Suscévaz</v>
      </c>
      <c r="C307" s="10">
        <f>'A) Base RI'!C307+'A) Base RI'!D307</f>
        <v>384324.15</v>
      </c>
      <c r="D307" s="10">
        <f>'A) Base RI'!AO307</f>
        <v>-214.06</v>
      </c>
      <c r="E307" s="32">
        <f>'A) Base RI'!AP307</f>
        <v>0</v>
      </c>
      <c r="F307" s="32">
        <f>'A) Base RI'!AQ307</f>
        <v>0</v>
      </c>
      <c r="G307" s="2">
        <f t="shared" si="28"/>
        <v>384110.09</v>
      </c>
      <c r="H307" s="10">
        <f>+'A) Base RI'!E307</f>
        <v>0</v>
      </c>
      <c r="I307" s="10">
        <f>+'A) Base RI'!F307</f>
        <v>0</v>
      </c>
      <c r="J307" s="10">
        <f>+'A) Base RI'!G307+'A) Base RI'!H307</f>
        <v>9491.1500000000015</v>
      </c>
      <c r="K307" s="10">
        <f>+'A) Base RI'!I307</f>
        <v>0</v>
      </c>
      <c r="L307" s="10">
        <f>+'A) Base RI'!J307</f>
        <v>4218.47</v>
      </c>
      <c r="M307" s="10">
        <f>+'A) Base RI'!K307</f>
        <v>228.6</v>
      </c>
      <c r="N307" s="10">
        <f>+'A) Base RI'!Q307</f>
        <v>0</v>
      </c>
      <c r="O307" s="10">
        <f t="shared" si="29"/>
        <v>27268.400000000001</v>
      </c>
      <c r="P307" s="10">
        <f>+'A) Base RI'!L307</f>
        <v>27268.400000000001</v>
      </c>
      <c r="Q307" s="35">
        <f>'A) Base RI'!AR307</f>
        <v>1</v>
      </c>
      <c r="R307" s="2">
        <f t="shared" si="30"/>
        <v>425316.71</v>
      </c>
      <c r="S307" s="34">
        <f>+'A) Base RI'!AM307</f>
        <v>72</v>
      </c>
      <c r="T307" s="2">
        <f t="shared" si="31"/>
        <v>397819.71</v>
      </c>
      <c r="U307" s="2">
        <f t="shared" si="32"/>
        <v>5907.1765277777777</v>
      </c>
      <c r="V307" s="10">
        <f>+'A) Base RI'!O307</f>
        <v>0</v>
      </c>
      <c r="W307" s="10">
        <f>+'A) Base RI'!P307</f>
        <v>28454.1</v>
      </c>
      <c r="X307" s="10">
        <f>+'A) Base RI'!R307</f>
        <v>28608.799999999999</v>
      </c>
      <c r="Y307" s="2">
        <f t="shared" si="33"/>
        <v>57062.899999999994</v>
      </c>
      <c r="Z307" s="10">
        <f>+'A) Base RI'!N307</f>
        <v>7063.35</v>
      </c>
      <c r="AA307" s="10">
        <f>+'A) Base RI'!S307+'A) Base RI'!T307</f>
        <v>50</v>
      </c>
      <c r="AB307" s="10">
        <f>+'A) Base RI'!U307</f>
        <v>540</v>
      </c>
      <c r="AC307" s="10">
        <f>+'A) Base RI'!V307</f>
        <v>0</v>
      </c>
      <c r="AD307" s="10">
        <f>+'A) Base RI'!W307</f>
        <v>1120</v>
      </c>
      <c r="AE307" s="10">
        <f>+'A) Base RI'!Y307</f>
        <v>0</v>
      </c>
      <c r="AF307" s="10">
        <f>+'A) Base RI'!Z307</f>
        <v>0</v>
      </c>
      <c r="AG307" s="10">
        <f>+'A) Base RI'!AA307</f>
        <v>17929.150000000001</v>
      </c>
      <c r="AH307" s="10">
        <f>+'A) Base RI'!AB307</f>
        <v>0</v>
      </c>
      <c r="AI307" s="10">
        <f>+'A) Base RI'!AC307</f>
        <v>7999.95</v>
      </c>
      <c r="AJ307" s="10">
        <f>+'A) Base RI'!AD307</f>
        <v>-1068.8</v>
      </c>
      <c r="AK307" s="10">
        <f>+'A) Base RI'!AE307</f>
        <v>0</v>
      </c>
      <c r="AL307" s="10">
        <f>+'A) Base RI'!AF307</f>
        <v>0</v>
      </c>
      <c r="AM307" s="10">
        <f>+'A) Base RI'!AG307</f>
        <v>0</v>
      </c>
      <c r="AN307" s="10">
        <f>+'A) Base RI'!AH307</f>
        <v>0</v>
      </c>
      <c r="AO307" s="10">
        <f>+'A) Base RI'!AI307</f>
        <v>0</v>
      </c>
      <c r="AP307" s="10">
        <f>+'A) Base RI'!AJ307</f>
        <v>0</v>
      </c>
      <c r="AQ307" s="10">
        <f>+'A) Base RI'!AK307</f>
        <v>0</v>
      </c>
      <c r="AR307" s="10">
        <f>'A) Base RI'!AN307</f>
        <v>213</v>
      </c>
    </row>
    <row r="308" spans="1:44" x14ac:dyDescent="0.25">
      <c r="A308" s="8">
        <f>'A) Base RI'!A308</f>
        <v>5931</v>
      </c>
      <c r="B308" s="33" t="str">
        <f>'A) Base RI'!B308</f>
        <v>Treycovagnes</v>
      </c>
      <c r="C308" s="10">
        <f>'A) Base RI'!C308+'A) Base RI'!D308</f>
        <v>896967.03</v>
      </c>
      <c r="D308" s="10">
        <f>'A) Base RI'!AO308</f>
        <v>-9008.5300000000007</v>
      </c>
      <c r="E308" s="32">
        <f>'A) Base RI'!AP308</f>
        <v>0</v>
      </c>
      <c r="F308" s="32">
        <f>'A) Base RI'!AQ308</f>
        <v>-1.37</v>
      </c>
      <c r="G308" s="2">
        <f t="shared" si="28"/>
        <v>887957.13</v>
      </c>
      <c r="H308" s="10">
        <f>+'A) Base RI'!E308</f>
        <v>0</v>
      </c>
      <c r="I308" s="10">
        <f>+'A) Base RI'!F308</f>
        <v>0</v>
      </c>
      <c r="J308" s="10">
        <f>+'A) Base RI'!G308+'A) Base RI'!H308</f>
        <v>1492.9499999999998</v>
      </c>
      <c r="K308" s="10">
        <f>+'A) Base RI'!I308</f>
        <v>0</v>
      </c>
      <c r="L308" s="10">
        <f>+'A) Base RI'!J308</f>
        <v>11564.76</v>
      </c>
      <c r="M308" s="10">
        <f>+'A) Base RI'!K308</f>
        <v>781.4</v>
      </c>
      <c r="N308" s="10">
        <f>+'A) Base RI'!Q308</f>
        <v>-680.68</v>
      </c>
      <c r="O308" s="10">
        <f t="shared" si="29"/>
        <v>71864</v>
      </c>
      <c r="P308" s="10">
        <f>+'A) Base RI'!L308</f>
        <v>71864</v>
      </c>
      <c r="Q308" s="35">
        <f>'A) Base RI'!AR308</f>
        <v>1</v>
      </c>
      <c r="R308" s="2">
        <f t="shared" si="30"/>
        <v>972979.55999999994</v>
      </c>
      <c r="S308" s="34">
        <f>+'A) Base RI'!AM308</f>
        <v>75</v>
      </c>
      <c r="T308" s="2">
        <f t="shared" si="31"/>
        <v>900334.15999999992</v>
      </c>
      <c r="U308" s="2">
        <f t="shared" si="32"/>
        <v>12973.060799999999</v>
      </c>
      <c r="V308" s="10">
        <f>+'A) Base RI'!O308</f>
        <v>7000</v>
      </c>
      <c r="W308" s="10">
        <f>+'A) Base RI'!P308</f>
        <v>29945.45</v>
      </c>
      <c r="X308" s="10">
        <f>+'A) Base RI'!R308</f>
        <v>27689.9</v>
      </c>
      <c r="Y308" s="2">
        <f t="shared" si="33"/>
        <v>64635.35</v>
      </c>
      <c r="Z308" s="10">
        <f>+'A) Base RI'!N308</f>
        <v>7347.25</v>
      </c>
      <c r="AA308" s="10">
        <f>+'A) Base RI'!S308+'A) Base RI'!T308</f>
        <v>300</v>
      </c>
      <c r="AB308" s="10">
        <f>+'A) Base RI'!U308</f>
        <v>3250</v>
      </c>
      <c r="AC308" s="10">
        <f>+'A) Base RI'!V308</f>
        <v>0</v>
      </c>
      <c r="AD308" s="10">
        <f>+'A) Base RI'!W308</f>
        <v>0</v>
      </c>
      <c r="AE308" s="10">
        <f>+'A) Base RI'!Y308</f>
        <v>16000</v>
      </c>
      <c r="AF308" s="10">
        <f>+'A) Base RI'!Z308</f>
        <v>0</v>
      </c>
      <c r="AG308" s="10">
        <f>+'A) Base RI'!AA308</f>
        <v>72255.100000000006</v>
      </c>
      <c r="AH308" s="10">
        <f>+'A) Base RI'!AB308</f>
        <v>0</v>
      </c>
      <c r="AI308" s="10">
        <f>+'A) Base RI'!AC308</f>
        <v>38772.25</v>
      </c>
      <c r="AJ308" s="10">
        <f>+'A) Base RI'!AD308</f>
        <v>14028</v>
      </c>
      <c r="AK308" s="10">
        <f>+'A) Base RI'!AE308</f>
        <v>0</v>
      </c>
      <c r="AL308" s="10">
        <f>+'A) Base RI'!AF308</f>
        <v>0</v>
      </c>
      <c r="AM308" s="10">
        <f>+'A) Base RI'!AG308</f>
        <v>150</v>
      </c>
      <c r="AN308" s="10">
        <f>+'A) Base RI'!AH308</f>
        <v>14768.25</v>
      </c>
      <c r="AO308" s="10">
        <f>+'A) Base RI'!AI308</f>
        <v>0</v>
      </c>
      <c r="AP308" s="10">
        <f>+'A) Base RI'!AJ308</f>
        <v>0</v>
      </c>
      <c r="AQ308" s="10">
        <f>+'A) Base RI'!AK308</f>
        <v>0</v>
      </c>
      <c r="AR308" s="10">
        <f>'A) Base RI'!AN308</f>
        <v>480</v>
      </c>
    </row>
    <row r="309" spans="1:44" x14ac:dyDescent="0.25">
      <c r="A309" s="8">
        <f>'A) Base RI'!A309</f>
        <v>5932</v>
      </c>
      <c r="B309" s="33" t="str">
        <f>'A) Base RI'!B309</f>
        <v>Ursins</v>
      </c>
      <c r="C309" s="10">
        <f>'A) Base RI'!C309+'A) Base RI'!D309</f>
        <v>497168.41000000003</v>
      </c>
      <c r="D309" s="10">
        <f>'A) Base RI'!AO309</f>
        <v>-17045.36</v>
      </c>
      <c r="E309" s="32">
        <f>'A) Base RI'!AP309</f>
        <v>-30909.35</v>
      </c>
      <c r="F309" s="32">
        <f>'A) Base RI'!AQ309</f>
        <v>0</v>
      </c>
      <c r="G309" s="2">
        <f t="shared" si="28"/>
        <v>449213.70000000007</v>
      </c>
      <c r="H309" s="10">
        <f>+'A) Base RI'!E309</f>
        <v>0</v>
      </c>
      <c r="I309" s="10">
        <f>+'A) Base RI'!F309</f>
        <v>1180</v>
      </c>
      <c r="J309" s="10">
        <f>+'A) Base RI'!G309+'A) Base RI'!H309</f>
        <v>198.25</v>
      </c>
      <c r="K309" s="10">
        <f>+'A) Base RI'!I309</f>
        <v>30322.15</v>
      </c>
      <c r="L309" s="10">
        <f>+'A) Base RI'!J309</f>
        <v>3399.58</v>
      </c>
      <c r="M309" s="10">
        <f>+'A) Base RI'!K309</f>
        <v>131.5</v>
      </c>
      <c r="N309" s="10">
        <f>+'A) Base RI'!Q309</f>
        <v>0</v>
      </c>
      <c r="O309" s="10">
        <f t="shared" si="29"/>
        <v>30170.7</v>
      </c>
      <c r="P309" s="10">
        <f>+'A) Base RI'!L309</f>
        <v>30170.7</v>
      </c>
      <c r="Q309" s="35">
        <f>'A) Base RI'!AR309</f>
        <v>1</v>
      </c>
      <c r="R309" s="2">
        <f t="shared" si="30"/>
        <v>514615.88000000012</v>
      </c>
      <c r="S309" s="34">
        <f>+'A) Base RI'!AM309</f>
        <v>77</v>
      </c>
      <c r="T309" s="2">
        <f t="shared" si="31"/>
        <v>483133.68000000011</v>
      </c>
      <c r="U309" s="2">
        <f t="shared" si="32"/>
        <v>6683.323116883118</v>
      </c>
      <c r="V309" s="10">
        <f>+'A) Base RI'!O309</f>
        <v>767</v>
      </c>
      <c r="W309" s="10">
        <f>+'A) Base RI'!P309</f>
        <v>4180</v>
      </c>
      <c r="X309" s="10">
        <f>+'A) Base RI'!R309</f>
        <v>42340.800000000003</v>
      </c>
      <c r="Y309" s="2">
        <f t="shared" si="33"/>
        <v>47287.8</v>
      </c>
      <c r="Z309" s="10">
        <f>+'A) Base RI'!N309</f>
        <v>0</v>
      </c>
      <c r="AA309" s="10">
        <f>+'A) Base RI'!S309+'A) Base RI'!T309</f>
        <v>820</v>
      </c>
      <c r="AB309" s="10">
        <f>+'A) Base RI'!U309</f>
        <v>1000</v>
      </c>
      <c r="AC309" s="10">
        <f>+'A) Base RI'!V309</f>
        <v>0</v>
      </c>
      <c r="AD309" s="10">
        <f>+'A) Base RI'!W309</f>
        <v>0</v>
      </c>
      <c r="AE309" s="10">
        <f>+'A) Base RI'!Y309</f>
        <v>7875</v>
      </c>
      <c r="AF309" s="10" t="str">
        <f>+'A) Base RI'!Z309</f>
        <v/>
      </c>
      <c r="AG309" s="10">
        <f>+'A) Base RI'!AA309</f>
        <v>14310.05</v>
      </c>
      <c r="AH309" s="10" t="str">
        <f>+'A) Base RI'!AB309</f>
        <v/>
      </c>
      <c r="AI309" s="10">
        <f>+'A) Base RI'!AC309</f>
        <v>9858.9500000000007</v>
      </c>
      <c r="AJ309" s="10">
        <f>+'A) Base RI'!AD309</f>
        <v>6843.75</v>
      </c>
      <c r="AK309" s="10" t="str">
        <f>+'A) Base RI'!AE309</f>
        <v/>
      </c>
      <c r="AL309" s="10" t="str">
        <f>+'A) Base RI'!AF309</f>
        <v/>
      </c>
      <c r="AM309" s="10" t="str">
        <f>+'A) Base RI'!AG309</f>
        <v/>
      </c>
      <c r="AN309" s="10">
        <f>+'A) Base RI'!AH309</f>
        <v>0</v>
      </c>
      <c r="AO309" s="10">
        <f>+'A) Base RI'!AI309</f>
        <v>0</v>
      </c>
      <c r="AP309" s="10">
        <f>+'A) Base RI'!AJ309</f>
        <v>0</v>
      </c>
      <c r="AQ309" s="10">
        <f>+'A) Base RI'!AK309</f>
        <v>0</v>
      </c>
      <c r="AR309" s="10">
        <f>'A) Base RI'!AN309</f>
        <v>230</v>
      </c>
    </row>
    <row r="310" spans="1:44" x14ac:dyDescent="0.25">
      <c r="A310" s="8">
        <f>'A) Base RI'!A310</f>
        <v>5933</v>
      </c>
      <c r="B310" s="33" t="str">
        <f>'A) Base RI'!B310</f>
        <v>Valeyres-sous-Montagny</v>
      </c>
      <c r="C310" s="10">
        <f>'A) Base RI'!C310+'A) Base RI'!D310</f>
        <v>1582139.24</v>
      </c>
      <c r="D310" s="10">
        <f>'A) Base RI'!AO310</f>
        <v>-32696.55</v>
      </c>
      <c r="E310" s="32">
        <f>'A) Base RI'!AP310</f>
        <v>-54537.4</v>
      </c>
      <c r="F310" s="32">
        <f>'A) Base RI'!AQ310</f>
        <v>-23.61</v>
      </c>
      <c r="G310" s="2">
        <f t="shared" si="28"/>
        <v>1494881.68</v>
      </c>
      <c r="H310" s="10">
        <f>+'A) Base RI'!E310</f>
        <v>0</v>
      </c>
      <c r="I310" s="10">
        <f>+'A) Base RI'!F310</f>
        <v>0</v>
      </c>
      <c r="J310" s="10">
        <f>+'A) Base RI'!G310+'A) Base RI'!H310</f>
        <v>-34698</v>
      </c>
      <c r="K310" s="10">
        <f>+'A) Base RI'!I310</f>
        <v>0</v>
      </c>
      <c r="L310" s="10">
        <f>+'A) Base RI'!J310</f>
        <v>31328.9</v>
      </c>
      <c r="M310" s="10">
        <f>+'A) Base RI'!K310</f>
        <v>2863.55</v>
      </c>
      <c r="N310" s="10">
        <f>+'A) Base RI'!Q310</f>
        <v>775.47</v>
      </c>
      <c r="O310" s="10">
        <f t="shared" si="29"/>
        <v>115047.15</v>
      </c>
      <c r="P310" s="10">
        <f>+'A) Base RI'!L310</f>
        <v>115047.15</v>
      </c>
      <c r="Q310" s="35">
        <f>'A) Base RI'!AR310</f>
        <v>1</v>
      </c>
      <c r="R310" s="2">
        <f t="shared" si="30"/>
        <v>1610198.7499999998</v>
      </c>
      <c r="S310" s="34">
        <f>+'A) Base RI'!AM310</f>
        <v>72</v>
      </c>
      <c r="T310" s="2">
        <f t="shared" si="31"/>
        <v>1492288.0499999998</v>
      </c>
      <c r="U310" s="2">
        <f t="shared" si="32"/>
        <v>22363.871527777774</v>
      </c>
      <c r="V310" s="10">
        <f>+'A) Base RI'!O310</f>
        <v>0</v>
      </c>
      <c r="W310" s="10">
        <f>+'A) Base RI'!P310</f>
        <v>27236.15</v>
      </c>
      <c r="X310" s="10">
        <f>+'A) Base RI'!R310</f>
        <v>59797.05</v>
      </c>
      <c r="Y310" s="2">
        <f t="shared" si="33"/>
        <v>87033.200000000012</v>
      </c>
      <c r="Z310" s="10">
        <f>+'A) Base RI'!N310</f>
        <v>11134.15</v>
      </c>
      <c r="AA310" s="10">
        <f>+'A) Base RI'!S310+'A) Base RI'!T310</f>
        <v>1876.55</v>
      </c>
      <c r="AB310" s="10">
        <f>+'A) Base RI'!U310</f>
        <v>4000</v>
      </c>
      <c r="AC310" s="10">
        <f>+'A) Base RI'!V310</f>
        <v>0</v>
      </c>
      <c r="AD310" s="10">
        <f>+'A) Base RI'!W310</f>
        <v>0</v>
      </c>
      <c r="AE310" s="10">
        <f>+'A) Base RI'!Y310</f>
        <v>9499</v>
      </c>
      <c r="AF310" s="10">
        <f>+'A) Base RI'!Z310</f>
        <v>0</v>
      </c>
      <c r="AG310" s="10">
        <f>+'A) Base RI'!AA310</f>
        <v>76606.600000000006</v>
      </c>
      <c r="AH310" s="10">
        <f>+'A) Base RI'!AB310</f>
        <v>0</v>
      </c>
      <c r="AI310" s="10">
        <f>+'A) Base RI'!AC310</f>
        <v>32637.25</v>
      </c>
      <c r="AJ310" s="10">
        <f>+'A) Base RI'!AD310</f>
        <v>5064.3</v>
      </c>
      <c r="AK310" s="10">
        <f>+'A) Base RI'!AE310</f>
        <v>0</v>
      </c>
      <c r="AL310" s="10">
        <f>+'A) Base RI'!AF310</f>
        <v>0</v>
      </c>
      <c r="AM310" s="10">
        <f>+'A) Base RI'!AG310</f>
        <v>0</v>
      </c>
      <c r="AN310" s="10">
        <f>+'A) Base RI'!AH310</f>
        <v>0</v>
      </c>
      <c r="AO310" s="10">
        <f>+'A) Base RI'!AI310</f>
        <v>0</v>
      </c>
      <c r="AP310" s="10">
        <f>+'A) Base RI'!AJ310</f>
        <v>0</v>
      </c>
      <c r="AQ310" s="10">
        <f>+'A) Base RI'!AK310</f>
        <v>0</v>
      </c>
      <c r="AR310" s="10">
        <f>'A) Base RI'!AN310</f>
        <v>708</v>
      </c>
    </row>
    <row r="311" spans="1:44" x14ac:dyDescent="0.25">
      <c r="A311" s="8">
        <f>'A) Base RI'!A311</f>
        <v>5934</v>
      </c>
      <c r="B311" s="33" t="str">
        <f>'A) Base RI'!B311</f>
        <v>Valeyres-sous-Ursins</v>
      </c>
      <c r="C311" s="10">
        <f>'A) Base RI'!C311+'A) Base RI'!D311</f>
        <v>538307.89</v>
      </c>
      <c r="D311" s="10">
        <f>'A) Base RI'!AO311</f>
        <v>-1824.64</v>
      </c>
      <c r="E311" s="32">
        <f>'A) Base RI'!AP311</f>
        <v>-1455.55</v>
      </c>
      <c r="F311" s="32">
        <f>'A) Base RI'!AQ311</f>
        <v>0</v>
      </c>
      <c r="G311" s="2">
        <f t="shared" si="28"/>
        <v>535027.69999999995</v>
      </c>
      <c r="H311" s="10">
        <f>+'A) Base RI'!E311</f>
        <v>0</v>
      </c>
      <c r="I311" s="10">
        <f>+'A) Base RI'!F311</f>
        <v>1360</v>
      </c>
      <c r="J311" s="10">
        <f>+'A) Base RI'!G311+'A) Base RI'!H311</f>
        <v>-2365.7000000000003</v>
      </c>
      <c r="K311" s="10">
        <f>+'A) Base RI'!I311</f>
        <v>0</v>
      </c>
      <c r="L311" s="10">
        <f>+'A) Base RI'!J311</f>
        <v>40631</v>
      </c>
      <c r="M311" s="10">
        <f>+'A) Base RI'!K311</f>
        <v>0</v>
      </c>
      <c r="N311" s="10">
        <f>+'A) Base RI'!Q311</f>
        <v>0</v>
      </c>
      <c r="O311" s="10">
        <f t="shared" si="29"/>
        <v>27719.3</v>
      </c>
      <c r="P311" s="10">
        <f>+'A) Base RI'!L311</f>
        <v>27719.3</v>
      </c>
      <c r="Q311" s="35">
        <f>'A) Base RI'!AR311</f>
        <v>1</v>
      </c>
      <c r="R311" s="2">
        <f t="shared" si="30"/>
        <v>602372.30000000005</v>
      </c>
      <c r="S311" s="34">
        <f>+'A) Base RI'!AM311</f>
        <v>79</v>
      </c>
      <c r="T311" s="2">
        <f t="shared" si="31"/>
        <v>573293</v>
      </c>
      <c r="U311" s="2">
        <f t="shared" si="32"/>
        <v>7624.9658227848104</v>
      </c>
      <c r="V311" s="10">
        <f>+'A) Base RI'!O311</f>
        <v>0</v>
      </c>
      <c r="W311" s="10">
        <f>+'A) Base RI'!P311</f>
        <v>0</v>
      </c>
      <c r="X311" s="10">
        <f>+'A) Base RI'!R311</f>
        <v>0</v>
      </c>
      <c r="Y311" s="2">
        <f t="shared" si="33"/>
        <v>0</v>
      </c>
      <c r="Z311" s="10">
        <f>+'A) Base RI'!N311</f>
        <v>4685</v>
      </c>
      <c r="AA311" s="10">
        <f>+'A) Base RI'!S311+'A) Base RI'!T311</f>
        <v>0</v>
      </c>
      <c r="AB311" s="10">
        <f>+'A) Base RI'!U311</f>
        <v>780</v>
      </c>
      <c r="AC311" s="10">
        <f>+'A) Base RI'!V311</f>
        <v>0</v>
      </c>
      <c r="AD311" s="10">
        <f>+'A) Base RI'!W311</f>
        <v>0</v>
      </c>
      <c r="AE311" s="10">
        <f>+'A) Base RI'!Y311</f>
        <v>7000</v>
      </c>
      <c r="AF311" s="10" t="str">
        <f>+'A) Base RI'!Z311</f>
        <v/>
      </c>
      <c r="AG311" s="10">
        <f>+'A) Base RI'!AA311</f>
        <v>29237.5</v>
      </c>
      <c r="AH311" s="10" t="str">
        <f>+'A) Base RI'!AB311</f>
        <v/>
      </c>
      <c r="AI311" s="10">
        <f>+'A) Base RI'!AC311</f>
        <v>11105</v>
      </c>
      <c r="AJ311" s="10">
        <f>+'A) Base RI'!AD311</f>
        <v>3420.7</v>
      </c>
      <c r="AK311" s="10" t="str">
        <f>+'A) Base RI'!AE311</f>
        <v/>
      </c>
      <c r="AL311" s="10" t="str">
        <f>+'A) Base RI'!AF311</f>
        <v/>
      </c>
      <c r="AM311" s="10" t="str">
        <f>+'A) Base RI'!AG311</f>
        <v/>
      </c>
      <c r="AN311" s="10">
        <f>+'A) Base RI'!AH311</f>
        <v>0</v>
      </c>
      <c r="AO311" s="10">
        <f>+'A) Base RI'!AI311</f>
        <v>0</v>
      </c>
      <c r="AP311" s="10">
        <f>+'A) Base RI'!AJ311</f>
        <v>0</v>
      </c>
      <c r="AQ311" s="10">
        <f>+'A) Base RI'!AK311</f>
        <v>0</v>
      </c>
      <c r="AR311" s="10">
        <f>'A) Base RI'!AN311</f>
        <v>232</v>
      </c>
    </row>
    <row r="312" spans="1:44" x14ac:dyDescent="0.25">
      <c r="A312" s="8">
        <f>'A) Base RI'!A312</f>
        <v>5935</v>
      </c>
      <c r="B312" s="33" t="str">
        <f>'A) Base RI'!B312</f>
        <v>Villars-Epeney</v>
      </c>
      <c r="C312" s="10">
        <f>'A) Base RI'!C312+'A) Base RI'!D312</f>
        <v>315840.03000000003</v>
      </c>
      <c r="D312" s="10">
        <f>'A) Base RI'!AO312</f>
        <v>-28.89</v>
      </c>
      <c r="E312" s="32">
        <f>'A) Base RI'!AP312</f>
        <v>0</v>
      </c>
      <c r="F312" s="32">
        <f>'A) Base RI'!AQ312</f>
        <v>0</v>
      </c>
      <c r="G312" s="2">
        <f t="shared" si="28"/>
        <v>315811.14</v>
      </c>
      <c r="H312" s="10">
        <f>+'A) Base RI'!E312</f>
        <v>0</v>
      </c>
      <c r="I312" s="10">
        <f>+'A) Base RI'!F312</f>
        <v>0</v>
      </c>
      <c r="J312" s="10">
        <f>+'A) Base RI'!G312+'A) Base RI'!H312</f>
        <v>1638.25</v>
      </c>
      <c r="K312" s="10">
        <f>+'A) Base RI'!I312</f>
        <v>0</v>
      </c>
      <c r="L312" s="10">
        <f>+'A) Base RI'!J312</f>
        <v>52.62</v>
      </c>
      <c r="M312" s="10">
        <f>+'A) Base RI'!K312</f>
        <v>0</v>
      </c>
      <c r="N312" s="10">
        <f>+'A) Base RI'!Q312</f>
        <v>0</v>
      </c>
      <c r="O312" s="10">
        <f t="shared" si="29"/>
        <v>18717.95</v>
      </c>
      <c r="P312" s="10">
        <f>+'A) Base RI'!L312</f>
        <v>18717.95</v>
      </c>
      <c r="Q312" s="35">
        <f>'A) Base RI'!AR312</f>
        <v>1</v>
      </c>
      <c r="R312" s="2">
        <f t="shared" si="30"/>
        <v>336219.96</v>
      </c>
      <c r="S312" s="34">
        <f>+'A) Base RI'!AM312</f>
        <v>60</v>
      </c>
      <c r="T312" s="2">
        <f t="shared" si="31"/>
        <v>317502.01</v>
      </c>
      <c r="U312" s="2">
        <f t="shared" si="32"/>
        <v>5603.6660000000002</v>
      </c>
      <c r="V312" s="10">
        <f>+'A) Base RI'!O312</f>
        <v>0</v>
      </c>
      <c r="W312" s="10">
        <f>+'A) Base RI'!P312</f>
        <v>3047</v>
      </c>
      <c r="X312" s="10">
        <f>+'A) Base RI'!R312</f>
        <v>10429.1</v>
      </c>
      <c r="Y312" s="2">
        <f t="shared" si="33"/>
        <v>13476.1</v>
      </c>
      <c r="Z312" s="10">
        <f>+'A) Base RI'!N312</f>
        <v>0</v>
      </c>
      <c r="AA312" s="10">
        <f>+'A) Base RI'!S312+'A) Base RI'!T312</f>
        <v>0</v>
      </c>
      <c r="AB312" s="10">
        <f>+'A) Base RI'!U312</f>
        <v>120</v>
      </c>
      <c r="AC312" s="10">
        <f>+'A) Base RI'!V312</f>
        <v>0</v>
      </c>
      <c r="AD312" s="10">
        <f>+'A) Base RI'!W312</f>
        <v>0</v>
      </c>
      <c r="AE312" s="10">
        <f>+'A) Base RI'!Y312</f>
        <v>13320</v>
      </c>
      <c r="AF312" s="10">
        <f>+'A) Base RI'!Z312</f>
        <v>0</v>
      </c>
      <c r="AG312" s="10">
        <f>+'A) Base RI'!AA312</f>
        <v>6156</v>
      </c>
      <c r="AH312" s="10">
        <f>+'A) Base RI'!AB312</f>
        <v>0</v>
      </c>
      <c r="AI312" s="10">
        <f>+'A) Base RI'!AC312</f>
        <v>7022</v>
      </c>
      <c r="AJ312" s="10">
        <f>+'A) Base RI'!AD312</f>
        <v>12146</v>
      </c>
      <c r="AK312" s="10">
        <f>+'A) Base RI'!AE312</f>
        <v>0</v>
      </c>
      <c r="AL312" s="10">
        <f>+'A) Base RI'!AF312</f>
        <v>0</v>
      </c>
      <c r="AM312" s="10">
        <f>+'A) Base RI'!AG312</f>
        <v>0</v>
      </c>
      <c r="AN312" s="10">
        <f>+'A) Base RI'!AH312</f>
        <v>0</v>
      </c>
      <c r="AO312" s="10">
        <f>+'A) Base RI'!AI312</f>
        <v>0</v>
      </c>
      <c r="AP312" s="10">
        <f>+'A) Base RI'!AJ312</f>
        <v>0</v>
      </c>
      <c r="AQ312" s="10">
        <f>+'A) Base RI'!AK312</f>
        <v>0</v>
      </c>
      <c r="AR312" s="10">
        <f>'A) Base RI'!AN312</f>
        <v>100</v>
      </c>
    </row>
    <row r="313" spans="1:44" x14ac:dyDescent="0.25">
      <c r="A313" s="8">
        <f>'A) Base RI'!A313</f>
        <v>5937</v>
      </c>
      <c r="B313" s="33" t="str">
        <f>'A) Base RI'!B313</f>
        <v>Vugelles-La Mothe</v>
      </c>
      <c r="C313" s="10">
        <f>'A) Base RI'!C313+'A) Base RI'!D313</f>
        <v>157211.78</v>
      </c>
      <c r="D313" s="10">
        <f>'A) Base RI'!AO313</f>
        <v>-8099.53</v>
      </c>
      <c r="E313" s="32">
        <f>'A) Base RI'!AP313</f>
        <v>0</v>
      </c>
      <c r="F313" s="32">
        <f>'A) Base RI'!AQ313</f>
        <v>-2.34</v>
      </c>
      <c r="G313" s="2">
        <f t="shared" si="28"/>
        <v>149109.91</v>
      </c>
      <c r="H313" s="10">
        <f>+'A) Base RI'!E313</f>
        <v>0</v>
      </c>
      <c r="I313" s="10">
        <f>+'A) Base RI'!F313</f>
        <v>0</v>
      </c>
      <c r="J313" s="10">
        <f>+'A) Base RI'!G313+'A) Base RI'!H313</f>
        <v>4523.4000000000005</v>
      </c>
      <c r="K313" s="10">
        <f>+'A) Base RI'!I313</f>
        <v>0</v>
      </c>
      <c r="L313" s="10">
        <f>+'A) Base RI'!J313</f>
        <v>1368.2</v>
      </c>
      <c r="M313" s="10">
        <f>+'A) Base RI'!K313</f>
        <v>0</v>
      </c>
      <c r="N313" s="10">
        <f>+'A) Base RI'!Q313</f>
        <v>0</v>
      </c>
      <c r="O313" s="10">
        <f t="shared" si="29"/>
        <v>15323.428571428572</v>
      </c>
      <c r="P313" s="10">
        <f>+'A) Base RI'!L313</f>
        <v>10726.4</v>
      </c>
      <c r="Q313" s="35">
        <f>'A) Base RI'!AR313</f>
        <v>0.7</v>
      </c>
      <c r="R313" s="2">
        <f t="shared" si="30"/>
        <v>170324.93857142859</v>
      </c>
      <c r="S313" s="34">
        <f>+'A) Base RI'!AM313</f>
        <v>70</v>
      </c>
      <c r="T313" s="2">
        <f t="shared" si="31"/>
        <v>155001.51</v>
      </c>
      <c r="U313" s="2">
        <f t="shared" si="32"/>
        <v>2433.2134081632657</v>
      </c>
      <c r="V313" s="10">
        <f>+'A) Base RI'!O313</f>
        <v>0</v>
      </c>
      <c r="W313" s="10">
        <f>+'A) Base RI'!P313</f>
        <v>15928</v>
      </c>
      <c r="X313" s="10">
        <f>+'A) Base RI'!R313</f>
        <v>2625</v>
      </c>
      <c r="Y313" s="2">
        <f t="shared" si="33"/>
        <v>18553</v>
      </c>
      <c r="Z313" s="10">
        <f>+'A) Base RI'!N313</f>
        <v>0</v>
      </c>
      <c r="AA313" s="10">
        <f>+'A) Base RI'!S313+'A) Base RI'!T313</f>
        <v>0</v>
      </c>
      <c r="AB313" s="10">
        <f>+'A) Base RI'!U313</f>
        <v>1000</v>
      </c>
      <c r="AC313" s="10">
        <f>+'A) Base RI'!V313</f>
        <v>0</v>
      </c>
      <c r="AD313" s="10">
        <f>+'A) Base RI'!W313</f>
        <v>0</v>
      </c>
      <c r="AE313" s="10">
        <f>+'A) Base RI'!Y313</f>
        <v>6000</v>
      </c>
      <c r="AF313" s="10">
        <f>+'A) Base RI'!Z313</f>
        <v>0</v>
      </c>
      <c r="AG313" s="10">
        <f>+'A) Base RI'!AA313</f>
        <v>13599</v>
      </c>
      <c r="AH313" s="10">
        <f>+'A) Base RI'!AB313</f>
        <v>0</v>
      </c>
      <c r="AI313" s="10">
        <f>+'A) Base RI'!AC313</f>
        <v>5046</v>
      </c>
      <c r="AJ313" s="10">
        <f>+'A) Base RI'!AD313</f>
        <v>1833.2</v>
      </c>
      <c r="AK313" s="10">
        <f>+'A) Base RI'!AE313</f>
        <v>0</v>
      </c>
      <c r="AL313" s="10">
        <f>+'A) Base RI'!AF313</f>
        <v>0</v>
      </c>
      <c r="AM313" s="10">
        <f>+'A) Base RI'!AG313</f>
        <v>142</v>
      </c>
      <c r="AN313" s="10">
        <f>+'A) Base RI'!AH313</f>
        <v>0</v>
      </c>
      <c r="AO313" s="10">
        <f>+'A) Base RI'!AI313</f>
        <v>0</v>
      </c>
      <c r="AP313" s="10">
        <f>+'A) Base RI'!AJ313</f>
        <v>0</v>
      </c>
      <c r="AQ313" s="10">
        <f>+'A) Base RI'!AK313</f>
        <v>0</v>
      </c>
      <c r="AR313" s="10">
        <f>'A) Base RI'!AN313</f>
        <v>132</v>
      </c>
    </row>
    <row r="314" spans="1:44" x14ac:dyDescent="0.25">
      <c r="A314" s="8">
        <f>'A) Base RI'!A314</f>
        <v>5938</v>
      </c>
      <c r="B314" s="33" t="str">
        <f>'A) Base RI'!B314</f>
        <v>Yverdon-les-Bains</v>
      </c>
      <c r="C314" s="10">
        <f>'A) Base RI'!C314+'A) Base RI'!D314</f>
        <v>48330746.460000001</v>
      </c>
      <c r="D314" s="10">
        <f>'A) Base RI'!AO314</f>
        <v>-1649201.82</v>
      </c>
      <c r="E314" s="32">
        <f>'A) Base RI'!AP314</f>
        <v>0</v>
      </c>
      <c r="F314" s="32">
        <f>'A) Base RI'!AQ314</f>
        <v>-76269.289999999994</v>
      </c>
      <c r="G314" s="2">
        <f t="shared" si="28"/>
        <v>46605275.350000001</v>
      </c>
      <c r="H314" s="10">
        <f>+'A) Base RI'!E314</f>
        <v>0</v>
      </c>
      <c r="I314" s="10">
        <f>+'A) Base RI'!F314</f>
        <v>0</v>
      </c>
      <c r="J314" s="10">
        <f>+'A) Base RI'!G314+'A) Base RI'!H314</f>
        <v>5822230.2000000002</v>
      </c>
      <c r="K314" s="10">
        <f>+'A) Base RI'!I314</f>
        <v>30574.76</v>
      </c>
      <c r="L314" s="10">
        <f>+'A) Base RI'!J314</f>
        <v>1721060.09</v>
      </c>
      <c r="M314" s="10">
        <f>+'A) Base RI'!K314</f>
        <v>718416.2</v>
      </c>
      <c r="N314" s="10">
        <f>+'A) Base RI'!Q314</f>
        <v>317811.61</v>
      </c>
      <c r="O314" s="10">
        <f t="shared" si="29"/>
        <v>4046037.5</v>
      </c>
      <c r="P314" s="10">
        <f>+'A) Base RI'!L314</f>
        <v>4046037.5</v>
      </c>
      <c r="Q314" s="35">
        <f>'A) Base RI'!AR314</f>
        <v>1</v>
      </c>
      <c r="R314" s="2">
        <f t="shared" si="30"/>
        <v>59261405.710000008</v>
      </c>
      <c r="S314" s="34">
        <f>+'A) Base RI'!AM314</f>
        <v>76.5</v>
      </c>
      <c r="T314" s="2">
        <f t="shared" si="31"/>
        <v>54496952.010000005</v>
      </c>
      <c r="U314" s="2">
        <f t="shared" si="32"/>
        <v>774658.89816993475</v>
      </c>
      <c r="V314" s="10">
        <f>+'A) Base RI'!O314</f>
        <v>1472711.3</v>
      </c>
      <c r="W314" s="10">
        <f>+'A) Base RI'!P314</f>
        <v>1608559.4</v>
      </c>
      <c r="X314" s="10">
        <f>+'A) Base RI'!R314</f>
        <v>1777261.3</v>
      </c>
      <c r="Y314" s="2">
        <f t="shared" si="33"/>
        <v>4858532</v>
      </c>
      <c r="Z314" s="10">
        <f>+'A) Base RI'!N314</f>
        <v>3860310.2</v>
      </c>
      <c r="AA314" s="10">
        <f>+'A) Base RI'!S314+'A) Base RI'!T314</f>
        <v>0</v>
      </c>
      <c r="AB314" s="10">
        <f>+'A) Base RI'!U314</f>
        <v>57925</v>
      </c>
      <c r="AC314" s="10">
        <f>+'A) Base RI'!V314</f>
        <v>0</v>
      </c>
      <c r="AD314" s="10">
        <f>+'A) Base RI'!W314</f>
        <v>0</v>
      </c>
      <c r="AE314" s="10">
        <f>+'A) Base RI'!Y314</f>
        <v>261929</v>
      </c>
      <c r="AF314" s="10">
        <f>+'A) Base RI'!Z314</f>
        <v>0</v>
      </c>
      <c r="AG314" s="10">
        <f>+'A) Base RI'!AA314</f>
        <v>4829580</v>
      </c>
      <c r="AH314" s="10">
        <f>+'A) Base RI'!AB314</f>
        <v>1263749</v>
      </c>
      <c r="AI314" s="10">
        <f>+'A) Base RI'!AC314</f>
        <v>2582281</v>
      </c>
      <c r="AJ314" s="10">
        <f>+'A) Base RI'!AD314</f>
        <v>297890</v>
      </c>
      <c r="AK314" s="10">
        <f>+'A) Base RI'!AE314</f>
        <v>0</v>
      </c>
      <c r="AL314" s="10">
        <f>+'A) Base RI'!AF314</f>
        <v>0</v>
      </c>
      <c r="AM314" s="10">
        <f>+'A) Base RI'!AG314</f>
        <v>228082</v>
      </c>
      <c r="AN314" s="10">
        <f>+'A) Base RI'!AH314</f>
        <v>856201</v>
      </c>
      <c r="AO314" s="10">
        <f>+'A) Base RI'!AI314</f>
        <v>795036</v>
      </c>
      <c r="AP314" s="10">
        <f>+'A) Base RI'!AJ314</f>
        <v>733879</v>
      </c>
      <c r="AQ314" s="10">
        <f>+'A) Base RI'!AK314</f>
        <v>0</v>
      </c>
      <c r="AR314" s="10">
        <f>'A) Base RI'!AN314</f>
        <v>30211</v>
      </c>
    </row>
    <row r="315" spans="1:44" x14ac:dyDescent="0.25">
      <c r="A315" s="8">
        <f>'A) Base RI'!A315</f>
        <v>5939</v>
      </c>
      <c r="B315" s="33" t="str">
        <f>'A) Base RI'!B315</f>
        <v>Yvonand</v>
      </c>
      <c r="C315" s="10">
        <f>'A) Base RI'!C315+'A) Base RI'!D315</f>
        <v>5988518.6200000001</v>
      </c>
      <c r="D315" s="10">
        <f>'A) Base RI'!AO315</f>
        <v>-92649.7</v>
      </c>
      <c r="E315" s="32">
        <f>'A) Base RI'!AP315</f>
        <v>0</v>
      </c>
      <c r="F315" s="32">
        <f>'A) Base RI'!AQ315</f>
        <v>-104.93</v>
      </c>
      <c r="G315" s="2">
        <f t="shared" si="28"/>
        <v>5895763.9900000002</v>
      </c>
      <c r="H315" s="10">
        <f>+'A) Base RI'!E315</f>
        <v>0</v>
      </c>
      <c r="I315" s="10">
        <f>+'A) Base RI'!F315</f>
        <v>0</v>
      </c>
      <c r="J315" s="10">
        <f>+'A) Base RI'!G315+'A) Base RI'!H315</f>
        <v>291312.25</v>
      </c>
      <c r="K315" s="10">
        <f>+'A) Base RI'!I315</f>
        <v>0</v>
      </c>
      <c r="L315" s="10">
        <f>+'A) Base RI'!J315</f>
        <v>89176.97</v>
      </c>
      <c r="M315" s="10">
        <f>+'A) Base RI'!K315</f>
        <v>34212.25</v>
      </c>
      <c r="N315" s="10">
        <f>+'A) Base RI'!Q315</f>
        <v>14034.57</v>
      </c>
      <c r="O315" s="10">
        <f t="shared" si="29"/>
        <v>524450</v>
      </c>
      <c r="P315" s="10">
        <f>+'A) Base RI'!L315</f>
        <v>524450</v>
      </c>
      <c r="Q315" s="35">
        <f>'A) Base RI'!AR315</f>
        <v>1</v>
      </c>
      <c r="R315" s="2">
        <f t="shared" si="30"/>
        <v>6848950.0300000003</v>
      </c>
      <c r="S315" s="34">
        <f>+'A) Base RI'!AM315</f>
        <v>73</v>
      </c>
      <c r="T315" s="2">
        <f t="shared" si="31"/>
        <v>6290287.7800000003</v>
      </c>
      <c r="U315" s="2">
        <f t="shared" si="32"/>
        <v>93821.233287671232</v>
      </c>
      <c r="V315" s="10">
        <f>+'A) Base RI'!O315</f>
        <v>79474.7</v>
      </c>
      <c r="W315" s="10">
        <f>+'A) Base RI'!P315</f>
        <v>400601.45</v>
      </c>
      <c r="X315" s="10">
        <f>+'A) Base RI'!R315</f>
        <v>152893.35</v>
      </c>
      <c r="Y315" s="2">
        <f t="shared" si="33"/>
        <v>632969.5</v>
      </c>
      <c r="Z315" s="10">
        <f>+'A) Base RI'!N315</f>
        <v>112928.8</v>
      </c>
      <c r="AA315" s="10">
        <f>+'A) Base RI'!S315+'A) Base RI'!T315</f>
        <v>27639</v>
      </c>
      <c r="AB315" s="10">
        <f>+'A) Base RI'!U315</f>
        <v>22767</v>
      </c>
      <c r="AC315" s="10">
        <f>+'A) Base RI'!V315</f>
        <v>41</v>
      </c>
      <c r="AD315" s="10">
        <f>+'A) Base RI'!W315</f>
        <v>1187</v>
      </c>
      <c r="AE315" s="10">
        <f>+'A) Base RI'!Y315</f>
        <v>41328</v>
      </c>
      <c r="AF315" s="10">
        <f>+'A) Base RI'!Z315</f>
        <v>0</v>
      </c>
      <c r="AG315" s="10">
        <f>+'A) Base RI'!AA315</f>
        <v>704041.3</v>
      </c>
      <c r="AH315" s="10">
        <f>+'A) Base RI'!AB315</f>
        <v>0</v>
      </c>
      <c r="AI315" s="10">
        <f>+'A) Base RI'!AC315</f>
        <v>240787.3</v>
      </c>
      <c r="AJ315" s="10">
        <f>+'A) Base RI'!AD315</f>
        <v>100784</v>
      </c>
      <c r="AK315" s="10">
        <f>+'A) Base RI'!AE315</f>
        <v>0</v>
      </c>
      <c r="AL315" s="10">
        <f>+'A) Base RI'!AF315</f>
        <v>0</v>
      </c>
      <c r="AM315" s="10">
        <f>+'A) Base RI'!AG315</f>
        <v>16387.599999999999</v>
      </c>
      <c r="AN315" s="10">
        <f>+'A) Base RI'!AH315</f>
        <v>0</v>
      </c>
      <c r="AO315" s="10">
        <f>+'A) Base RI'!AI315</f>
        <v>0</v>
      </c>
      <c r="AP315" s="10">
        <f>+'A) Base RI'!AJ315</f>
        <v>0</v>
      </c>
      <c r="AQ315" s="10">
        <f>+'A) Base RI'!AK315</f>
        <v>0</v>
      </c>
      <c r="AR315" s="10">
        <f>'A) Base RI'!AN315</f>
        <v>3426</v>
      </c>
    </row>
    <row r="316" spans="1:44" x14ac:dyDescent="0.25">
      <c r="A316" s="7"/>
      <c r="B316" s="25">
        <f>COUNTA(B7:B315)</f>
        <v>309</v>
      </c>
      <c r="C316" s="11">
        <f t="shared" ref="C316:P316" si="34">SUM(C7:C315)</f>
        <v>1943304862.2400012</v>
      </c>
      <c r="D316" s="11">
        <f t="shared" si="34"/>
        <v>-42899228.150000028</v>
      </c>
      <c r="E316" s="11">
        <f t="shared" si="34"/>
        <v>-1122458.08</v>
      </c>
      <c r="F316" s="11">
        <f t="shared" si="34"/>
        <v>-2175227.1099999994</v>
      </c>
      <c r="G316" s="39">
        <f t="shared" si="34"/>
        <v>1897107948.8999991</v>
      </c>
      <c r="H316" s="11">
        <f t="shared" si="34"/>
        <v>0</v>
      </c>
      <c r="I316" s="11">
        <f t="shared" si="34"/>
        <v>113954.35</v>
      </c>
      <c r="J316" s="11">
        <f t="shared" si="34"/>
        <v>306181501.69999981</v>
      </c>
      <c r="K316" s="11">
        <f t="shared" si="34"/>
        <v>43289261.170000002</v>
      </c>
      <c r="L316" s="11">
        <f t="shared" si="34"/>
        <v>75920937.889999956</v>
      </c>
      <c r="M316" s="11">
        <f t="shared" si="34"/>
        <v>18632524.499999996</v>
      </c>
      <c r="N316" s="11">
        <f t="shared" si="34"/>
        <v>9084682.6599999983</v>
      </c>
      <c r="O316" s="11">
        <f t="shared" si="34"/>
        <v>167160346.38869476</v>
      </c>
      <c r="P316" s="11">
        <f t="shared" si="34"/>
        <v>197113719.55999988</v>
      </c>
      <c r="Q316" s="36"/>
      <c r="R316" s="39">
        <f>SUM(R7:R315)</f>
        <v>2517491157.5586963</v>
      </c>
      <c r="S316" s="20">
        <f>R316/U316</f>
        <v>68.007628491199924</v>
      </c>
      <c r="T316" s="39">
        <f t="shared" ref="T316:AP316" si="35">SUM(T7:T315)</f>
        <v>2331584332.3200006</v>
      </c>
      <c r="U316" s="39">
        <f t="shared" si="35"/>
        <v>37017775.996768594</v>
      </c>
      <c r="V316" s="11">
        <f t="shared" si="35"/>
        <v>98295127.800000012</v>
      </c>
      <c r="W316" s="11">
        <f t="shared" si="35"/>
        <v>96170526.899999931</v>
      </c>
      <c r="X316" s="11">
        <f t="shared" si="35"/>
        <v>67235428.389999971</v>
      </c>
      <c r="Y316" s="39">
        <f t="shared" si="35"/>
        <v>261701083.09</v>
      </c>
      <c r="Z316" s="11">
        <f t="shared" si="35"/>
        <v>73716777.449999958</v>
      </c>
      <c r="AA316" s="11">
        <f t="shared" si="35"/>
        <v>1481020.9400000002</v>
      </c>
      <c r="AB316" s="11">
        <f t="shared" si="35"/>
        <v>3506048</v>
      </c>
      <c r="AC316" s="11">
        <f t="shared" si="35"/>
        <v>7378819.450000002</v>
      </c>
      <c r="AD316" s="11">
        <f t="shared" si="35"/>
        <v>3946912.18</v>
      </c>
      <c r="AE316" s="11">
        <f t="shared" si="35"/>
        <v>26018245.229999993</v>
      </c>
      <c r="AF316" s="11">
        <f t="shared" si="35"/>
        <v>2859321.4099999997</v>
      </c>
      <c r="AG316" s="11">
        <f t="shared" si="35"/>
        <v>113085876.79999998</v>
      </c>
      <c r="AH316" s="11">
        <f t="shared" si="35"/>
        <v>7218697.3899999997</v>
      </c>
      <c r="AI316" s="11">
        <f t="shared" si="35"/>
        <v>86453369.469999984</v>
      </c>
      <c r="AJ316" s="11">
        <f>SUM(AJ7:AJ315)</f>
        <v>20814235.790000003</v>
      </c>
      <c r="AK316" s="11">
        <f t="shared" si="35"/>
        <v>471757.41000000003</v>
      </c>
      <c r="AL316" s="11">
        <f t="shared" si="35"/>
        <v>1780.7</v>
      </c>
      <c r="AM316" s="11">
        <f t="shared" si="35"/>
        <v>15359544.900000004</v>
      </c>
      <c r="AN316" s="11">
        <f t="shared" si="35"/>
        <v>22852261.349999994</v>
      </c>
      <c r="AO316" s="11">
        <f t="shared" si="35"/>
        <v>9548321.7200000025</v>
      </c>
      <c r="AP316" s="11">
        <f t="shared" si="35"/>
        <v>4490325.709999999</v>
      </c>
      <c r="AQ316" s="11">
        <f>SUM(AQ7:AQ315)</f>
        <v>3300932.8099999996</v>
      </c>
      <c r="AR316" s="11">
        <f>SUM(AR7:AR315)</f>
        <v>800162</v>
      </c>
    </row>
  </sheetData>
  <mergeCells count="44">
    <mergeCell ref="A4:A6"/>
    <mergeCell ref="B4:B6"/>
    <mergeCell ref="N4:N6"/>
    <mergeCell ref="C4:C5"/>
    <mergeCell ref="H4:H5"/>
    <mergeCell ref="I4:I5"/>
    <mergeCell ref="J4:J5"/>
    <mergeCell ref="G4:G5"/>
    <mergeCell ref="K4:K5"/>
    <mergeCell ref="L4:L5"/>
    <mergeCell ref="M4:M5"/>
    <mergeCell ref="D4:D6"/>
    <mergeCell ref="E4:E6"/>
    <mergeCell ref="F4:F6"/>
    <mergeCell ref="AR4:AR5"/>
    <mergeCell ref="S4:S5"/>
    <mergeCell ref="W4:W5"/>
    <mergeCell ref="Y4:Y6"/>
    <mergeCell ref="T4:T6"/>
    <mergeCell ref="AA4:AA5"/>
    <mergeCell ref="AB4:AB5"/>
    <mergeCell ref="AC4:AC5"/>
    <mergeCell ref="AD4:AD5"/>
    <mergeCell ref="AE4:AE5"/>
    <mergeCell ref="AF4:AF5"/>
    <mergeCell ref="AG4:AG5"/>
    <mergeCell ref="AH4:AH5"/>
    <mergeCell ref="AO4:AO5"/>
    <mergeCell ref="AP4:AP5"/>
    <mergeCell ref="AQ4:AQ5"/>
    <mergeCell ref="O4:O6"/>
    <mergeCell ref="V4:V5"/>
    <mergeCell ref="U4:U5"/>
    <mergeCell ref="Z4:Z5"/>
    <mergeCell ref="X4:X5"/>
    <mergeCell ref="P4:P5"/>
    <mergeCell ref="R4:R6"/>
    <mergeCell ref="AN4:AN5"/>
    <mergeCell ref="AM4:AM5"/>
    <mergeCell ref="Q4:Q6"/>
    <mergeCell ref="AI4:AI5"/>
    <mergeCell ref="AJ4:AJ5"/>
    <mergeCell ref="AK4:AK5"/>
    <mergeCell ref="AL4:AL5"/>
  </mergeCells>
  <phoneticPr fontId="0" type="noConversion"/>
  <pageMargins left="0" right="0" top="0" bottom="0" header="0.51181102362204722" footer="0.51181102362204722"/>
  <pageSetup paperSize="8" scale="70" orientation="landscape" horizontalDpi="4294967292" verticalDpi="4294967292"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6">
    <tabColor rgb="FF00B050"/>
  </sheetPr>
  <dimension ref="A1:H332"/>
  <sheetViews>
    <sheetView workbookViewId="0"/>
  </sheetViews>
  <sheetFormatPr baseColWidth="10" defaultColWidth="11" defaultRowHeight="15" x14ac:dyDescent="0.25"/>
  <cols>
    <col min="1" max="1" width="7.25" style="13" customWidth="1"/>
    <col min="2" max="2" width="17.375" style="13" bestFit="1" customWidth="1"/>
    <col min="3" max="3" width="18" style="6" customWidth="1"/>
    <col min="4" max="4" width="9.875" style="6" bestFit="1" customWidth="1"/>
    <col min="5" max="5" width="10.75" style="6" bestFit="1" customWidth="1"/>
    <col min="6" max="6" width="11.25" style="6" bestFit="1" customWidth="1"/>
    <col min="7" max="7" width="13" style="29" bestFit="1" customWidth="1"/>
    <col min="8" max="8" width="12.25" style="6" bestFit="1" customWidth="1"/>
    <col min="9" max="16384" width="11" style="13"/>
  </cols>
  <sheetData>
    <row r="1" spans="1:8" ht="21" x14ac:dyDescent="0.25">
      <c r="A1" s="52" t="s">
        <v>445</v>
      </c>
      <c r="B1" s="43"/>
      <c r="C1" s="45"/>
      <c r="D1" s="45"/>
      <c r="E1" s="45"/>
      <c r="F1" s="45"/>
      <c r="G1" s="53"/>
      <c r="H1" s="45"/>
    </row>
    <row r="3" spans="1:8" ht="60" x14ac:dyDescent="0.25">
      <c r="A3" s="535" t="s">
        <v>50</v>
      </c>
      <c r="B3" s="535" t="s">
        <v>101</v>
      </c>
      <c r="C3" s="303" t="s">
        <v>434</v>
      </c>
      <c r="D3" s="303" t="s">
        <v>199</v>
      </c>
      <c r="E3" s="538" t="s">
        <v>143</v>
      </c>
      <c r="F3" s="538" t="s">
        <v>376</v>
      </c>
      <c r="G3" s="550" t="s">
        <v>294</v>
      </c>
      <c r="H3" s="538" t="s">
        <v>429</v>
      </c>
    </row>
    <row r="4" spans="1:8" x14ac:dyDescent="0.25">
      <c r="A4" s="536"/>
      <c r="B4" s="536"/>
      <c r="C4" s="302">
        <f>Paramètres!B11</f>
        <v>0.5</v>
      </c>
      <c r="D4" s="209">
        <f>Paramètres!B12</f>
        <v>0.3</v>
      </c>
      <c r="E4" s="539"/>
      <c r="F4" s="539"/>
      <c r="G4" s="551"/>
      <c r="H4" s="539"/>
    </row>
    <row r="5" spans="1:8" x14ac:dyDescent="0.25">
      <c r="A5" s="47">
        <f>'A) Base RI'!A7</f>
        <v>5401</v>
      </c>
      <c r="B5" s="56" t="str">
        <f>'A) Base RI'!B7</f>
        <v>Aigle</v>
      </c>
      <c r="C5" s="32">
        <f>'B) D RI'!Y7</f>
        <v>1800699.75</v>
      </c>
      <c r="D5" s="14">
        <f>'B) D RI'!Z7</f>
        <v>1058449.45</v>
      </c>
      <c r="E5" s="10">
        <f>C5+D5</f>
        <v>2859149.2</v>
      </c>
      <c r="F5" s="14">
        <f>'B) D RI'!U7</f>
        <v>276325.40780246921</v>
      </c>
      <c r="G5" s="265">
        <f>E5/F5</f>
        <v>10.347036932788528</v>
      </c>
      <c r="H5" s="58">
        <f>(C5*$C$4)+(D5*$D$4)</f>
        <v>1217884.71</v>
      </c>
    </row>
    <row r="6" spans="1:8" x14ac:dyDescent="0.25">
      <c r="A6" s="50">
        <f>'A) Base RI'!A8</f>
        <v>5402</v>
      </c>
      <c r="B6" s="57" t="str">
        <f>'A) Base RI'!B8</f>
        <v>Bex</v>
      </c>
      <c r="C6" s="32">
        <f>'B) D RI'!Y8</f>
        <v>883554.95</v>
      </c>
      <c r="D6" s="14">
        <f>'B) D RI'!Z8</f>
        <v>202311.1</v>
      </c>
      <c r="E6" s="10">
        <f t="shared" ref="E6:E69" si="0">C6+D6</f>
        <v>1085866.05</v>
      </c>
      <c r="F6" s="14">
        <f>'B) D RI'!U8</f>
        <v>172586.81591549295</v>
      </c>
      <c r="G6" s="265">
        <f t="shared" ref="G6:G69" si="1">E6/F6</f>
        <v>6.2917091565771388</v>
      </c>
      <c r="H6" s="58">
        <f t="shared" ref="H6:H69" si="2">(C6*$C$4)+(D6*$D$4)</f>
        <v>502470.80499999999</v>
      </c>
    </row>
    <row r="7" spans="1:8" x14ac:dyDescent="0.25">
      <c r="A7" s="50">
        <f>'A) Base RI'!A9</f>
        <v>5403</v>
      </c>
      <c r="B7" s="57" t="str">
        <f>'A) Base RI'!B9</f>
        <v>Chessel</v>
      </c>
      <c r="C7" s="32">
        <f>'B) D RI'!Y9</f>
        <v>64314.2</v>
      </c>
      <c r="D7" s="14">
        <f>'B) D RI'!Z9</f>
        <v>0</v>
      </c>
      <c r="E7" s="10">
        <f t="shared" si="0"/>
        <v>64314.2</v>
      </c>
      <c r="F7" s="14">
        <f>'B) D RI'!U9</f>
        <v>10175.556621621625</v>
      </c>
      <c r="G7" s="265">
        <f t="shared" si="1"/>
        <v>6.3204601371232485</v>
      </c>
      <c r="H7" s="58">
        <f t="shared" si="2"/>
        <v>32157.1</v>
      </c>
    </row>
    <row r="8" spans="1:8" x14ac:dyDescent="0.25">
      <c r="A8" s="50">
        <f>'A) Base RI'!A10</f>
        <v>5404</v>
      </c>
      <c r="B8" s="57" t="str">
        <f>'A) Base RI'!B10</f>
        <v>Corbeyrier</v>
      </c>
      <c r="C8" s="32">
        <f>'B) D RI'!Y10</f>
        <v>58358.15</v>
      </c>
      <c r="D8" s="14">
        <f>'B) D RI'!Z10</f>
        <v>22870.9</v>
      </c>
      <c r="E8" s="10">
        <f t="shared" si="0"/>
        <v>81229.05</v>
      </c>
      <c r="F8" s="14">
        <f>'B) D RI'!U10</f>
        <v>12084.741666666667</v>
      </c>
      <c r="G8" s="265">
        <f t="shared" si="1"/>
        <v>6.721620721446949</v>
      </c>
      <c r="H8" s="58">
        <f t="shared" si="2"/>
        <v>36040.345000000001</v>
      </c>
    </row>
    <row r="9" spans="1:8" x14ac:dyDescent="0.25">
      <c r="A9" s="50">
        <f>'A) Base RI'!A11</f>
        <v>5405</v>
      </c>
      <c r="B9" s="57" t="str">
        <f>'A) Base RI'!B11</f>
        <v>Gryon</v>
      </c>
      <c r="C9" s="32">
        <f>'B) D RI'!Y11</f>
        <v>1576227.35</v>
      </c>
      <c r="D9" s="14">
        <f>'B) D RI'!Z11</f>
        <v>0</v>
      </c>
      <c r="E9" s="10">
        <f t="shared" si="0"/>
        <v>1576227.35</v>
      </c>
      <c r="F9" s="14">
        <f>'B) D RI'!U11</f>
        <v>67578.882888888897</v>
      </c>
      <c r="G9" s="265">
        <f t="shared" si="1"/>
        <v>23.324258742062728</v>
      </c>
      <c r="H9" s="58">
        <f t="shared" si="2"/>
        <v>788113.67500000005</v>
      </c>
    </row>
    <row r="10" spans="1:8" x14ac:dyDescent="0.25">
      <c r="A10" s="50">
        <f>'A) Base RI'!A12</f>
        <v>5406</v>
      </c>
      <c r="B10" s="57" t="str">
        <f>'A) Base RI'!B12</f>
        <v>Lavey-Morcles</v>
      </c>
      <c r="C10" s="32">
        <f>'B) D RI'!Y12</f>
        <v>47373.299999999996</v>
      </c>
      <c r="D10" s="14">
        <f>'B) D RI'!Z12</f>
        <v>5025.7</v>
      </c>
      <c r="E10" s="10">
        <f t="shared" si="0"/>
        <v>52398.999999999993</v>
      </c>
      <c r="F10" s="14">
        <f>'B) D RI'!U12</f>
        <v>21586.094615384616</v>
      </c>
      <c r="G10" s="265">
        <f t="shared" si="1"/>
        <v>2.4274423388589579</v>
      </c>
      <c r="H10" s="58">
        <f t="shared" si="2"/>
        <v>25194.359999999997</v>
      </c>
    </row>
    <row r="11" spans="1:8" x14ac:dyDescent="0.25">
      <c r="A11" s="50">
        <f>'A) Base RI'!A13</f>
        <v>5407</v>
      </c>
      <c r="B11" s="57" t="str">
        <f>'A) Base RI'!B13</f>
        <v>Leysin</v>
      </c>
      <c r="C11" s="32">
        <f>'B) D RI'!Y13</f>
        <v>422259.20000000001</v>
      </c>
      <c r="D11" s="14">
        <f>'B) D RI'!Z13</f>
        <v>40574.25</v>
      </c>
      <c r="E11" s="10">
        <f t="shared" si="0"/>
        <v>462833.45</v>
      </c>
      <c r="F11" s="14">
        <f>'B) D RI'!U13</f>
        <v>89616.305299145315</v>
      </c>
      <c r="G11" s="265">
        <f t="shared" si="1"/>
        <v>5.164612047495492</v>
      </c>
      <c r="H11" s="58">
        <f t="shared" si="2"/>
        <v>223301.875</v>
      </c>
    </row>
    <row r="12" spans="1:8" x14ac:dyDescent="0.25">
      <c r="A12" s="50">
        <f>'A) Base RI'!A14</f>
        <v>5408</v>
      </c>
      <c r="B12" s="57" t="str">
        <f>'A) Base RI'!B14</f>
        <v>Noville</v>
      </c>
      <c r="C12" s="32">
        <f>'B) D RI'!Y14</f>
        <v>437924.2</v>
      </c>
      <c r="D12" s="14">
        <f>'B) D RI'!Z14</f>
        <v>139114.85</v>
      </c>
      <c r="E12" s="10">
        <f t="shared" si="0"/>
        <v>577039.05000000005</v>
      </c>
      <c r="F12" s="14">
        <f>'B) D RI'!U14</f>
        <v>38763.706581740975</v>
      </c>
      <c r="G12" s="265">
        <f t="shared" si="1"/>
        <v>14.886064849944074</v>
      </c>
      <c r="H12" s="58">
        <f t="shared" si="2"/>
        <v>260696.55499999999</v>
      </c>
    </row>
    <row r="13" spans="1:8" x14ac:dyDescent="0.25">
      <c r="A13" s="50">
        <f>'A) Base RI'!A15</f>
        <v>5409</v>
      </c>
      <c r="B13" s="57" t="str">
        <f>'A) Base RI'!B15</f>
        <v>Ollon</v>
      </c>
      <c r="C13" s="32">
        <f>'B) D RI'!Y15</f>
        <v>4101287</v>
      </c>
      <c r="D13" s="14">
        <f>'B) D RI'!Z15</f>
        <v>74320.850000000006</v>
      </c>
      <c r="E13" s="10">
        <f t="shared" si="0"/>
        <v>4175607.85</v>
      </c>
      <c r="F13" s="14">
        <f>'B) D RI'!U15</f>
        <v>369055.23328054306</v>
      </c>
      <c r="G13" s="265">
        <f t="shared" si="1"/>
        <v>11.314316864938878</v>
      </c>
      <c r="H13" s="58">
        <f t="shared" si="2"/>
        <v>2072939.7549999999</v>
      </c>
    </row>
    <row r="14" spans="1:8" x14ac:dyDescent="0.25">
      <c r="A14" s="50">
        <f>'A) Base RI'!A16</f>
        <v>5410</v>
      </c>
      <c r="B14" s="57" t="str">
        <f>'A) Base RI'!B16</f>
        <v>Ormont-Dessous</v>
      </c>
      <c r="C14" s="32">
        <f>'B) D RI'!Y16</f>
        <v>322735.15000000002</v>
      </c>
      <c r="D14" s="14">
        <f>'B) D RI'!Z16</f>
        <v>0</v>
      </c>
      <c r="E14" s="10">
        <f t="shared" si="0"/>
        <v>322735.15000000002</v>
      </c>
      <c r="F14" s="14">
        <f>'B) D RI'!U16</f>
        <v>43491.149554140131</v>
      </c>
      <c r="G14" s="265">
        <f t="shared" si="1"/>
        <v>7.4207086570163403</v>
      </c>
      <c r="H14" s="58">
        <f t="shared" si="2"/>
        <v>161367.57500000001</v>
      </c>
    </row>
    <row r="15" spans="1:8" x14ac:dyDescent="0.25">
      <c r="A15" s="50">
        <f>'A) Base RI'!A17</f>
        <v>5411</v>
      </c>
      <c r="B15" s="57" t="str">
        <f>'A) Base RI'!B17</f>
        <v>Ormont-Dessus</v>
      </c>
      <c r="C15" s="32">
        <f>'B) D RI'!Y17</f>
        <v>737504.75</v>
      </c>
      <c r="D15" s="14">
        <f>'B) D RI'!Z17</f>
        <v>10324.950000000001</v>
      </c>
      <c r="E15" s="10">
        <f t="shared" si="0"/>
        <v>747829.7</v>
      </c>
      <c r="F15" s="14">
        <f>'B) D RI'!U17</f>
        <v>72912.297236842089</v>
      </c>
      <c r="G15" s="265">
        <f t="shared" si="1"/>
        <v>10.256564781806473</v>
      </c>
      <c r="H15" s="58">
        <f t="shared" si="2"/>
        <v>371849.86</v>
      </c>
    </row>
    <row r="16" spans="1:8" x14ac:dyDescent="0.25">
      <c r="A16" s="50">
        <f>'A) Base RI'!A18</f>
        <v>5412</v>
      </c>
      <c r="B16" s="57" t="str">
        <f>'A) Base RI'!B18</f>
        <v>Rennaz</v>
      </c>
      <c r="C16" s="32">
        <f>'B) D RI'!Y18</f>
        <v>824168.8</v>
      </c>
      <c r="D16" s="14">
        <f>'B) D RI'!Z18</f>
        <v>91968.35</v>
      </c>
      <c r="E16" s="10">
        <f t="shared" si="0"/>
        <v>916137.15</v>
      </c>
      <c r="F16" s="14">
        <f>'B) D RI'!U18</f>
        <v>28091.749629629627</v>
      </c>
      <c r="G16" s="265">
        <f t="shared" si="1"/>
        <v>32.612320773132232</v>
      </c>
      <c r="H16" s="58">
        <f t="shared" si="2"/>
        <v>439674.90500000003</v>
      </c>
    </row>
    <row r="17" spans="1:8" x14ac:dyDescent="0.25">
      <c r="A17" s="50">
        <f>'A) Base RI'!A19</f>
        <v>5413</v>
      </c>
      <c r="B17" s="57" t="str">
        <f>'A) Base RI'!B19</f>
        <v>Roche</v>
      </c>
      <c r="C17" s="32">
        <f>'B) D RI'!Y19</f>
        <v>361599.60000000003</v>
      </c>
      <c r="D17" s="14">
        <f>'B) D RI'!Z19</f>
        <v>228358.3</v>
      </c>
      <c r="E17" s="10">
        <f t="shared" si="0"/>
        <v>589957.9</v>
      </c>
      <c r="F17" s="14">
        <f>'B) D RI'!U19</f>
        <v>39560.237499999996</v>
      </c>
      <c r="G17" s="265">
        <f t="shared" si="1"/>
        <v>14.912900864156846</v>
      </c>
      <c r="H17" s="58">
        <f t="shared" si="2"/>
        <v>249307.29</v>
      </c>
    </row>
    <row r="18" spans="1:8" x14ac:dyDescent="0.25">
      <c r="A18" s="50">
        <f>'A) Base RI'!A20</f>
        <v>5414</v>
      </c>
      <c r="B18" s="57" t="str">
        <f>'A) Base RI'!B20</f>
        <v>Villeneuve</v>
      </c>
      <c r="C18" s="32">
        <f>'B) D RI'!Y20</f>
        <v>1667299.15</v>
      </c>
      <c r="D18" s="14">
        <f>'B) D RI'!Z20</f>
        <v>1387107.6</v>
      </c>
      <c r="E18" s="10">
        <f t="shared" si="0"/>
        <v>3054406.75</v>
      </c>
      <c r="F18" s="14">
        <f>'B) D RI'!U20</f>
        <v>165641.09797101447</v>
      </c>
      <c r="G18" s="265">
        <f t="shared" si="1"/>
        <v>18.4399088596629</v>
      </c>
      <c r="H18" s="58">
        <f t="shared" si="2"/>
        <v>1249781.855</v>
      </c>
    </row>
    <row r="19" spans="1:8" x14ac:dyDescent="0.25">
      <c r="A19" s="50">
        <f>'A) Base RI'!A21</f>
        <v>5415</v>
      </c>
      <c r="B19" s="57" t="str">
        <f>'A) Base RI'!B21</f>
        <v>Yvorne</v>
      </c>
      <c r="C19" s="32">
        <f>'B) D RI'!Y21</f>
        <v>139863.45000000001</v>
      </c>
      <c r="D19" s="14">
        <f>'B) D RI'!Z21</f>
        <v>37308.5</v>
      </c>
      <c r="E19" s="10">
        <f t="shared" si="0"/>
        <v>177171.95</v>
      </c>
      <c r="F19" s="14">
        <f>'B) D RI'!U21</f>
        <v>34590.752587412586</v>
      </c>
      <c r="G19" s="265">
        <f t="shared" si="1"/>
        <v>5.1219455128152394</v>
      </c>
      <c r="H19" s="58">
        <f t="shared" si="2"/>
        <v>81124.275000000009</v>
      </c>
    </row>
    <row r="20" spans="1:8" x14ac:dyDescent="0.25">
      <c r="A20" s="50">
        <f>'A) Base RI'!A22</f>
        <v>5421</v>
      </c>
      <c r="B20" s="57" t="str">
        <f>'A) Base RI'!B22</f>
        <v>Apples</v>
      </c>
      <c r="C20" s="32">
        <f>'B) D RI'!Y22</f>
        <v>182794.25</v>
      </c>
      <c r="D20" s="14">
        <f>'B) D RI'!Z22</f>
        <v>27569.15</v>
      </c>
      <c r="E20" s="10">
        <f t="shared" si="0"/>
        <v>210363.4</v>
      </c>
      <c r="F20" s="14">
        <f>'B) D RI'!U22</f>
        <v>67631.915526315803</v>
      </c>
      <c r="G20" s="265">
        <f t="shared" si="1"/>
        <v>3.1104161158668777</v>
      </c>
      <c r="H20" s="58">
        <f t="shared" si="2"/>
        <v>99667.87</v>
      </c>
    </row>
    <row r="21" spans="1:8" x14ac:dyDescent="0.25">
      <c r="A21" s="50">
        <f>'A) Base RI'!A23</f>
        <v>5422</v>
      </c>
      <c r="B21" s="57" t="str">
        <f>'A) Base RI'!B23</f>
        <v>Aubonne</v>
      </c>
      <c r="C21" s="32">
        <f>'B) D RI'!Y23</f>
        <v>2356211.35</v>
      </c>
      <c r="D21" s="14">
        <f>'B) D RI'!Z23</f>
        <v>883114.1</v>
      </c>
      <c r="E21" s="10">
        <f t="shared" si="0"/>
        <v>3239325.45</v>
      </c>
      <c r="F21" s="14">
        <f>'B) D RI'!U23</f>
        <v>238709.58323529412</v>
      </c>
      <c r="G21" s="265">
        <f t="shared" si="1"/>
        <v>13.57015250957488</v>
      </c>
      <c r="H21" s="58">
        <f t="shared" si="2"/>
        <v>1443039.905</v>
      </c>
    </row>
    <row r="22" spans="1:8" x14ac:dyDescent="0.25">
      <c r="A22" s="50">
        <f>'A) Base RI'!A24</f>
        <v>5423</v>
      </c>
      <c r="B22" s="57" t="str">
        <f>'A) Base RI'!B24</f>
        <v>Ballens</v>
      </c>
      <c r="C22" s="32">
        <f>'B) D RI'!Y24</f>
        <v>34340.050000000003</v>
      </c>
      <c r="D22" s="14">
        <f>'B) D RI'!Z24</f>
        <v>20050.099999999999</v>
      </c>
      <c r="E22" s="10">
        <f t="shared" si="0"/>
        <v>54390.15</v>
      </c>
      <c r="F22" s="14">
        <f>'B) D RI'!U24</f>
        <v>13821.516027397261</v>
      </c>
      <c r="G22" s="265">
        <f t="shared" si="1"/>
        <v>3.9351797510625355</v>
      </c>
      <c r="H22" s="58">
        <f t="shared" si="2"/>
        <v>23185.055</v>
      </c>
    </row>
    <row r="23" spans="1:8" x14ac:dyDescent="0.25">
      <c r="A23" s="50">
        <f>'A) Base RI'!A25</f>
        <v>5424</v>
      </c>
      <c r="B23" s="57" t="str">
        <f>'A) Base RI'!B25</f>
        <v>Berolle</v>
      </c>
      <c r="C23" s="32">
        <f>'B) D RI'!Y25</f>
        <v>8552.35</v>
      </c>
      <c r="D23" s="14">
        <f>'B) D RI'!Z25</f>
        <v>0</v>
      </c>
      <c r="E23" s="10">
        <f t="shared" si="0"/>
        <v>8552.35</v>
      </c>
      <c r="F23" s="14">
        <f>'B) D RI'!U25</f>
        <v>9297.6342857142881</v>
      </c>
      <c r="G23" s="265">
        <f t="shared" si="1"/>
        <v>0.91984151421621208</v>
      </c>
      <c r="H23" s="58">
        <f t="shared" si="2"/>
        <v>4276.1750000000002</v>
      </c>
    </row>
    <row r="24" spans="1:8" x14ac:dyDescent="0.25">
      <c r="A24" s="50">
        <f>'A) Base RI'!A26</f>
        <v>5425</v>
      </c>
      <c r="B24" s="57" t="str">
        <f>'A) Base RI'!B26</f>
        <v>Bière</v>
      </c>
      <c r="C24" s="32">
        <f>'B) D RI'!Y26</f>
        <v>153294.75</v>
      </c>
      <c r="D24" s="14">
        <f>'B) D RI'!Z26</f>
        <v>57880.65</v>
      </c>
      <c r="E24" s="10">
        <f t="shared" si="0"/>
        <v>211175.4</v>
      </c>
      <c r="F24" s="14">
        <f>'B) D RI'!U26</f>
        <v>39425.527551724139</v>
      </c>
      <c r="G24" s="265">
        <f t="shared" si="1"/>
        <v>5.3563113321172278</v>
      </c>
      <c r="H24" s="58">
        <f t="shared" si="2"/>
        <v>94011.57</v>
      </c>
    </row>
    <row r="25" spans="1:8" x14ac:dyDescent="0.25">
      <c r="A25" s="50">
        <f>'A) Base RI'!A27</f>
        <v>5426</v>
      </c>
      <c r="B25" s="57" t="str">
        <f>'A) Base RI'!B27</f>
        <v>Bougy-Villars</v>
      </c>
      <c r="C25" s="32">
        <f>'B) D RI'!Y27</f>
        <v>2276857.8499999996</v>
      </c>
      <c r="D25" s="14">
        <f>'B) D RI'!Z27</f>
        <v>16551.05</v>
      </c>
      <c r="E25" s="10">
        <f t="shared" si="0"/>
        <v>2293408.8999999994</v>
      </c>
      <c r="F25" s="14">
        <f>'B) D RI'!U27</f>
        <v>50769.838510101006</v>
      </c>
      <c r="G25" s="265">
        <f t="shared" si="1"/>
        <v>45.17266485974168</v>
      </c>
      <c r="H25" s="58">
        <f t="shared" si="2"/>
        <v>1143394.2399999998</v>
      </c>
    </row>
    <row r="26" spans="1:8" x14ac:dyDescent="0.25">
      <c r="A26" s="50">
        <f>'A) Base RI'!A28</f>
        <v>5427</v>
      </c>
      <c r="B26" s="57" t="str">
        <f>'A) Base RI'!B28</f>
        <v>Féchy</v>
      </c>
      <c r="C26" s="32">
        <f>'B) D RI'!Y28</f>
        <v>424557.19999999995</v>
      </c>
      <c r="D26" s="14">
        <f>'B) D RI'!Z28</f>
        <v>11374.1</v>
      </c>
      <c r="E26" s="10">
        <f t="shared" si="0"/>
        <v>435931.29999999993</v>
      </c>
      <c r="F26" s="14">
        <f>'B) D RI'!U28</f>
        <v>73025.207608173092</v>
      </c>
      <c r="G26" s="265">
        <f t="shared" si="1"/>
        <v>5.9696002829468142</v>
      </c>
      <c r="H26" s="58">
        <f t="shared" si="2"/>
        <v>215690.83</v>
      </c>
    </row>
    <row r="27" spans="1:8" x14ac:dyDescent="0.25">
      <c r="A27" s="50">
        <f>'A) Base RI'!A29</f>
        <v>5428</v>
      </c>
      <c r="B27" s="57" t="str">
        <f>'A) Base RI'!B29</f>
        <v>Gimel</v>
      </c>
      <c r="C27" s="32">
        <f>'B) D RI'!Y29</f>
        <v>704468.5</v>
      </c>
      <c r="D27" s="14">
        <f>'B) D RI'!Z29</f>
        <v>228410.25</v>
      </c>
      <c r="E27" s="10">
        <f t="shared" si="0"/>
        <v>932878.75</v>
      </c>
      <c r="F27" s="14">
        <f>'B) D RI'!U29</f>
        <v>59817.35356643358</v>
      </c>
      <c r="G27" s="265">
        <f t="shared" si="1"/>
        <v>15.59545339905314</v>
      </c>
      <c r="H27" s="58">
        <f t="shared" si="2"/>
        <v>420757.32500000001</v>
      </c>
    </row>
    <row r="28" spans="1:8" x14ac:dyDescent="0.25">
      <c r="A28" s="50">
        <f>'A) Base RI'!A30</f>
        <v>5429</v>
      </c>
      <c r="B28" s="57" t="str">
        <f>'A) Base RI'!B30</f>
        <v>Longirod</v>
      </c>
      <c r="C28" s="32">
        <f>'B) D RI'!Y30</f>
        <v>72785.399999999994</v>
      </c>
      <c r="D28" s="14">
        <f>'B) D RI'!Z30</f>
        <v>0</v>
      </c>
      <c r="E28" s="10">
        <f t="shared" si="0"/>
        <v>72785.399999999994</v>
      </c>
      <c r="F28" s="14">
        <f>'B) D RI'!U30</f>
        <v>13793.381358024693</v>
      </c>
      <c r="G28" s="265">
        <f t="shared" si="1"/>
        <v>5.2768351799143876</v>
      </c>
      <c r="H28" s="58">
        <f t="shared" si="2"/>
        <v>36392.699999999997</v>
      </c>
    </row>
    <row r="29" spans="1:8" x14ac:dyDescent="0.25">
      <c r="A29" s="50">
        <f>'A) Base RI'!A31</f>
        <v>5430</v>
      </c>
      <c r="B29" s="57" t="str">
        <f>'A) Base RI'!B31</f>
        <v>Marchissy</v>
      </c>
      <c r="C29" s="32">
        <f>'B) D RI'!Y31</f>
        <v>69580.800000000003</v>
      </c>
      <c r="D29" s="14">
        <f>'B) D RI'!Z31</f>
        <v>6788.55</v>
      </c>
      <c r="E29" s="10">
        <f t="shared" si="0"/>
        <v>76369.350000000006</v>
      </c>
      <c r="F29" s="14">
        <f>'B) D RI'!U31</f>
        <v>13616.452025316456</v>
      </c>
      <c r="G29" s="265">
        <f t="shared" si="1"/>
        <v>5.6086086050911002</v>
      </c>
      <c r="H29" s="58">
        <f t="shared" si="2"/>
        <v>36826.965000000004</v>
      </c>
    </row>
    <row r="30" spans="1:8" x14ac:dyDescent="0.25">
      <c r="A30" s="50">
        <f>'A) Base RI'!A32</f>
        <v>5431</v>
      </c>
      <c r="B30" s="57" t="str">
        <f>'A) Base RI'!B32</f>
        <v>Mollens</v>
      </c>
      <c r="C30" s="32">
        <f>'B) D RI'!Y32</f>
        <v>95069.6</v>
      </c>
      <c r="D30" s="14">
        <f>'B) D RI'!Z32</f>
        <v>275.7</v>
      </c>
      <c r="E30" s="10">
        <f t="shared" si="0"/>
        <v>95345.3</v>
      </c>
      <c r="F30" s="14">
        <f>'B) D RI'!U32</f>
        <v>8628.4962162162174</v>
      </c>
      <c r="G30" s="265">
        <f t="shared" si="1"/>
        <v>11.050048306309739</v>
      </c>
      <c r="H30" s="58">
        <f t="shared" si="2"/>
        <v>47617.51</v>
      </c>
    </row>
    <row r="31" spans="1:8" x14ac:dyDescent="0.25">
      <c r="A31" s="50">
        <f>'A) Base RI'!A33</f>
        <v>5432</v>
      </c>
      <c r="B31" s="57" t="str">
        <f>'A) Base RI'!B33</f>
        <v>Montherod</v>
      </c>
      <c r="C31" s="32">
        <f>'B) D RI'!Y33</f>
        <v>45323.55</v>
      </c>
      <c r="D31" s="14">
        <f>'B) D RI'!Z33</f>
        <v>16499.2</v>
      </c>
      <c r="E31" s="10">
        <f t="shared" si="0"/>
        <v>61822.75</v>
      </c>
      <c r="F31" s="14">
        <f>'B) D RI'!U33</f>
        <v>18262.77307692308</v>
      </c>
      <c r="G31" s="265">
        <f t="shared" si="1"/>
        <v>3.3851786768417713</v>
      </c>
      <c r="H31" s="58">
        <f t="shared" si="2"/>
        <v>27611.535000000003</v>
      </c>
    </row>
    <row r="32" spans="1:8" x14ac:dyDescent="0.25">
      <c r="A32" s="50">
        <f>'A) Base RI'!A34</f>
        <v>5434</v>
      </c>
      <c r="B32" s="57" t="str">
        <f>'A) Base RI'!B34</f>
        <v>Saint-George</v>
      </c>
      <c r="C32" s="32">
        <f>'B) D RI'!Y34</f>
        <v>326138.65000000002</v>
      </c>
      <c r="D32" s="14">
        <f>'B) D RI'!Z34</f>
        <v>35998.949999999997</v>
      </c>
      <c r="E32" s="10">
        <f t="shared" si="0"/>
        <v>362137.60000000003</v>
      </c>
      <c r="F32" s="14">
        <f>'B) D RI'!U34</f>
        <v>36787.196197183097</v>
      </c>
      <c r="G32" s="265">
        <f t="shared" si="1"/>
        <v>9.844120711426493</v>
      </c>
      <c r="H32" s="58">
        <f t="shared" si="2"/>
        <v>173869.01</v>
      </c>
    </row>
    <row r="33" spans="1:8" x14ac:dyDescent="0.25">
      <c r="A33" s="50">
        <f>'A) Base RI'!A35</f>
        <v>5435</v>
      </c>
      <c r="B33" s="57" t="str">
        <f>'A) Base RI'!B35</f>
        <v>Saint-Livres</v>
      </c>
      <c r="C33" s="32">
        <f>'B) D RI'!Y35</f>
        <v>87594.6</v>
      </c>
      <c r="D33" s="14">
        <f>'B) D RI'!Z35</f>
        <v>1718.3</v>
      </c>
      <c r="E33" s="10">
        <f t="shared" si="0"/>
        <v>89312.900000000009</v>
      </c>
      <c r="F33" s="14">
        <f>'B) D RI'!U35</f>
        <v>24145.271449275358</v>
      </c>
      <c r="G33" s="265">
        <f t="shared" si="1"/>
        <v>3.6989809863032392</v>
      </c>
      <c r="H33" s="58">
        <f t="shared" si="2"/>
        <v>44312.79</v>
      </c>
    </row>
    <row r="34" spans="1:8" x14ac:dyDescent="0.25">
      <c r="A34" s="50">
        <f>'A) Base RI'!A36</f>
        <v>5436</v>
      </c>
      <c r="B34" s="57" t="str">
        <f>'A) Base RI'!B36</f>
        <v>Saint-Oyens</v>
      </c>
      <c r="C34" s="32">
        <f>'B) D RI'!Y36</f>
        <v>114474.85</v>
      </c>
      <c r="D34" s="14">
        <f>'B) D RI'!Z36</f>
        <v>0</v>
      </c>
      <c r="E34" s="10">
        <f t="shared" si="0"/>
        <v>114474.85</v>
      </c>
      <c r="F34" s="14">
        <f>'B) D RI'!U36</f>
        <v>15077.325709876546</v>
      </c>
      <c r="G34" s="265">
        <f t="shared" si="1"/>
        <v>7.5925168828190905</v>
      </c>
      <c r="H34" s="58">
        <f t="shared" si="2"/>
        <v>57237.425000000003</v>
      </c>
    </row>
    <row r="35" spans="1:8" x14ac:dyDescent="0.25">
      <c r="A35" s="50">
        <f>'A) Base RI'!A37</f>
        <v>5437</v>
      </c>
      <c r="B35" s="57" t="str">
        <f>'A) Base RI'!B37</f>
        <v>Saubraz</v>
      </c>
      <c r="C35" s="32">
        <f>'B) D RI'!Y37</f>
        <v>81923.95</v>
      </c>
      <c r="D35" s="14">
        <f>'B) D RI'!Z37</f>
        <v>0</v>
      </c>
      <c r="E35" s="10">
        <f t="shared" si="0"/>
        <v>81923.95</v>
      </c>
      <c r="F35" s="14">
        <f>'B) D RI'!U37</f>
        <v>11422.239624999998</v>
      </c>
      <c r="G35" s="265">
        <f t="shared" si="1"/>
        <v>7.1723193252479156</v>
      </c>
      <c r="H35" s="58">
        <f t="shared" si="2"/>
        <v>40961.974999999999</v>
      </c>
    </row>
    <row r="36" spans="1:8" x14ac:dyDescent="0.25">
      <c r="A36" s="50">
        <f>'A) Base RI'!A38</f>
        <v>5451</v>
      </c>
      <c r="B36" s="57" t="str">
        <f>'A) Base RI'!B38</f>
        <v>Avenches</v>
      </c>
      <c r="C36" s="32">
        <f>'B) D RI'!Y38</f>
        <v>1034409.9</v>
      </c>
      <c r="D36" s="14">
        <f>'B) D RI'!Z38</f>
        <v>582876.80000000005</v>
      </c>
      <c r="E36" s="10">
        <f t="shared" si="0"/>
        <v>1617286.7000000002</v>
      </c>
      <c r="F36" s="14">
        <f>'B) D RI'!U38</f>
        <v>150757.73362745097</v>
      </c>
      <c r="G36" s="265">
        <f t="shared" si="1"/>
        <v>10.727719640549928</v>
      </c>
      <c r="H36" s="58">
        <f t="shared" si="2"/>
        <v>692067.99</v>
      </c>
    </row>
    <row r="37" spans="1:8" x14ac:dyDescent="0.25">
      <c r="A37" s="50">
        <f>'A) Base RI'!A39</f>
        <v>5456</v>
      </c>
      <c r="B37" s="57" t="str">
        <f>'A) Base RI'!B39</f>
        <v>Cudrefin</v>
      </c>
      <c r="C37" s="32">
        <f>'B) D RI'!Y39</f>
        <v>508927.3</v>
      </c>
      <c r="D37" s="14">
        <f>'B) D RI'!Z39</f>
        <v>10293.4</v>
      </c>
      <c r="E37" s="10">
        <f t="shared" si="0"/>
        <v>519220.7</v>
      </c>
      <c r="F37" s="14">
        <f>'B) D RI'!U39</f>
        <v>59376.955254237291</v>
      </c>
      <c r="G37" s="265">
        <f t="shared" si="1"/>
        <v>8.7444817232009733</v>
      </c>
      <c r="H37" s="58">
        <f t="shared" si="2"/>
        <v>257551.66999999998</v>
      </c>
    </row>
    <row r="38" spans="1:8" x14ac:dyDescent="0.25">
      <c r="A38" s="50">
        <f>'A) Base RI'!A40</f>
        <v>5458</v>
      </c>
      <c r="B38" s="57" t="str">
        <f>'A) Base RI'!B40</f>
        <v>Faoug</v>
      </c>
      <c r="C38" s="32">
        <f>'B) D RI'!Y40</f>
        <v>250275.25</v>
      </c>
      <c r="D38" s="14">
        <f>'B) D RI'!Z40</f>
        <v>0</v>
      </c>
      <c r="E38" s="10">
        <f t="shared" si="0"/>
        <v>250275.25</v>
      </c>
      <c r="F38" s="14">
        <f>'B) D RI'!U40</f>
        <v>30529.72296875</v>
      </c>
      <c r="G38" s="265">
        <f t="shared" si="1"/>
        <v>8.1977569942635871</v>
      </c>
      <c r="H38" s="58">
        <f t="shared" si="2"/>
        <v>125137.625</v>
      </c>
    </row>
    <row r="39" spans="1:8" x14ac:dyDescent="0.25">
      <c r="A39" s="50">
        <f>'A) Base RI'!A41</f>
        <v>5464</v>
      </c>
      <c r="B39" s="57" t="str">
        <f>'A) Base RI'!B41</f>
        <v>Vully-les-Lacs</v>
      </c>
      <c r="C39" s="32">
        <f>'B) D RI'!Y41</f>
        <v>779740.25</v>
      </c>
      <c r="D39" s="14">
        <f>'B) D RI'!Z41</f>
        <v>0</v>
      </c>
      <c r="E39" s="10">
        <f t="shared" si="0"/>
        <v>779740.25</v>
      </c>
      <c r="F39" s="14">
        <f>'B) D RI'!U41</f>
        <v>103962.98910447762</v>
      </c>
      <c r="G39" s="265">
        <f t="shared" si="1"/>
        <v>7.5001715198511647</v>
      </c>
      <c r="H39" s="58">
        <f t="shared" si="2"/>
        <v>389870.125</v>
      </c>
    </row>
    <row r="40" spans="1:8" x14ac:dyDescent="0.25">
      <c r="A40" s="50">
        <f>'A) Base RI'!A42</f>
        <v>5471</v>
      </c>
      <c r="B40" s="57" t="str">
        <f>'A) Base RI'!B42</f>
        <v>Bettens</v>
      </c>
      <c r="C40" s="32">
        <f>'B) D RI'!Y42</f>
        <v>62410.9</v>
      </c>
      <c r="D40" s="14">
        <f>'B) D RI'!Z42</f>
        <v>17517.349999999999</v>
      </c>
      <c r="E40" s="10">
        <f t="shared" si="0"/>
        <v>79928.25</v>
      </c>
      <c r="F40" s="14">
        <f>'B) D RI'!U42</f>
        <v>18585.086968253971</v>
      </c>
      <c r="G40" s="265">
        <f t="shared" si="1"/>
        <v>4.3006659122192472</v>
      </c>
      <c r="H40" s="58">
        <f t="shared" si="2"/>
        <v>36460.654999999999</v>
      </c>
    </row>
    <row r="41" spans="1:8" x14ac:dyDescent="0.25">
      <c r="A41" s="50">
        <f>'A) Base RI'!A43</f>
        <v>5472</v>
      </c>
      <c r="B41" s="57" t="str">
        <f>'A) Base RI'!B43</f>
        <v>Bournens</v>
      </c>
      <c r="C41" s="32">
        <f>'B) D RI'!Y43</f>
        <v>41817.149999999994</v>
      </c>
      <c r="D41" s="14">
        <f>'B) D RI'!Z43</f>
        <v>0</v>
      </c>
      <c r="E41" s="10">
        <f t="shared" si="0"/>
        <v>41817.149999999994</v>
      </c>
      <c r="F41" s="14">
        <f>'B) D RI'!U43</f>
        <v>16542.658815789473</v>
      </c>
      <c r="G41" s="265">
        <f t="shared" si="1"/>
        <v>2.5278373002583341</v>
      </c>
      <c r="H41" s="58">
        <f t="shared" si="2"/>
        <v>20908.574999999997</v>
      </c>
    </row>
    <row r="42" spans="1:8" x14ac:dyDescent="0.25">
      <c r="A42" s="50">
        <f>'A) Base RI'!A44</f>
        <v>5473</v>
      </c>
      <c r="B42" s="57" t="str">
        <f>'A) Base RI'!B44</f>
        <v>Boussens</v>
      </c>
      <c r="C42" s="32">
        <f>'B) D RI'!Y44</f>
        <v>80702.850000000006</v>
      </c>
      <c r="D42" s="14">
        <f>'B) D RI'!Z44</f>
        <v>0</v>
      </c>
      <c r="E42" s="10">
        <f t="shared" si="0"/>
        <v>80702.850000000006</v>
      </c>
      <c r="F42" s="14">
        <f>'B) D RI'!U44</f>
        <v>36720.844927536244</v>
      </c>
      <c r="G42" s="265">
        <f t="shared" si="1"/>
        <v>2.1977394626745781</v>
      </c>
      <c r="H42" s="58">
        <f t="shared" si="2"/>
        <v>40351.425000000003</v>
      </c>
    </row>
    <row r="43" spans="1:8" x14ac:dyDescent="0.25">
      <c r="A43" s="50">
        <f>'A) Base RI'!A45</f>
        <v>5474</v>
      </c>
      <c r="B43" s="57" t="str">
        <f>'A) Base RI'!B45</f>
        <v>La Chaux (Cossonay)</v>
      </c>
      <c r="C43" s="32">
        <f>'B) D RI'!Y45</f>
        <v>-5577.7999999999993</v>
      </c>
      <c r="D43" s="14">
        <f>'B) D RI'!Z45</f>
        <v>2867.05</v>
      </c>
      <c r="E43" s="10">
        <f t="shared" si="0"/>
        <v>-2710.7499999999991</v>
      </c>
      <c r="F43" s="14">
        <f>'B) D RI'!U45</f>
        <v>12985.393549783552</v>
      </c>
      <c r="G43" s="265">
        <f t="shared" si="1"/>
        <v>-0.20875378090063226</v>
      </c>
      <c r="H43" s="58">
        <f t="shared" si="2"/>
        <v>-1928.7849999999996</v>
      </c>
    </row>
    <row r="44" spans="1:8" x14ac:dyDescent="0.25">
      <c r="A44" s="50">
        <f>'A) Base RI'!A46</f>
        <v>5475</v>
      </c>
      <c r="B44" s="57" t="str">
        <f>'A) Base RI'!B46</f>
        <v>Chavannes-le-Veyron</v>
      </c>
      <c r="C44" s="32">
        <f>'B) D RI'!Y46</f>
        <v>64643.1</v>
      </c>
      <c r="D44" s="14">
        <f>'B) D RI'!Z46</f>
        <v>0</v>
      </c>
      <c r="E44" s="10">
        <f t="shared" si="0"/>
        <v>64643.1</v>
      </c>
      <c r="F44" s="14">
        <f>'B) D RI'!U46</f>
        <v>4956.4012987012984</v>
      </c>
      <c r="G44" s="265">
        <f t="shared" si="1"/>
        <v>13.042345868349706</v>
      </c>
      <c r="H44" s="58">
        <f t="shared" si="2"/>
        <v>32321.55</v>
      </c>
    </row>
    <row r="45" spans="1:8" x14ac:dyDescent="0.25">
      <c r="A45" s="50">
        <f>'A) Base RI'!A47</f>
        <v>5476</v>
      </c>
      <c r="B45" s="57" t="str">
        <f>'A) Base RI'!B47</f>
        <v>Chevilly</v>
      </c>
      <c r="C45" s="32">
        <f>'B) D RI'!Y47</f>
        <v>-332.19999999999982</v>
      </c>
      <c r="D45" s="14">
        <f>'B) D RI'!Z47</f>
        <v>0</v>
      </c>
      <c r="E45" s="10">
        <f t="shared" si="0"/>
        <v>-332.19999999999982</v>
      </c>
      <c r="F45" s="14">
        <f>'B) D RI'!U47</f>
        <v>10630.648108108109</v>
      </c>
      <c r="G45" s="265">
        <f t="shared" si="1"/>
        <v>-3.124927065797873E-2</v>
      </c>
      <c r="H45" s="58">
        <f t="shared" si="2"/>
        <v>-166.09999999999991</v>
      </c>
    </row>
    <row r="46" spans="1:8" x14ac:dyDescent="0.25">
      <c r="A46" s="50">
        <f>'A) Base RI'!A48</f>
        <v>5477</v>
      </c>
      <c r="B46" s="57" t="str">
        <f>'A) Base RI'!B48</f>
        <v>Cossonay</v>
      </c>
      <c r="C46" s="32">
        <f>'B) D RI'!Y48</f>
        <v>780195.64999999991</v>
      </c>
      <c r="D46" s="14">
        <f>'B) D RI'!Z48</f>
        <v>65546.75</v>
      </c>
      <c r="E46" s="10">
        <f t="shared" si="0"/>
        <v>845742.39999999991</v>
      </c>
      <c r="F46" s="14">
        <f>'B) D RI'!U48</f>
        <v>133477.09521126762</v>
      </c>
      <c r="G46" s="265">
        <f t="shared" si="1"/>
        <v>6.3362361809069814</v>
      </c>
      <c r="H46" s="58">
        <f t="shared" si="2"/>
        <v>409761.85</v>
      </c>
    </row>
    <row r="47" spans="1:8" x14ac:dyDescent="0.25">
      <c r="A47" s="50">
        <f>'A) Base RI'!A49</f>
        <v>5478</v>
      </c>
      <c r="B47" s="57" t="str">
        <f>'A) Base RI'!B49</f>
        <v>Cottens</v>
      </c>
      <c r="C47" s="32">
        <f>'B) D RI'!Y49</f>
        <v>46469.4</v>
      </c>
      <c r="D47" s="14">
        <f>'B) D RI'!Z49</f>
        <v>0</v>
      </c>
      <c r="E47" s="10">
        <f t="shared" si="0"/>
        <v>46469.4</v>
      </c>
      <c r="F47" s="14">
        <f>'B) D RI'!U49</f>
        <v>14377.418378378377</v>
      </c>
      <c r="G47" s="265">
        <f t="shared" si="1"/>
        <v>3.2321101589339203</v>
      </c>
      <c r="H47" s="58">
        <f t="shared" si="2"/>
        <v>23234.7</v>
      </c>
    </row>
    <row r="48" spans="1:8" x14ac:dyDescent="0.25">
      <c r="A48" s="50">
        <f>'A) Base RI'!A50</f>
        <v>5479</v>
      </c>
      <c r="B48" s="57" t="str">
        <f>'A) Base RI'!B50</f>
        <v>Cuarnens</v>
      </c>
      <c r="C48" s="32">
        <f>'B) D RI'!Y50</f>
        <v>82848.600000000006</v>
      </c>
      <c r="D48" s="14">
        <f>'B) D RI'!Z50</f>
        <v>5626.3</v>
      </c>
      <c r="E48" s="10">
        <f t="shared" si="0"/>
        <v>88474.900000000009</v>
      </c>
      <c r="F48" s="14">
        <f>'B) D RI'!U50</f>
        <v>16455.372077922078</v>
      </c>
      <c r="G48" s="265">
        <f t="shared" si="1"/>
        <v>5.376657518349611</v>
      </c>
      <c r="H48" s="58">
        <f t="shared" si="2"/>
        <v>43112.19</v>
      </c>
    </row>
    <row r="49" spans="1:8" x14ac:dyDescent="0.25">
      <c r="A49" s="50">
        <f>'A) Base RI'!A51</f>
        <v>5480</v>
      </c>
      <c r="B49" s="57" t="str">
        <f>'A) Base RI'!B51</f>
        <v>Daillens</v>
      </c>
      <c r="C49" s="32">
        <f>'B) D RI'!Y51</f>
        <v>273065.75</v>
      </c>
      <c r="D49" s="14">
        <f>'B) D RI'!Z51</f>
        <v>135149.35</v>
      </c>
      <c r="E49" s="10">
        <f t="shared" si="0"/>
        <v>408215.1</v>
      </c>
      <c r="F49" s="14">
        <f>'B) D RI'!U51</f>
        <v>41472.794507042257</v>
      </c>
      <c r="G49" s="265">
        <f t="shared" si="1"/>
        <v>9.842961026672155</v>
      </c>
      <c r="H49" s="58">
        <f t="shared" si="2"/>
        <v>177077.68</v>
      </c>
    </row>
    <row r="50" spans="1:8" x14ac:dyDescent="0.25">
      <c r="A50" s="50">
        <f>'A) Base RI'!A52</f>
        <v>5481</v>
      </c>
      <c r="B50" s="57" t="str">
        <f>'A) Base RI'!B52</f>
        <v>Dizy</v>
      </c>
      <c r="C50" s="32">
        <f>'B) D RI'!Y52</f>
        <v>33645.699999999997</v>
      </c>
      <c r="D50" s="14">
        <f>'B) D RI'!Z52</f>
        <v>0</v>
      </c>
      <c r="E50" s="10">
        <f t="shared" si="0"/>
        <v>33645.699999999997</v>
      </c>
      <c r="F50" s="14">
        <f>'B) D RI'!U52</f>
        <v>11087.272784810126</v>
      </c>
      <c r="G50" s="265">
        <f t="shared" si="1"/>
        <v>3.0346236313492301</v>
      </c>
      <c r="H50" s="58">
        <f t="shared" si="2"/>
        <v>16822.849999999999</v>
      </c>
    </row>
    <row r="51" spans="1:8" x14ac:dyDescent="0.25">
      <c r="A51" s="50">
        <f>'A) Base RI'!A53</f>
        <v>5482</v>
      </c>
      <c r="B51" s="57" t="str">
        <f>'A) Base RI'!B53</f>
        <v>Eclépens</v>
      </c>
      <c r="C51" s="32">
        <f>'B) D RI'!Y53</f>
        <v>85042.95</v>
      </c>
      <c r="D51" s="14">
        <f>'B) D RI'!Z53</f>
        <v>301337.95</v>
      </c>
      <c r="E51" s="10">
        <f t="shared" si="0"/>
        <v>386380.9</v>
      </c>
      <c r="F51" s="14">
        <f>'B) D RI'!U53</f>
        <v>49011.702173913051</v>
      </c>
      <c r="G51" s="265">
        <f t="shared" si="1"/>
        <v>7.883441767212382</v>
      </c>
      <c r="H51" s="58">
        <f t="shared" si="2"/>
        <v>132922.85999999999</v>
      </c>
    </row>
    <row r="52" spans="1:8" x14ac:dyDescent="0.25">
      <c r="A52" s="50">
        <f>'A) Base RI'!A54</f>
        <v>5483</v>
      </c>
      <c r="B52" s="57" t="str">
        <f>'A) Base RI'!B54</f>
        <v>Ferreyres</v>
      </c>
      <c r="C52" s="32">
        <f>'B) D RI'!Y54</f>
        <v>45231.25</v>
      </c>
      <c r="D52" s="14">
        <f>'B) D RI'!Z54</f>
        <v>0</v>
      </c>
      <c r="E52" s="10">
        <f t="shared" si="0"/>
        <v>45231.25</v>
      </c>
      <c r="F52" s="14">
        <f>'B) D RI'!U54</f>
        <v>8858.2019736842121</v>
      </c>
      <c r="G52" s="265">
        <f t="shared" si="1"/>
        <v>5.106143451500901</v>
      </c>
      <c r="H52" s="58">
        <f t="shared" si="2"/>
        <v>22615.625</v>
      </c>
    </row>
    <row r="53" spans="1:8" x14ac:dyDescent="0.25">
      <c r="A53" s="50">
        <f>'A) Base RI'!A55</f>
        <v>5484</v>
      </c>
      <c r="B53" s="57" t="str">
        <f>'A) Base RI'!B55</f>
        <v>Gollion</v>
      </c>
      <c r="C53" s="32">
        <f>'B) D RI'!Y55</f>
        <v>273526.95</v>
      </c>
      <c r="D53" s="14">
        <f>'B) D RI'!Z55</f>
        <v>24458.2</v>
      </c>
      <c r="E53" s="10">
        <f t="shared" si="0"/>
        <v>297985.15000000002</v>
      </c>
      <c r="F53" s="14">
        <f>'B) D RI'!U55</f>
        <v>32194.381081081083</v>
      </c>
      <c r="G53" s="265">
        <f t="shared" si="1"/>
        <v>9.2558123496621576</v>
      </c>
      <c r="H53" s="58">
        <f t="shared" si="2"/>
        <v>144100.935</v>
      </c>
    </row>
    <row r="54" spans="1:8" x14ac:dyDescent="0.25">
      <c r="A54" s="50">
        <f>'A) Base RI'!A56</f>
        <v>5485</v>
      </c>
      <c r="B54" s="57" t="str">
        <f>'A) Base RI'!B56</f>
        <v>Grancy</v>
      </c>
      <c r="C54" s="32">
        <f>'B) D RI'!Y56</f>
        <v>26234.2</v>
      </c>
      <c r="D54" s="14">
        <f>'B) D RI'!Z56</f>
        <v>10325.549999999999</v>
      </c>
      <c r="E54" s="10">
        <f t="shared" si="0"/>
        <v>36559.75</v>
      </c>
      <c r="F54" s="14">
        <f>'B) D RI'!U56</f>
        <v>18697.252714285714</v>
      </c>
      <c r="G54" s="265">
        <f t="shared" si="1"/>
        <v>1.9553541131776204</v>
      </c>
      <c r="H54" s="58">
        <f t="shared" si="2"/>
        <v>16214.764999999999</v>
      </c>
    </row>
    <row r="55" spans="1:8" x14ac:dyDescent="0.25">
      <c r="A55" s="50">
        <f>'A) Base RI'!A57</f>
        <v>5486</v>
      </c>
      <c r="B55" s="57" t="str">
        <f>'A) Base RI'!B57</f>
        <v>L'Isle</v>
      </c>
      <c r="C55" s="32">
        <f>'B) D RI'!Y57</f>
        <v>134137.70000000001</v>
      </c>
      <c r="D55" s="14">
        <f>'B) D RI'!Z57</f>
        <v>81096.3</v>
      </c>
      <c r="E55" s="10">
        <f t="shared" si="0"/>
        <v>215234</v>
      </c>
      <c r="F55" s="14">
        <f>'B) D RI'!U57</f>
        <v>31254.420526315782</v>
      </c>
      <c r="G55" s="265">
        <f t="shared" si="1"/>
        <v>6.8865138554968892</v>
      </c>
      <c r="H55" s="58">
        <f t="shared" si="2"/>
        <v>91397.74</v>
      </c>
    </row>
    <row r="56" spans="1:8" x14ac:dyDescent="0.25">
      <c r="A56" s="50">
        <f>'A) Base RI'!A58</f>
        <v>5487</v>
      </c>
      <c r="B56" s="57" t="str">
        <f>'A) Base RI'!B58</f>
        <v>Lussery-Villars</v>
      </c>
      <c r="C56" s="32">
        <f>'B) D RI'!Y58</f>
        <v>19862.400000000001</v>
      </c>
      <c r="D56" s="14">
        <f>'B) D RI'!Z58</f>
        <v>0</v>
      </c>
      <c r="E56" s="10">
        <f t="shared" si="0"/>
        <v>19862.400000000001</v>
      </c>
      <c r="F56" s="14">
        <f>'B) D RI'!U58</f>
        <v>14791.264800000001</v>
      </c>
      <c r="G56" s="265">
        <f t="shared" si="1"/>
        <v>1.3428466239073753</v>
      </c>
      <c r="H56" s="58">
        <f t="shared" si="2"/>
        <v>9931.2000000000007</v>
      </c>
    </row>
    <row r="57" spans="1:8" x14ac:dyDescent="0.25">
      <c r="A57" s="50">
        <f>'A) Base RI'!A59</f>
        <v>5488</v>
      </c>
      <c r="B57" s="57" t="str">
        <f>'A) Base RI'!B59</f>
        <v>Mauraz</v>
      </c>
      <c r="C57" s="32">
        <f>'B) D RI'!Y59</f>
        <v>12610.7</v>
      </c>
      <c r="D57" s="14">
        <f>'B) D RI'!Z59</f>
        <v>0</v>
      </c>
      <c r="E57" s="10">
        <f t="shared" si="0"/>
        <v>12610.7</v>
      </c>
      <c r="F57" s="14">
        <f>'B) D RI'!U59</f>
        <v>1908.9349999999995</v>
      </c>
      <c r="G57" s="265">
        <f t="shared" si="1"/>
        <v>6.6061442636862981</v>
      </c>
      <c r="H57" s="58">
        <f t="shared" si="2"/>
        <v>6305.35</v>
      </c>
    </row>
    <row r="58" spans="1:8" x14ac:dyDescent="0.25">
      <c r="A58" s="50">
        <f>'A) Base RI'!A60</f>
        <v>5489</v>
      </c>
      <c r="B58" s="57" t="str">
        <f>'A) Base RI'!B60</f>
        <v>Mex</v>
      </c>
      <c r="C58" s="32">
        <f>'B) D RI'!Y60</f>
        <v>84912.25</v>
      </c>
      <c r="D58" s="14">
        <f>'B) D RI'!Z60</f>
        <v>156536.9</v>
      </c>
      <c r="E58" s="10">
        <f t="shared" si="0"/>
        <v>241449.15</v>
      </c>
      <c r="F58" s="14">
        <f>'B) D RI'!U60</f>
        <v>70574.798032786901</v>
      </c>
      <c r="G58" s="265">
        <f t="shared" si="1"/>
        <v>3.4211808851061831</v>
      </c>
      <c r="H58" s="58">
        <f t="shared" si="2"/>
        <v>89417.195000000007</v>
      </c>
    </row>
    <row r="59" spans="1:8" x14ac:dyDescent="0.25">
      <c r="A59" s="50">
        <f>'A) Base RI'!A61</f>
        <v>5490</v>
      </c>
      <c r="B59" s="57" t="str">
        <f>'A) Base RI'!B61</f>
        <v>Moiry</v>
      </c>
      <c r="C59" s="32">
        <f>'B) D RI'!Y61</f>
        <v>32140.5</v>
      </c>
      <c r="D59" s="14">
        <f>'B) D RI'!Z61</f>
        <v>0</v>
      </c>
      <c r="E59" s="10">
        <f t="shared" si="0"/>
        <v>32140.5</v>
      </c>
      <c r="F59" s="14">
        <f>'B) D RI'!U61</f>
        <v>9296.4079999999994</v>
      </c>
      <c r="G59" s="265">
        <f t="shared" si="1"/>
        <v>3.4573030787805354</v>
      </c>
      <c r="H59" s="58">
        <f t="shared" si="2"/>
        <v>16070.25</v>
      </c>
    </row>
    <row r="60" spans="1:8" x14ac:dyDescent="0.25">
      <c r="A60" s="50">
        <f>'A) Base RI'!A62</f>
        <v>5491</v>
      </c>
      <c r="B60" s="57" t="str">
        <f>'A) Base RI'!B62</f>
        <v>Mont-la-Ville</v>
      </c>
      <c r="C60" s="32">
        <f>'B) D RI'!Y62</f>
        <v>90534.75</v>
      </c>
      <c r="D60" s="14">
        <f>'B) D RI'!Z62</f>
        <v>2093</v>
      </c>
      <c r="E60" s="10">
        <f t="shared" si="0"/>
        <v>92627.75</v>
      </c>
      <c r="F60" s="14">
        <f>'B) D RI'!U62</f>
        <v>12324.548552631581</v>
      </c>
      <c r="G60" s="265">
        <f t="shared" si="1"/>
        <v>7.5157113953859023</v>
      </c>
      <c r="H60" s="58">
        <f t="shared" si="2"/>
        <v>45895.275000000001</v>
      </c>
    </row>
    <row r="61" spans="1:8" x14ac:dyDescent="0.25">
      <c r="A61" s="50">
        <f>'A) Base RI'!A63</f>
        <v>5492</v>
      </c>
      <c r="B61" s="57" t="str">
        <f>'A) Base RI'!B63</f>
        <v>Montricher</v>
      </c>
      <c r="C61" s="32">
        <f>'B) D RI'!Y63</f>
        <v>630837.25</v>
      </c>
      <c r="D61" s="14">
        <f>'B) D RI'!Z63</f>
        <v>3572.45</v>
      </c>
      <c r="E61" s="10">
        <f t="shared" si="0"/>
        <v>634409.69999999995</v>
      </c>
      <c r="F61" s="14">
        <f>'B) D RI'!U63</f>
        <v>236409.63453124999</v>
      </c>
      <c r="G61" s="265">
        <f t="shared" si="1"/>
        <v>2.6835188052208592</v>
      </c>
      <c r="H61" s="58">
        <f t="shared" si="2"/>
        <v>316490.36</v>
      </c>
    </row>
    <row r="62" spans="1:8" x14ac:dyDescent="0.25">
      <c r="A62" s="50">
        <f>'A) Base RI'!A64</f>
        <v>5493</v>
      </c>
      <c r="B62" s="57" t="str">
        <f>'A) Base RI'!B64</f>
        <v>Orny</v>
      </c>
      <c r="C62" s="32">
        <f>'B) D RI'!Y64</f>
        <v>70483.549999999988</v>
      </c>
      <c r="D62" s="14">
        <f>'B) D RI'!Z64</f>
        <v>62873.3</v>
      </c>
      <c r="E62" s="10">
        <f t="shared" si="0"/>
        <v>133356.84999999998</v>
      </c>
      <c r="F62" s="14">
        <f>'B) D RI'!U64</f>
        <v>10717.748314014751</v>
      </c>
      <c r="G62" s="265">
        <f t="shared" si="1"/>
        <v>12.442618178075687</v>
      </c>
      <c r="H62" s="58">
        <f t="shared" si="2"/>
        <v>54103.764999999999</v>
      </c>
    </row>
    <row r="63" spans="1:8" x14ac:dyDescent="0.25">
      <c r="A63" s="50">
        <f>'A) Base RI'!A65</f>
        <v>5494</v>
      </c>
      <c r="B63" s="57" t="str">
        <f>'A) Base RI'!B65</f>
        <v>Pampigny</v>
      </c>
      <c r="C63" s="32">
        <f>'B) D RI'!Y65</f>
        <v>277991.75</v>
      </c>
      <c r="D63" s="14">
        <f>'B) D RI'!Z65</f>
        <v>46174.9</v>
      </c>
      <c r="E63" s="10">
        <f t="shared" si="0"/>
        <v>324166.65000000002</v>
      </c>
      <c r="F63" s="14">
        <f>'B) D RI'!U65</f>
        <v>37813.321536507938</v>
      </c>
      <c r="G63" s="265">
        <f t="shared" si="1"/>
        <v>8.5728160560299944</v>
      </c>
      <c r="H63" s="58">
        <f t="shared" si="2"/>
        <v>152848.345</v>
      </c>
    </row>
    <row r="64" spans="1:8" x14ac:dyDescent="0.25">
      <c r="A64" s="50">
        <f>'A) Base RI'!A66</f>
        <v>5495</v>
      </c>
      <c r="B64" s="57" t="str">
        <f>'A) Base RI'!B66</f>
        <v>Penthalaz</v>
      </c>
      <c r="C64" s="32">
        <f>'B) D RI'!Y66</f>
        <v>366880.6</v>
      </c>
      <c r="D64" s="14">
        <f>'B) D RI'!Z66</f>
        <v>216511.1</v>
      </c>
      <c r="E64" s="10">
        <f t="shared" si="0"/>
        <v>583391.69999999995</v>
      </c>
      <c r="F64" s="14">
        <f>'B) D RI'!U66</f>
        <v>92917.674594594588</v>
      </c>
      <c r="G64" s="265">
        <f t="shared" si="1"/>
        <v>6.2785869593204211</v>
      </c>
      <c r="H64" s="58">
        <f t="shared" si="2"/>
        <v>248393.63</v>
      </c>
    </row>
    <row r="65" spans="1:8" x14ac:dyDescent="0.25">
      <c r="A65" s="50">
        <f>'A) Base RI'!A67</f>
        <v>5496</v>
      </c>
      <c r="B65" s="57" t="str">
        <f>'A) Base RI'!B67</f>
        <v>Penthaz</v>
      </c>
      <c r="C65" s="32">
        <f>'B) D RI'!Y67</f>
        <v>450222.80000000005</v>
      </c>
      <c r="D65" s="14">
        <f>'B) D RI'!Z67</f>
        <v>94624.3</v>
      </c>
      <c r="E65" s="10">
        <f t="shared" si="0"/>
        <v>544847.10000000009</v>
      </c>
      <c r="F65" s="14">
        <f>'B) D RI'!U67</f>
        <v>57442.135633802813</v>
      </c>
      <c r="G65" s="265">
        <f t="shared" si="1"/>
        <v>9.4851469916340552</v>
      </c>
      <c r="H65" s="58">
        <f t="shared" si="2"/>
        <v>253498.69000000003</v>
      </c>
    </row>
    <row r="66" spans="1:8" x14ac:dyDescent="0.25">
      <c r="A66" s="50">
        <f>'A) Base RI'!A68</f>
        <v>5497</v>
      </c>
      <c r="B66" s="57" t="str">
        <f>'A) Base RI'!B68</f>
        <v>Pompaples</v>
      </c>
      <c r="C66" s="32">
        <f>'B) D RI'!Y68</f>
        <v>127881.25</v>
      </c>
      <c r="D66" s="14">
        <f>'B) D RI'!Z68</f>
        <v>240433.1</v>
      </c>
      <c r="E66" s="10">
        <f t="shared" si="0"/>
        <v>368314.35</v>
      </c>
      <c r="F66" s="14">
        <f>'B) D RI'!U68</f>
        <v>22516.582121212119</v>
      </c>
      <c r="G66" s="265">
        <f t="shared" si="1"/>
        <v>16.357471485560119</v>
      </c>
      <c r="H66" s="58">
        <f t="shared" si="2"/>
        <v>136070.55499999999</v>
      </c>
    </row>
    <row r="67" spans="1:8" x14ac:dyDescent="0.25">
      <c r="A67" s="50">
        <f>'A) Base RI'!A69</f>
        <v>5498</v>
      </c>
      <c r="B67" s="57" t="str">
        <f>'A) Base RI'!B69</f>
        <v>La Sarraz</v>
      </c>
      <c r="C67" s="32">
        <f>'B) D RI'!Y69</f>
        <v>339712.4</v>
      </c>
      <c r="D67" s="14">
        <f>'B) D RI'!Z69</f>
        <v>83661.399999999994</v>
      </c>
      <c r="E67" s="10">
        <f t="shared" si="0"/>
        <v>423373.80000000005</v>
      </c>
      <c r="F67" s="14">
        <f>'B) D RI'!U69</f>
        <v>78201.916969696991</v>
      </c>
      <c r="G67" s="265">
        <f t="shared" si="1"/>
        <v>5.4138544987849357</v>
      </c>
      <c r="H67" s="58">
        <f t="shared" si="2"/>
        <v>194954.62</v>
      </c>
    </row>
    <row r="68" spans="1:8" x14ac:dyDescent="0.25">
      <c r="A68" s="50">
        <f>'A) Base RI'!A70</f>
        <v>5499</v>
      </c>
      <c r="B68" s="57" t="str">
        <f>'A) Base RI'!B70</f>
        <v>Senarclens</v>
      </c>
      <c r="C68" s="32">
        <f>'B) D RI'!Y70</f>
        <v>84605.3</v>
      </c>
      <c r="D68" s="14">
        <f>'B) D RI'!Z70</f>
        <v>13140.25</v>
      </c>
      <c r="E68" s="10">
        <f t="shared" si="0"/>
        <v>97745.55</v>
      </c>
      <c r="F68" s="14">
        <f>'B) D RI'!U70</f>
        <v>23886.663649635037</v>
      </c>
      <c r="G68" s="265">
        <f t="shared" si="1"/>
        <v>4.0920553591624529</v>
      </c>
      <c r="H68" s="58">
        <f t="shared" si="2"/>
        <v>46244.724999999999</v>
      </c>
    </row>
    <row r="69" spans="1:8" x14ac:dyDescent="0.25">
      <c r="A69" s="50">
        <f>'A) Base RI'!A71</f>
        <v>5500</v>
      </c>
      <c r="B69" s="57" t="str">
        <f>'A) Base RI'!B71</f>
        <v>Sévery</v>
      </c>
      <c r="C69" s="32">
        <f>'B) D RI'!Y71</f>
        <v>63155.8</v>
      </c>
      <c r="D69" s="14">
        <f>'B) D RI'!Z71</f>
        <v>1747.6</v>
      </c>
      <c r="E69" s="10">
        <f t="shared" si="0"/>
        <v>64903.4</v>
      </c>
      <c r="F69" s="14">
        <f>'B) D RI'!U71</f>
        <v>6331.5331555555558</v>
      </c>
      <c r="G69" s="265">
        <f t="shared" si="1"/>
        <v>10.250818941546726</v>
      </c>
      <c r="H69" s="58">
        <f t="shared" si="2"/>
        <v>32102.18</v>
      </c>
    </row>
    <row r="70" spans="1:8" x14ac:dyDescent="0.25">
      <c r="A70" s="50">
        <f>'A) Base RI'!A72</f>
        <v>5501</v>
      </c>
      <c r="B70" s="57" t="str">
        <f>'A) Base RI'!B72</f>
        <v>Sullens</v>
      </c>
      <c r="C70" s="32">
        <f>'B) D RI'!Y72</f>
        <v>179161.69999999998</v>
      </c>
      <c r="D70" s="14">
        <f>'B) D RI'!Z72</f>
        <v>356.45</v>
      </c>
      <c r="E70" s="10">
        <f t="shared" ref="E70:E133" si="3">C70+D70</f>
        <v>179518.15</v>
      </c>
      <c r="F70" s="14">
        <f>'B) D RI'!U72</f>
        <v>37812.339142857141</v>
      </c>
      <c r="G70" s="265">
        <f t="shared" ref="G70:G133" si="4">E70/F70</f>
        <v>4.7476076346869291</v>
      </c>
      <c r="H70" s="58">
        <f t="shared" ref="H70:H133" si="5">(C70*$C$4)+(D70*$D$4)</f>
        <v>89687.784999999989</v>
      </c>
    </row>
    <row r="71" spans="1:8" x14ac:dyDescent="0.25">
      <c r="A71" s="50">
        <f>'A) Base RI'!A73</f>
        <v>5503</v>
      </c>
      <c r="B71" s="57" t="str">
        <f>'A) Base RI'!B73</f>
        <v>Vufflens-la-Ville</v>
      </c>
      <c r="C71" s="32">
        <f>'B) D RI'!Y73</f>
        <v>751721.65</v>
      </c>
      <c r="D71" s="14">
        <f>'B) D RI'!Z73</f>
        <v>83801.5</v>
      </c>
      <c r="E71" s="10">
        <f t="shared" si="3"/>
        <v>835523.15</v>
      </c>
      <c r="F71" s="14">
        <f>'B) D RI'!U73</f>
        <v>77893.035572139299</v>
      </c>
      <c r="G71" s="265">
        <f t="shared" si="4"/>
        <v>10.726544983937551</v>
      </c>
      <c r="H71" s="58">
        <f t="shared" si="5"/>
        <v>401001.27500000002</v>
      </c>
    </row>
    <row r="72" spans="1:8" x14ac:dyDescent="0.25">
      <c r="A72" s="50">
        <f>'A) Base RI'!A74</f>
        <v>5511</v>
      </c>
      <c r="B72" s="57" t="str">
        <f>'A) Base RI'!B74</f>
        <v>Assens</v>
      </c>
      <c r="C72" s="32">
        <f>'B) D RI'!Y74</f>
        <v>124485.70000000001</v>
      </c>
      <c r="D72" s="14">
        <f>'B) D RI'!Z74</f>
        <v>11690.75</v>
      </c>
      <c r="E72" s="10">
        <f t="shared" si="3"/>
        <v>136176.45000000001</v>
      </c>
      <c r="F72" s="14">
        <f>'B) D RI'!U74</f>
        <v>45641.470857142856</v>
      </c>
      <c r="G72" s="265">
        <f t="shared" si="4"/>
        <v>2.9836122158777556</v>
      </c>
      <c r="H72" s="58">
        <f t="shared" si="5"/>
        <v>65750.075000000012</v>
      </c>
    </row>
    <row r="73" spans="1:8" x14ac:dyDescent="0.25">
      <c r="A73" s="50">
        <f>'A) Base RI'!A75</f>
        <v>5512</v>
      </c>
      <c r="B73" s="57" t="str">
        <f>'A) Base RI'!B75</f>
        <v>Bercher</v>
      </c>
      <c r="C73" s="32">
        <f>'B) D RI'!Y75</f>
        <v>209543.85</v>
      </c>
      <c r="D73" s="14">
        <f>'B) D RI'!Z75</f>
        <v>26032.65</v>
      </c>
      <c r="E73" s="10">
        <f t="shared" si="3"/>
        <v>235576.5</v>
      </c>
      <c r="F73" s="14">
        <f>'B) D RI'!U75</f>
        <v>37783.595443037979</v>
      </c>
      <c r="G73" s="265">
        <f t="shared" si="4"/>
        <v>6.2348883751720203</v>
      </c>
      <c r="H73" s="58">
        <f t="shared" si="5"/>
        <v>112581.72</v>
      </c>
    </row>
    <row r="74" spans="1:8" x14ac:dyDescent="0.25">
      <c r="A74" s="50">
        <f>'A) Base RI'!A76</f>
        <v>5513</v>
      </c>
      <c r="B74" s="57" t="str">
        <f>'A) Base RI'!B76</f>
        <v>Bioley-Orjulaz</v>
      </c>
      <c r="C74" s="32">
        <f>'B) D RI'!Y76</f>
        <v>68682.850000000006</v>
      </c>
      <c r="D74" s="14">
        <f>'B) D RI'!Z76</f>
        <v>158106.54999999999</v>
      </c>
      <c r="E74" s="10">
        <f t="shared" si="3"/>
        <v>226789.4</v>
      </c>
      <c r="F74" s="14">
        <f>'B) D RI'!U76</f>
        <v>23108.127499999999</v>
      </c>
      <c r="G74" s="265">
        <f t="shared" si="4"/>
        <v>9.8142698927033365</v>
      </c>
      <c r="H74" s="58">
        <f t="shared" si="5"/>
        <v>81773.39</v>
      </c>
    </row>
    <row r="75" spans="1:8" x14ac:dyDescent="0.25">
      <c r="A75" s="50">
        <f>'A) Base RI'!A77</f>
        <v>5514</v>
      </c>
      <c r="B75" s="57" t="str">
        <f>'A) Base RI'!B77</f>
        <v>Bottens</v>
      </c>
      <c r="C75" s="32">
        <f>'B) D RI'!Y77</f>
        <v>106092.9</v>
      </c>
      <c r="D75" s="14">
        <f>'B) D RI'!Z77</f>
        <v>5404.9</v>
      </c>
      <c r="E75" s="10">
        <f t="shared" si="3"/>
        <v>111497.79999999999</v>
      </c>
      <c r="F75" s="14">
        <f>'B) D RI'!U77</f>
        <v>44799.851014492742</v>
      </c>
      <c r="G75" s="265">
        <f t="shared" si="4"/>
        <v>2.4887984552433102</v>
      </c>
      <c r="H75" s="58">
        <f t="shared" si="5"/>
        <v>54667.92</v>
      </c>
    </row>
    <row r="76" spans="1:8" x14ac:dyDescent="0.25">
      <c r="A76" s="50">
        <f>'A) Base RI'!A78</f>
        <v>5515</v>
      </c>
      <c r="B76" s="57" t="str">
        <f>'A) Base RI'!B78</f>
        <v>Bretigny-sur-Morrens</v>
      </c>
      <c r="C76" s="32">
        <f>'B) D RI'!Y78</f>
        <v>204288</v>
      </c>
      <c r="D76" s="14">
        <f>'B) D RI'!Z78</f>
        <v>6260.8</v>
      </c>
      <c r="E76" s="10">
        <f t="shared" si="3"/>
        <v>210548.8</v>
      </c>
      <c r="F76" s="14">
        <f>'B) D RI'!U78</f>
        <v>28902.998888888895</v>
      </c>
      <c r="G76" s="265">
        <f t="shared" si="4"/>
        <v>7.2846696915225886</v>
      </c>
      <c r="H76" s="58">
        <f t="shared" si="5"/>
        <v>104022.24</v>
      </c>
    </row>
    <row r="77" spans="1:8" x14ac:dyDescent="0.25">
      <c r="A77" s="50">
        <f>'A) Base RI'!A79</f>
        <v>5516</v>
      </c>
      <c r="B77" s="57" t="str">
        <f>'A) Base RI'!B79</f>
        <v>Cugy</v>
      </c>
      <c r="C77" s="32">
        <f>'B) D RI'!Y79</f>
        <v>440638.55000000005</v>
      </c>
      <c r="D77" s="14">
        <f>'B) D RI'!Z79</f>
        <v>96390</v>
      </c>
      <c r="E77" s="10">
        <f t="shared" si="3"/>
        <v>537028.55000000005</v>
      </c>
      <c r="F77" s="14">
        <f>'B) D RI'!U79</f>
        <v>111854.58641025641</v>
      </c>
      <c r="G77" s="265">
        <f t="shared" si="4"/>
        <v>4.8011312475851922</v>
      </c>
      <c r="H77" s="58">
        <f t="shared" si="5"/>
        <v>249236.27500000002</v>
      </c>
    </row>
    <row r="78" spans="1:8" x14ac:dyDescent="0.25">
      <c r="A78" s="50">
        <f>'A) Base RI'!A80</f>
        <v>5518</v>
      </c>
      <c r="B78" s="57" t="str">
        <f>'A) Base RI'!B80</f>
        <v>Echallens</v>
      </c>
      <c r="C78" s="32">
        <f>'B) D RI'!Y80</f>
        <v>525973.35</v>
      </c>
      <c r="D78" s="14">
        <f>'B) D RI'!Z80</f>
        <v>190763.25</v>
      </c>
      <c r="E78" s="10">
        <f t="shared" si="3"/>
        <v>716736.6</v>
      </c>
      <c r="F78" s="14">
        <f>'B) D RI'!U80</f>
        <v>188362.16891891891</v>
      </c>
      <c r="G78" s="265">
        <f t="shared" si="4"/>
        <v>3.8050984659691487</v>
      </c>
      <c r="H78" s="58">
        <f t="shared" si="5"/>
        <v>320215.64999999997</v>
      </c>
    </row>
    <row r="79" spans="1:8" x14ac:dyDescent="0.25">
      <c r="A79" s="50">
        <f>'A) Base RI'!A81</f>
        <v>5520</v>
      </c>
      <c r="B79" s="57" t="str">
        <f>'A) Base RI'!B81</f>
        <v>Essertines-sur-Yverdon</v>
      </c>
      <c r="C79" s="32">
        <f>'B) D RI'!Y81</f>
        <v>219621.3</v>
      </c>
      <c r="D79" s="14">
        <f>'B) D RI'!Z81</f>
        <v>6976.6</v>
      </c>
      <c r="E79" s="10">
        <f t="shared" si="3"/>
        <v>226597.9</v>
      </c>
      <c r="F79" s="14">
        <f>'B) D RI'!U81</f>
        <v>31866.674520547935</v>
      </c>
      <c r="G79" s="265">
        <f t="shared" si="4"/>
        <v>7.1108110089707512</v>
      </c>
      <c r="H79" s="58">
        <f t="shared" si="5"/>
        <v>111903.62999999999</v>
      </c>
    </row>
    <row r="80" spans="1:8" x14ac:dyDescent="0.25">
      <c r="A80" s="50">
        <f>'A) Base RI'!A82</f>
        <v>5521</v>
      </c>
      <c r="B80" s="57" t="str">
        <f>'A) Base RI'!B82</f>
        <v>Etagnières</v>
      </c>
      <c r="C80" s="32">
        <f>'B) D RI'!Y82</f>
        <v>158453.30000000002</v>
      </c>
      <c r="D80" s="14">
        <f>'B) D RI'!Z82</f>
        <v>55180.35</v>
      </c>
      <c r="E80" s="10">
        <f t="shared" si="3"/>
        <v>213633.65000000002</v>
      </c>
      <c r="F80" s="14">
        <f>'B) D RI'!U82</f>
        <v>42985.528493150683</v>
      </c>
      <c r="G80" s="265">
        <f t="shared" si="4"/>
        <v>4.9698970209018229</v>
      </c>
      <c r="H80" s="58">
        <f t="shared" si="5"/>
        <v>95780.755000000005</v>
      </c>
    </row>
    <row r="81" spans="1:8" x14ac:dyDescent="0.25">
      <c r="A81" s="50">
        <f>'A) Base RI'!A83</f>
        <v>5522</v>
      </c>
      <c r="B81" s="57" t="str">
        <f>'A) Base RI'!B83</f>
        <v>Fey</v>
      </c>
      <c r="C81" s="32">
        <f>'B) D RI'!Y83</f>
        <v>112024.45000000001</v>
      </c>
      <c r="D81" s="14">
        <f>'B) D RI'!Z83</f>
        <v>16661.849999999999</v>
      </c>
      <c r="E81" s="10">
        <f t="shared" si="3"/>
        <v>128686.30000000002</v>
      </c>
      <c r="F81" s="14">
        <f>'B) D RI'!U83</f>
        <v>21913.487866666663</v>
      </c>
      <c r="G81" s="265">
        <f t="shared" si="4"/>
        <v>5.8724699957850639</v>
      </c>
      <c r="H81" s="58">
        <f t="shared" si="5"/>
        <v>61010.780000000006</v>
      </c>
    </row>
    <row r="82" spans="1:8" x14ac:dyDescent="0.25">
      <c r="A82" s="50">
        <f>'A) Base RI'!A84</f>
        <v>5523</v>
      </c>
      <c r="B82" s="57" t="str">
        <f>'A) Base RI'!B84</f>
        <v>Froideville</v>
      </c>
      <c r="C82" s="32">
        <f>'B) D RI'!Y84</f>
        <v>318313.7</v>
      </c>
      <c r="D82" s="14">
        <f>'B) D RI'!Z84</f>
        <v>4694.8999999999996</v>
      </c>
      <c r="E82" s="10">
        <f t="shared" si="3"/>
        <v>323008.60000000003</v>
      </c>
      <c r="F82" s="14">
        <f>'B) D RI'!U84</f>
        <v>83191.459210526315</v>
      </c>
      <c r="G82" s="265">
        <f t="shared" si="4"/>
        <v>3.8827134788270352</v>
      </c>
      <c r="H82" s="58">
        <f t="shared" si="5"/>
        <v>160565.32</v>
      </c>
    </row>
    <row r="83" spans="1:8" x14ac:dyDescent="0.25">
      <c r="A83" s="50">
        <f>'A) Base RI'!A85</f>
        <v>5527</v>
      </c>
      <c r="B83" s="57" t="str">
        <f>'A) Base RI'!B85</f>
        <v>Morrens</v>
      </c>
      <c r="C83" s="32">
        <f>'B) D RI'!Y85</f>
        <v>264293.5</v>
      </c>
      <c r="D83" s="14">
        <f>'B) D RI'!Z85</f>
        <v>9200.9500000000007</v>
      </c>
      <c r="E83" s="10">
        <f t="shared" si="3"/>
        <v>273494.45</v>
      </c>
      <c r="F83" s="14">
        <f>'B) D RI'!U85</f>
        <v>37832.854189189195</v>
      </c>
      <c r="G83" s="265">
        <f t="shared" si="4"/>
        <v>7.2290197464972534</v>
      </c>
      <c r="H83" s="58">
        <f t="shared" si="5"/>
        <v>134907.035</v>
      </c>
    </row>
    <row r="84" spans="1:8" x14ac:dyDescent="0.25">
      <c r="A84" s="50">
        <f>'A) Base RI'!A86</f>
        <v>5529</v>
      </c>
      <c r="B84" s="57" t="str">
        <f>'A) Base RI'!B86</f>
        <v>Oulens-sous-Echallens</v>
      </c>
      <c r="C84" s="32">
        <f>'B) D RI'!Y86</f>
        <v>60592.4</v>
      </c>
      <c r="D84" s="14">
        <f>'B) D RI'!Z86</f>
        <v>490.85</v>
      </c>
      <c r="E84" s="10">
        <f t="shared" si="3"/>
        <v>61083.25</v>
      </c>
      <c r="F84" s="14">
        <f>'B) D RI'!U86</f>
        <v>21358.649436619718</v>
      </c>
      <c r="G84" s="265">
        <f t="shared" si="4"/>
        <v>2.8598835418531601</v>
      </c>
      <c r="H84" s="58">
        <f t="shared" si="5"/>
        <v>30443.455000000002</v>
      </c>
    </row>
    <row r="85" spans="1:8" x14ac:dyDescent="0.25">
      <c r="A85" s="50">
        <f>'A) Base RI'!A87</f>
        <v>5530</v>
      </c>
      <c r="B85" s="57" t="str">
        <f>'A) Base RI'!B87</f>
        <v>Pailly</v>
      </c>
      <c r="C85" s="32">
        <f>'B) D RI'!Y87</f>
        <v>180447.45</v>
      </c>
      <c r="D85" s="14">
        <f>'B) D RI'!Z87</f>
        <v>12684.65</v>
      </c>
      <c r="E85" s="10">
        <f t="shared" si="3"/>
        <v>193132.1</v>
      </c>
      <c r="F85" s="14">
        <f>'B) D RI'!U87</f>
        <v>17215.63182795699</v>
      </c>
      <c r="G85" s="265">
        <f t="shared" si="4"/>
        <v>11.21841486447026</v>
      </c>
      <c r="H85" s="58">
        <f t="shared" si="5"/>
        <v>94029.12000000001</v>
      </c>
    </row>
    <row r="86" spans="1:8" x14ac:dyDescent="0.25">
      <c r="A86" s="50">
        <f>'A) Base RI'!A88</f>
        <v>5531</v>
      </c>
      <c r="B86" s="57" t="str">
        <f>'A) Base RI'!B88</f>
        <v>Penthéréaz</v>
      </c>
      <c r="C86" s="32">
        <f>'B) D RI'!Y88</f>
        <v>58556.45</v>
      </c>
      <c r="D86" s="14">
        <f>'B) D RI'!Z88</f>
        <v>11272.95</v>
      </c>
      <c r="E86" s="10">
        <f t="shared" si="3"/>
        <v>69829.399999999994</v>
      </c>
      <c r="F86" s="14">
        <f>'B) D RI'!U88</f>
        <v>14983.10512820513</v>
      </c>
      <c r="G86" s="265">
        <f t="shared" si="4"/>
        <v>4.6605426180017107</v>
      </c>
      <c r="H86" s="58">
        <f t="shared" si="5"/>
        <v>32660.11</v>
      </c>
    </row>
    <row r="87" spans="1:8" x14ac:dyDescent="0.25">
      <c r="A87" s="50">
        <f>'A) Base RI'!A89</f>
        <v>5533</v>
      </c>
      <c r="B87" s="57" t="str">
        <f>'A) Base RI'!B89</f>
        <v>Poliez-Pittet</v>
      </c>
      <c r="C87" s="32">
        <f>'B) D RI'!Y89</f>
        <v>67093.05</v>
      </c>
      <c r="D87" s="14">
        <f>'B) D RI'!Z89</f>
        <v>4052.5</v>
      </c>
      <c r="E87" s="10">
        <f t="shared" si="3"/>
        <v>71145.55</v>
      </c>
      <c r="F87" s="14">
        <f>'B) D RI'!U89</f>
        <v>25749.220563380281</v>
      </c>
      <c r="G87" s="265">
        <f t="shared" si="4"/>
        <v>2.7630176154217629</v>
      </c>
      <c r="H87" s="58">
        <f t="shared" si="5"/>
        <v>34762.275000000001</v>
      </c>
    </row>
    <row r="88" spans="1:8" x14ac:dyDescent="0.25">
      <c r="A88" s="50">
        <f>'A) Base RI'!A90</f>
        <v>5534</v>
      </c>
      <c r="B88" s="57" t="str">
        <f>'A) Base RI'!B90</f>
        <v>Rueyres</v>
      </c>
      <c r="C88" s="32">
        <f>'B) D RI'!Y90</f>
        <v>10334.599999999999</v>
      </c>
      <c r="D88" s="14">
        <f>'B) D RI'!Z90</f>
        <v>24343.4</v>
      </c>
      <c r="E88" s="10">
        <f t="shared" si="3"/>
        <v>34678</v>
      </c>
      <c r="F88" s="14">
        <f>'B) D RI'!U90</f>
        <v>9061.5212328767138</v>
      </c>
      <c r="G88" s="265">
        <f t="shared" si="4"/>
        <v>3.8269512490002691</v>
      </c>
      <c r="H88" s="58">
        <f t="shared" si="5"/>
        <v>12470.32</v>
      </c>
    </row>
    <row r="89" spans="1:8" x14ac:dyDescent="0.25">
      <c r="A89" s="50">
        <f>'A) Base RI'!A91</f>
        <v>5535</v>
      </c>
      <c r="B89" s="57" t="str">
        <f>'A) Base RI'!B91</f>
        <v>Saint-Barthélemy</v>
      </c>
      <c r="C89" s="32">
        <f>'B) D RI'!Y91</f>
        <v>151749.54999999999</v>
      </c>
      <c r="D89" s="14">
        <f>'B) D RI'!Z91</f>
        <v>37117.599999999999</v>
      </c>
      <c r="E89" s="10">
        <f t="shared" si="3"/>
        <v>188867.15</v>
      </c>
      <c r="F89" s="14">
        <f>'B) D RI'!U91</f>
        <v>21992.865064935064</v>
      </c>
      <c r="G89" s="265">
        <f t="shared" si="4"/>
        <v>8.5876555620361437</v>
      </c>
      <c r="H89" s="58">
        <f t="shared" si="5"/>
        <v>87010.054999999993</v>
      </c>
    </row>
    <row r="90" spans="1:8" x14ac:dyDescent="0.25">
      <c r="A90" s="50">
        <f>'A) Base RI'!A92</f>
        <v>5537</v>
      </c>
      <c r="B90" s="57" t="str">
        <f>'A) Base RI'!B92</f>
        <v>Villars-le-Terroir</v>
      </c>
      <c r="C90" s="32">
        <f>'B) D RI'!Y92</f>
        <v>120267.45000000001</v>
      </c>
      <c r="D90" s="14">
        <f>'B) D RI'!Z92</f>
        <v>0</v>
      </c>
      <c r="E90" s="10">
        <f t="shared" si="3"/>
        <v>120267.45000000001</v>
      </c>
      <c r="F90" s="14">
        <f>'B) D RI'!U92</f>
        <v>37425.853630136982</v>
      </c>
      <c r="G90" s="265">
        <f t="shared" si="4"/>
        <v>3.213485821553987</v>
      </c>
      <c r="H90" s="58">
        <f t="shared" si="5"/>
        <v>60133.725000000006</v>
      </c>
    </row>
    <row r="91" spans="1:8" x14ac:dyDescent="0.25">
      <c r="A91" s="50">
        <f>'A) Base RI'!A93</f>
        <v>5539</v>
      </c>
      <c r="B91" s="57" t="str">
        <f>'A) Base RI'!B93</f>
        <v>Vuarrens</v>
      </c>
      <c r="C91" s="32">
        <f>'B) D RI'!Y93</f>
        <v>162602.95000000001</v>
      </c>
      <c r="D91" s="14">
        <f>'B) D RI'!Z93</f>
        <v>14221.75</v>
      </c>
      <c r="E91" s="10">
        <f t="shared" si="3"/>
        <v>176824.7</v>
      </c>
      <c r="F91" s="14">
        <f>'B) D RI'!U93</f>
        <v>28895.172466666667</v>
      </c>
      <c r="G91" s="265">
        <f t="shared" si="4"/>
        <v>6.1195239517599056</v>
      </c>
      <c r="H91" s="58">
        <f t="shared" si="5"/>
        <v>85568</v>
      </c>
    </row>
    <row r="92" spans="1:8" x14ac:dyDescent="0.25">
      <c r="A92" s="50">
        <f>'A) Base RI'!A94</f>
        <v>5540</v>
      </c>
      <c r="B92" s="57" t="str">
        <f>'A) Base RI'!B94</f>
        <v>Montilliez</v>
      </c>
      <c r="C92" s="32">
        <f>'B) D RI'!Y94</f>
        <v>196086.45</v>
      </c>
      <c r="D92" s="14">
        <f>'B) D RI'!Z94</f>
        <v>6897.65</v>
      </c>
      <c r="E92" s="10">
        <f t="shared" si="3"/>
        <v>202984.1</v>
      </c>
      <c r="F92" s="14">
        <f>'B) D RI'!U94</f>
        <v>59583.392972972964</v>
      </c>
      <c r="G92" s="265">
        <f t="shared" si="4"/>
        <v>3.4067227439040542</v>
      </c>
      <c r="H92" s="58">
        <f t="shared" si="5"/>
        <v>100112.52</v>
      </c>
    </row>
    <row r="93" spans="1:8" x14ac:dyDescent="0.25">
      <c r="A93" s="50">
        <f>'A) Base RI'!A95</f>
        <v>5541</v>
      </c>
      <c r="B93" s="57" t="str">
        <f>'A) Base RI'!B95</f>
        <v>Goumoëns</v>
      </c>
      <c r="C93" s="32">
        <f>'B) D RI'!Y95</f>
        <v>651639</v>
      </c>
      <c r="D93" s="14">
        <f>'B) D RI'!Z95</f>
        <v>12741.2</v>
      </c>
      <c r="E93" s="10">
        <f t="shared" si="3"/>
        <v>664380.19999999995</v>
      </c>
      <c r="F93" s="14">
        <f>'B) D RI'!U95</f>
        <v>36064.061558441557</v>
      </c>
      <c r="G93" s="265">
        <f t="shared" si="4"/>
        <v>18.422223434911139</v>
      </c>
      <c r="H93" s="58">
        <f t="shared" si="5"/>
        <v>329641.86</v>
      </c>
    </row>
    <row r="94" spans="1:8" x14ac:dyDescent="0.25">
      <c r="A94" s="50">
        <f>'A) Base RI'!A96</f>
        <v>5551</v>
      </c>
      <c r="B94" s="57" t="str">
        <f>'A) Base RI'!B96</f>
        <v>Bonvillars</v>
      </c>
      <c r="C94" s="32">
        <f>'B) D RI'!Y96</f>
        <v>79899.649999999994</v>
      </c>
      <c r="D94" s="14">
        <f>'B) D RI'!Z96</f>
        <v>10084.65</v>
      </c>
      <c r="E94" s="10">
        <f t="shared" si="3"/>
        <v>89984.299999999988</v>
      </c>
      <c r="F94" s="14">
        <f>'B) D RI'!U96</f>
        <v>23195.066545454545</v>
      </c>
      <c r="G94" s="265">
        <f t="shared" si="4"/>
        <v>3.8794585833009343</v>
      </c>
      <c r="H94" s="58">
        <f t="shared" si="5"/>
        <v>42975.219999999994</v>
      </c>
    </row>
    <row r="95" spans="1:8" x14ac:dyDescent="0.25">
      <c r="A95" s="50">
        <f>'A) Base RI'!A97</f>
        <v>5552</v>
      </c>
      <c r="B95" s="57" t="str">
        <f>'A) Base RI'!B97</f>
        <v>Bullet</v>
      </c>
      <c r="C95" s="32">
        <f>'B) D RI'!Y97</f>
        <v>75991.850000000006</v>
      </c>
      <c r="D95" s="14">
        <f>'B) D RI'!Z97</f>
        <v>40389.949999999997</v>
      </c>
      <c r="E95" s="10">
        <f t="shared" si="3"/>
        <v>116381.8</v>
      </c>
      <c r="F95" s="14">
        <f>'B) D RI'!U97</f>
        <v>17788.954109589042</v>
      </c>
      <c r="G95" s="265">
        <f t="shared" si="4"/>
        <v>6.5423632712203696</v>
      </c>
      <c r="H95" s="58">
        <f t="shared" si="5"/>
        <v>50112.91</v>
      </c>
    </row>
    <row r="96" spans="1:8" x14ac:dyDescent="0.25">
      <c r="A96" s="50">
        <f>'A) Base RI'!A98</f>
        <v>5553</v>
      </c>
      <c r="B96" s="57" t="str">
        <f>'A) Base RI'!B98</f>
        <v>Champagne</v>
      </c>
      <c r="C96" s="32">
        <f>'B) D RI'!Y98</f>
        <v>184307.15000000002</v>
      </c>
      <c r="D96" s="14">
        <f>'B) D RI'!Z98</f>
        <v>130175.35</v>
      </c>
      <c r="E96" s="10">
        <f t="shared" si="3"/>
        <v>314482.5</v>
      </c>
      <c r="F96" s="14">
        <f>'B) D RI'!U98</f>
        <v>38605.988461538451</v>
      </c>
      <c r="G96" s="265">
        <f t="shared" si="4"/>
        <v>8.1459512508870464</v>
      </c>
      <c r="H96" s="58">
        <f t="shared" si="5"/>
        <v>131206.18000000002</v>
      </c>
    </row>
    <row r="97" spans="1:8" x14ac:dyDescent="0.25">
      <c r="A97" s="50">
        <f>'A) Base RI'!A99</f>
        <v>5554</v>
      </c>
      <c r="B97" s="57" t="str">
        <f>'A) Base RI'!B99</f>
        <v>Concise</v>
      </c>
      <c r="C97" s="32">
        <f>'B) D RI'!Y99</f>
        <v>279188.84999999998</v>
      </c>
      <c r="D97" s="14">
        <f>'B) D RI'!Z99</f>
        <v>4705.6000000000004</v>
      </c>
      <c r="E97" s="10">
        <f t="shared" si="3"/>
        <v>283894.44999999995</v>
      </c>
      <c r="F97" s="14">
        <f>'B) D RI'!U99</f>
        <v>29879.816133333334</v>
      </c>
      <c r="G97" s="265">
        <f t="shared" si="4"/>
        <v>9.5012114108457624</v>
      </c>
      <c r="H97" s="58">
        <f t="shared" si="5"/>
        <v>141006.10499999998</v>
      </c>
    </row>
    <row r="98" spans="1:8" x14ac:dyDescent="0.25">
      <c r="A98" s="50">
        <f>'A) Base RI'!A100</f>
        <v>5555</v>
      </c>
      <c r="B98" s="57" t="str">
        <f>'A) Base RI'!B100</f>
        <v>Corcelles-près-Concise</v>
      </c>
      <c r="C98" s="32">
        <f>'B) D RI'!Y100</f>
        <v>89059.6</v>
      </c>
      <c r="D98" s="14">
        <f>'B) D RI'!Z100</f>
        <v>6304.6</v>
      </c>
      <c r="E98" s="10">
        <f t="shared" si="3"/>
        <v>95364.200000000012</v>
      </c>
      <c r="F98" s="14">
        <f>'B) D RI'!U100</f>
        <v>13019.29676056338</v>
      </c>
      <c r="G98" s="265">
        <f t="shared" si="4"/>
        <v>7.3248349549006937</v>
      </c>
      <c r="H98" s="58">
        <f t="shared" si="5"/>
        <v>46421.18</v>
      </c>
    </row>
    <row r="99" spans="1:8" x14ac:dyDescent="0.25">
      <c r="A99" s="50">
        <f>'A) Base RI'!A101</f>
        <v>5556</v>
      </c>
      <c r="B99" s="57" t="str">
        <f>'A) Base RI'!B101</f>
        <v>Fiez</v>
      </c>
      <c r="C99" s="32">
        <f>'B) D RI'!Y101</f>
        <v>96292</v>
      </c>
      <c r="D99" s="14">
        <f>'B) D RI'!Z101</f>
        <v>0</v>
      </c>
      <c r="E99" s="10">
        <f t="shared" si="3"/>
        <v>96292</v>
      </c>
      <c r="F99" s="14">
        <f>'B) D RI'!U101</f>
        <v>12683.231642512079</v>
      </c>
      <c r="G99" s="265">
        <f t="shared" si="4"/>
        <v>7.5920713832305378</v>
      </c>
      <c r="H99" s="58">
        <f t="shared" si="5"/>
        <v>48146</v>
      </c>
    </row>
    <row r="100" spans="1:8" x14ac:dyDescent="0.25">
      <c r="A100" s="50">
        <f>'A) Base RI'!A102</f>
        <v>5557</v>
      </c>
      <c r="B100" s="57" t="str">
        <f>'A) Base RI'!B102</f>
        <v>Fontaines-sur-Grandson</v>
      </c>
      <c r="C100" s="32">
        <f>'B) D RI'!Y102</f>
        <v>42859.35</v>
      </c>
      <c r="D100" s="14">
        <f>'B) D RI'!Z102</f>
        <v>0</v>
      </c>
      <c r="E100" s="10">
        <f t="shared" si="3"/>
        <v>42859.35</v>
      </c>
      <c r="F100" s="14">
        <f>'B) D RI'!U102</f>
        <v>5551.0404347826088</v>
      </c>
      <c r="G100" s="265">
        <f t="shared" si="4"/>
        <v>7.7209579904057151</v>
      </c>
      <c r="H100" s="58">
        <f t="shared" si="5"/>
        <v>21429.674999999999</v>
      </c>
    </row>
    <row r="101" spans="1:8" x14ac:dyDescent="0.25">
      <c r="A101" s="50">
        <f>'A) Base RI'!A103</f>
        <v>5559</v>
      </c>
      <c r="B101" s="57" t="str">
        <f>'A) Base RI'!B103</f>
        <v>Giez</v>
      </c>
      <c r="C101" s="32">
        <f>'B) D RI'!Y103</f>
        <v>210443.95</v>
      </c>
      <c r="D101" s="14">
        <f>'B) D RI'!Z103</f>
        <v>36403</v>
      </c>
      <c r="E101" s="10">
        <f t="shared" si="3"/>
        <v>246846.95</v>
      </c>
      <c r="F101" s="14">
        <f>'B) D RI'!U103</f>
        <v>20477.299090909091</v>
      </c>
      <c r="G101" s="265">
        <f t="shared" si="4"/>
        <v>12.054663503429897</v>
      </c>
      <c r="H101" s="58">
        <f t="shared" si="5"/>
        <v>116142.875</v>
      </c>
    </row>
    <row r="102" spans="1:8" x14ac:dyDescent="0.25">
      <c r="A102" s="50">
        <f>'A) Base RI'!A104</f>
        <v>5560</v>
      </c>
      <c r="B102" s="57" t="str">
        <f>'A) Base RI'!B104</f>
        <v>Grandevent</v>
      </c>
      <c r="C102" s="32">
        <f>'B) D RI'!Y104</f>
        <v>43352.950000000004</v>
      </c>
      <c r="D102" s="14">
        <f>'B) D RI'!Z104</f>
        <v>0</v>
      </c>
      <c r="E102" s="10">
        <f t="shared" si="3"/>
        <v>43352.950000000004</v>
      </c>
      <c r="F102" s="14">
        <f>'B) D RI'!U104</f>
        <v>7465.4854411764709</v>
      </c>
      <c r="G102" s="265">
        <f t="shared" si="4"/>
        <v>5.8071173457633991</v>
      </c>
      <c r="H102" s="58">
        <f t="shared" si="5"/>
        <v>21676.475000000002</v>
      </c>
    </row>
    <row r="103" spans="1:8" x14ac:dyDescent="0.25">
      <c r="A103" s="50">
        <f>'A) Base RI'!A105</f>
        <v>5561</v>
      </c>
      <c r="B103" s="57" t="str">
        <f>'A) Base RI'!B105</f>
        <v>Grandson</v>
      </c>
      <c r="C103" s="32">
        <f>'B) D RI'!Y105</f>
        <v>766552.6</v>
      </c>
      <c r="D103" s="14">
        <f>'B) D RI'!Z105</f>
        <v>336581.85</v>
      </c>
      <c r="E103" s="10">
        <f t="shared" si="3"/>
        <v>1103134.45</v>
      </c>
      <c r="F103" s="14">
        <f>'B) D RI'!U105</f>
        <v>124296.34985507248</v>
      </c>
      <c r="G103" s="265">
        <f t="shared" si="4"/>
        <v>8.875034957070234</v>
      </c>
      <c r="H103" s="58">
        <f t="shared" si="5"/>
        <v>484250.85499999998</v>
      </c>
    </row>
    <row r="104" spans="1:8" x14ac:dyDescent="0.25">
      <c r="A104" s="50">
        <f>'A) Base RI'!A106</f>
        <v>5562</v>
      </c>
      <c r="B104" s="57" t="str">
        <f>'A) Base RI'!B106</f>
        <v>Mauborget</v>
      </c>
      <c r="C104" s="32">
        <f>'B) D RI'!Y106</f>
        <v>33919.5</v>
      </c>
      <c r="D104" s="14">
        <f>'B) D RI'!Z106</f>
        <v>452.2</v>
      </c>
      <c r="E104" s="10">
        <f t="shared" si="3"/>
        <v>34371.699999999997</v>
      </c>
      <c r="F104" s="14">
        <f>'B) D RI'!U106</f>
        <v>5288.8125476190471</v>
      </c>
      <c r="G104" s="265">
        <f t="shared" si="4"/>
        <v>6.4989446478820048</v>
      </c>
      <c r="H104" s="58">
        <f t="shared" si="5"/>
        <v>17095.41</v>
      </c>
    </row>
    <row r="105" spans="1:8" x14ac:dyDescent="0.25">
      <c r="A105" s="50">
        <f>'A) Base RI'!A107</f>
        <v>5563</v>
      </c>
      <c r="B105" s="57" t="str">
        <f>'A) Base RI'!B107</f>
        <v>Mutrux</v>
      </c>
      <c r="C105" s="32">
        <f>'B) D RI'!Y107</f>
        <v>10884.3</v>
      </c>
      <c r="D105" s="14">
        <f>'B) D RI'!Z107</f>
        <v>0</v>
      </c>
      <c r="E105" s="10">
        <f t="shared" si="3"/>
        <v>10884.3</v>
      </c>
      <c r="F105" s="14">
        <f>'B) D RI'!U107</f>
        <v>3325.060127388535</v>
      </c>
      <c r="G105" s="265">
        <f t="shared" si="4"/>
        <v>3.2734144896647046</v>
      </c>
      <c r="H105" s="58">
        <f t="shared" si="5"/>
        <v>5442.15</v>
      </c>
    </row>
    <row r="106" spans="1:8" x14ac:dyDescent="0.25">
      <c r="A106" s="50">
        <f>'A) Base RI'!A108</f>
        <v>5564</v>
      </c>
      <c r="B106" s="57" t="str">
        <f>'A) Base RI'!B108</f>
        <v>Novalles</v>
      </c>
      <c r="C106" s="32">
        <f>'B) D RI'!Y108</f>
        <v>27386.799999999999</v>
      </c>
      <c r="D106" s="14">
        <f>'B) D RI'!Z108</f>
        <v>0</v>
      </c>
      <c r="E106" s="10">
        <f>C106+D106</f>
        <v>27386.799999999999</v>
      </c>
      <c r="F106" s="14">
        <f>'B) D RI'!U108</f>
        <v>2879.4712828947363</v>
      </c>
      <c r="G106" s="265">
        <f t="shared" si="4"/>
        <v>9.5110516165551111</v>
      </c>
      <c r="H106" s="58">
        <f t="shared" si="5"/>
        <v>13693.4</v>
      </c>
    </row>
    <row r="107" spans="1:8" x14ac:dyDescent="0.25">
      <c r="A107" s="50">
        <f>'A) Base RI'!A109</f>
        <v>5565</v>
      </c>
      <c r="B107" s="57" t="str">
        <f>'A) Base RI'!B109</f>
        <v>Onnens</v>
      </c>
      <c r="C107" s="32">
        <f>'B) D RI'!Y109</f>
        <v>66207.049999999988</v>
      </c>
      <c r="D107" s="14">
        <f>'B) D RI'!Z109</f>
        <v>29116.15</v>
      </c>
      <c r="E107" s="10">
        <f t="shared" si="3"/>
        <v>95323.199999999983</v>
      </c>
      <c r="F107" s="14">
        <f>'B) D RI'!U109</f>
        <v>21859.350153846153</v>
      </c>
      <c r="G107" s="265">
        <f t="shared" si="4"/>
        <v>4.3607517757442515</v>
      </c>
      <c r="H107" s="58">
        <f t="shared" si="5"/>
        <v>41838.369999999995</v>
      </c>
    </row>
    <row r="108" spans="1:8" x14ac:dyDescent="0.25">
      <c r="A108" s="50">
        <f>'A) Base RI'!A110</f>
        <v>5566</v>
      </c>
      <c r="B108" s="57" t="str">
        <f>'A) Base RI'!B110</f>
        <v>Provence</v>
      </c>
      <c r="C108" s="32">
        <f>'B) D RI'!Y110</f>
        <v>61134.6</v>
      </c>
      <c r="D108" s="14">
        <f>'B) D RI'!Z110</f>
        <v>50308.05</v>
      </c>
      <c r="E108" s="10">
        <f t="shared" si="3"/>
        <v>111442.65</v>
      </c>
      <c r="F108" s="14">
        <f>'B) D RI'!U110</f>
        <v>8283.9104526748961</v>
      </c>
      <c r="G108" s="265">
        <f t="shared" si="4"/>
        <v>13.452903750790169</v>
      </c>
      <c r="H108" s="58">
        <f t="shared" si="5"/>
        <v>45659.714999999997</v>
      </c>
    </row>
    <row r="109" spans="1:8" x14ac:dyDescent="0.25">
      <c r="A109" s="50">
        <f>'A) Base RI'!A111</f>
        <v>5568</v>
      </c>
      <c r="B109" s="57" t="str">
        <f>'A) Base RI'!B111</f>
        <v>Sainte-Croix</v>
      </c>
      <c r="C109" s="32">
        <f>'B) D RI'!Y111</f>
        <v>560642.75</v>
      </c>
      <c r="D109" s="14">
        <f>'B) D RI'!Z111</f>
        <v>1751558.4</v>
      </c>
      <c r="E109" s="10">
        <f t="shared" si="3"/>
        <v>2312201.15</v>
      </c>
      <c r="F109" s="14">
        <f>'B) D RI'!U111</f>
        <v>103146.8182857143</v>
      </c>
      <c r="G109" s="265">
        <f t="shared" si="4"/>
        <v>22.416601776268621</v>
      </c>
      <c r="H109" s="58">
        <f t="shared" si="5"/>
        <v>805788.8949999999</v>
      </c>
    </row>
    <row r="110" spans="1:8" x14ac:dyDescent="0.25">
      <c r="A110" s="50">
        <f>'A) Base RI'!A112</f>
        <v>5571</v>
      </c>
      <c r="B110" s="57" t="str">
        <f>'A) Base RI'!B112</f>
        <v>Tévenon</v>
      </c>
      <c r="C110" s="32">
        <f>'B) D RI'!Y112</f>
        <v>142974.39999999999</v>
      </c>
      <c r="D110" s="14">
        <f>'B) D RI'!Z112</f>
        <v>43949.599999999999</v>
      </c>
      <c r="E110" s="10">
        <f t="shared" si="3"/>
        <v>186924</v>
      </c>
      <c r="F110" s="14">
        <f>'B) D RI'!U112</f>
        <v>22505.207716894973</v>
      </c>
      <c r="G110" s="265">
        <f t="shared" si="4"/>
        <v>8.3058109194732541</v>
      </c>
      <c r="H110" s="58">
        <f t="shared" si="5"/>
        <v>84672.08</v>
      </c>
    </row>
    <row r="111" spans="1:8" x14ac:dyDescent="0.25">
      <c r="A111" s="50">
        <f>'A) Base RI'!A113</f>
        <v>5581</v>
      </c>
      <c r="B111" s="57" t="str">
        <f>'A) Base RI'!B113</f>
        <v>Belmont-sur-Lausanne</v>
      </c>
      <c r="C111" s="32">
        <f>'B) D RI'!Y113</f>
        <v>1299379.5499999998</v>
      </c>
      <c r="D111" s="14">
        <f>'B) D RI'!Z113</f>
        <v>8316.4500000000007</v>
      </c>
      <c r="E111" s="10">
        <f t="shared" si="3"/>
        <v>1307695.9999999998</v>
      </c>
      <c r="F111" s="14">
        <f>'B) D RI'!U113</f>
        <v>187970.76781774583</v>
      </c>
      <c r="G111" s="265">
        <f t="shared" si="4"/>
        <v>6.9569115197099469</v>
      </c>
      <c r="H111" s="58">
        <f t="shared" si="5"/>
        <v>652184.71</v>
      </c>
    </row>
    <row r="112" spans="1:8" x14ac:dyDescent="0.25">
      <c r="A112" s="50">
        <f>'A) Base RI'!A114</f>
        <v>5582</v>
      </c>
      <c r="B112" s="57" t="str">
        <f>'A) Base RI'!B114</f>
        <v>Cheseaux-sur-Lausanne</v>
      </c>
      <c r="C112" s="32">
        <f>'B) D RI'!Y114</f>
        <v>538400.60000000009</v>
      </c>
      <c r="D112" s="14">
        <f>'B) D RI'!Z114</f>
        <v>461910.4</v>
      </c>
      <c r="E112" s="10">
        <f t="shared" si="3"/>
        <v>1000311.0000000001</v>
      </c>
      <c r="F112" s="14">
        <f>'B) D RI'!U114</f>
        <v>177854.9614765101</v>
      </c>
      <c r="G112" s="265">
        <f t="shared" si="4"/>
        <v>5.6243075351716545</v>
      </c>
      <c r="H112" s="58">
        <f t="shared" si="5"/>
        <v>407773.42000000004</v>
      </c>
    </row>
    <row r="113" spans="1:8" x14ac:dyDescent="0.25">
      <c r="A113" s="50">
        <f>'A) Base RI'!A115</f>
        <v>5583</v>
      </c>
      <c r="B113" s="57" t="str">
        <f>'A) Base RI'!B115</f>
        <v>Crissier</v>
      </c>
      <c r="C113" s="32">
        <f>'B) D RI'!Y115</f>
        <v>3147093.5</v>
      </c>
      <c r="D113" s="14">
        <f>'B) D RI'!Z115</f>
        <v>1826234.1</v>
      </c>
      <c r="E113" s="10">
        <f t="shared" si="3"/>
        <v>4973327.5999999996</v>
      </c>
      <c r="F113" s="14">
        <f>'B) D RI'!U115</f>
        <v>343062.59507692308</v>
      </c>
      <c r="G113" s="265">
        <f t="shared" si="4"/>
        <v>14.496851803050278</v>
      </c>
      <c r="H113" s="58">
        <f t="shared" si="5"/>
        <v>2121416.98</v>
      </c>
    </row>
    <row r="114" spans="1:8" x14ac:dyDescent="0.25">
      <c r="A114" s="50">
        <f>'A) Base RI'!A116</f>
        <v>5584</v>
      </c>
      <c r="B114" s="57" t="str">
        <f>'A) Base RI'!B116</f>
        <v>Epalinges</v>
      </c>
      <c r="C114" s="32">
        <f>'B) D RI'!Y116</f>
        <v>7484541.4499999993</v>
      </c>
      <c r="D114" s="14">
        <f>'B) D RI'!Z116</f>
        <v>292689.40000000002</v>
      </c>
      <c r="E114" s="10">
        <f t="shared" si="3"/>
        <v>7777230.8499999996</v>
      </c>
      <c r="F114" s="14">
        <f>'B) D RI'!U116</f>
        <v>468635.24666666664</v>
      </c>
      <c r="G114" s="265">
        <f t="shared" si="4"/>
        <v>16.595488506932192</v>
      </c>
      <c r="H114" s="58">
        <f t="shared" si="5"/>
        <v>3830077.5449999995</v>
      </c>
    </row>
    <row r="115" spans="1:8" x14ac:dyDescent="0.25">
      <c r="A115" s="50">
        <f>'A) Base RI'!A117</f>
        <v>5585</v>
      </c>
      <c r="B115" s="57" t="str">
        <f>'A) Base RI'!B117</f>
        <v>Jouxtens-Mézery</v>
      </c>
      <c r="C115" s="32">
        <f>'B) D RI'!Y117</f>
        <v>485105.85</v>
      </c>
      <c r="D115" s="14">
        <f>'B) D RI'!Z117</f>
        <v>1998.15</v>
      </c>
      <c r="E115" s="10">
        <f t="shared" si="3"/>
        <v>487104</v>
      </c>
      <c r="F115" s="14">
        <f>'B) D RI'!U117</f>
        <v>222395.52905660376</v>
      </c>
      <c r="G115" s="265">
        <f t="shared" si="4"/>
        <v>2.190259858488536</v>
      </c>
      <c r="H115" s="58">
        <f t="shared" si="5"/>
        <v>243152.37</v>
      </c>
    </row>
    <row r="116" spans="1:8" x14ac:dyDescent="0.25">
      <c r="A116" s="50">
        <f>'A) Base RI'!A118</f>
        <v>5586</v>
      </c>
      <c r="B116" s="57" t="str">
        <f>'A) Base RI'!B118</f>
        <v>Lausanne</v>
      </c>
      <c r="C116" s="32">
        <f>'B) D RI'!Y118</f>
        <v>38903101.899999999</v>
      </c>
      <c r="D116" s="14">
        <f>'B) D RI'!Z118</f>
        <v>10875129.949999999</v>
      </c>
      <c r="E116" s="10">
        <f t="shared" si="3"/>
        <v>49778231.849999994</v>
      </c>
      <c r="F116" s="14">
        <f>'B) D RI'!U118</f>
        <v>5998569.406244725</v>
      </c>
      <c r="G116" s="265">
        <f t="shared" si="4"/>
        <v>8.2983505697506939</v>
      </c>
      <c r="H116" s="58">
        <f t="shared" si="5"/>
        <v>22714089.934999999</v>
      </c>
    </row>
    <row r="117" spans="1:8" x14ac:dyDescent="0.25">
      <c r="A117" s="50">
        <f>'A) Base RI'!A119</f>
        <v>5587</v>
      </c>
      <c r="B117" s="57" t="str">
        <f>'A) Base RI'!B119</f>
        <v>Le Mont-sur-Lausanne</v>
      </c>
      <c r="C117" s="32">
        <f>'B) D RI'!Y119</f>
        <v>1659336.25</v>
      </c>
      <c r="D117" s="14">
        <f>'B) D RI'!Z119</f>
        <v>538043.69999999995</v>
      </c>
      <c r="E117" s="10">
        <f t="shared" si="3"/>
        <v>2197379.9500000002</v>
      </c>
      <c r="F117" s="14">
        <f>'B) D RI'!U119</f>
        <v>426789.42020000005</v>
      </c>
      <c r="G117" s="265">
        <f t="shared" si="4"/>
        <v>5.1486279790400484</v>
      </c>
      <c r="H117" s="58">
        <f t="shared" si="5"/>
        <v>991081.23499999999</v>
      </c>
    </row>
    <row r="118" spans="1:8" x14ac:dyDescent="0.25">
      <c r="A118" s="50">
        <f>'A) Base RI'!A120</f>
        <v>5588</v>
      </c>
      <c r="B118" s="57" t="str">
        <f>'A) Base RI'!B120</f>
        <v>Paudex</v>
      </c>
      <c r="C118" s="32">
        <f>'B) D RI'!Y120</f>
        <v>469665.4</v>
      </c>
      <c r="D118" s="14">
        <f>'B) D RI'!Z120</f>
        <v>15159.4</v>
      </c>
      <c r="E118" s="10">
        <f t="shared" si="3"/>
        <v>484824.80000000005</v>
      </c>
      <c r="F118" s="14">
        <f>'B) D RI'!U120</f>
        <v>123307.63563298491</v>
      </c>
      <c r="G118" s="265">
        <f t="shared" si="4"/>
        <v>3.931831127174001</v>
      </c>
      <c r="H118" s="58">
        <f t="shared" si="5"/>
        <v>239380.52000000002</v>
      </c>
    </row>
    <row r="119" spans="1:8" x14ac:dyDescent="0.25">
      <c r="A119" s="50">
        <f>'A) Base RI'!A121</f>
        <v>5589</v>
      </c>
      <c r="B119" s="57" t="str">
        <f>'A) Base RI'!B121</f>
        <v>Prilly</v>
      </c>
      <c r="C119" s="32">
        <f>'B) D RI'!Y121</f>
        <v>1767905.9000000001</v>
      </c>
      <c r="D119" s="14">
        <f>'B) D RI'!Z121</f>
        <v>1183963.75</v>
      </c>
      <c r="E119" s="10">
        <f t="shared" si="3"/>
        <v>2951869.6500000004</v>
      </c>
      <c r="F119" s="14">
        <f>'B) D RI'!U121</f>
        <v>426033.15632653062</v>
      </c>
      <c r="G119" s="265">
        <f t="shared" si="4"/>
        <v>6.9287322035037979</v>
      </c>
      <c r="H119" s="58">
        <f t="shared" si="5"/>
        <v>1239142.0750000002</v>
      </c>
    </row>
    <row r="120" spans="1:8" x14ac:dyDescent="0.25">
      <c r="A120" s="50">
        <f>'A) Base RI'!A122</f>
        <v>5590</v>
      </c>
      <c r="B120" s="57" t="str">
        <f>'A) Base RI'!B122</f>
        <v>Pully</v>
      </c>
      <c r="C120" s="32">
        <f>'B) D RI'!Y122</f>
        <v>13781025.399999999</v>
      </c>
      <c r="D120" s="14">
        <f>'B) D RI'!Z122</f>
        <v>193434.5</v>
      </c>
      <c r="E120" s="10">
        <f t="shared" si="3"/>
        <v>13974459.899999999</v>
      </c>
      <c r="F120" s="14">
        <f>'B) D RI'!U122</f>
        <v>1404840.8814754093</v>
      </c>
      <c r="G120" s="265">
        <f t="shared" si="4"/>
        <v>9.9473613590484131</v>
      </c>
      <c r="H120" s="58">
        <f t="shared" si="5"/>
        <v>6948543.0499999989</v>
      </c>
    </row>
    <row r="121" spans="1:8" x14ac:dyDescent="0.25">
      <c r="A121" s="50">
        <f>'A) Base RI'!A123</f>
        <v>5591</v>
      </c>
      <c r="B121" s="57" t="str">
        <f>'A) Base RI'!B123</f>
        <v>Renens</v>
      </c>
      <c r="C121" s="32">
        <f>'B) D RI'!Y123</f>
        <v>4495247.3499999996</v>
      </c>
      <c r="D121" s="14">
        <f>'B) D RI'!Z123</f>
        <v>2467919.5</v>
      </c>
      <c r="E121" s="10">
        <f t="shared" si="3"/>
        <v>6963166.8499999996</v>
      </c>
      <c r="F121" s="14">
        <f>'B) D RI'!U123</f>
        <v>580334.81221110106</v>
      </c>
      <c r="G121" s="265">
        <f t="shared" si="4"/>
        <v>11.998533783403461</v>
      </c>
      <c r="H121" s="58">
        <f t="shared" si="5"/>
        <v>2987999.5249999999</v>
      </c>
    </row>
    <row r="122" spans="1:8" x14ac:dyDescent="0.25">
      <c r="A122" s="50">
        <f>'A) Base RI'!A124</f>
        <v>5592</v>
      </c>
      <c r="B122" s="57" t="str">
        <f>'A) Base RI'!B124</f>
        <v>Romanel-sur-Lausanne</v>
      </c>
      <c r="C122" s="32">
        <f>'B) D RI'!Y124</f>
        <v>383454.3</v>
      </c>
      <c r="D122" s="14">
        <f>'B) D RI'!Z124</f>
        <v>211296.2</v>
      </c>
      <c r="E122" s="10">
        <f t="shared" si="3"/>
        <v>594750.5</v>
      </c>
      <c r="F122" s="14">
        <f>'B) D RI'!U124</f>
        <v>113924.20114285716</v>
      </c>
      <c r="G122" s="265">
        <f t="shared" si="4"/>
        <v>5.2205808250891543</v>
      </c>
      <c r="H122" s="58">
        <f t="shared" si="5"/>
        <v>255116.01</v>
      </c>
    </row>
    <row r="123" spans="1:8" x14ac:dyDescent="0.25">
      <c r="A123" s="50">
        <f>'A) Base RI'!A125</f>
        <v>5601</v>
      </c>
      <c r="B123" s="57" t="str">
        <f>'A) Base RI'!B125</f>
        <v>Chexbres</v>
      </c>
      <c r="C123" s="32">
        <f>'B) D RI'!Y125</f>
        <v>706806.4</v>
      </c>
      <c r="D123" s="14">
        <f>'B) D RI'!Z125</f>
        <v>46283.1</v>
      </c>
      <c r="E123" s="10">
        <f t="shared" si="3"/>
        <v>753089.5</v>
      </c>
      <c r="F123" s="14">
        <f>'B) D RI'!U125</f>
        <v>102834.27275362321</v>
      </c>
      <c r="G123" s="265">
        <f t="shared" si="4"/>
        <v>7.3233318020763267</v>
      </c>
      <c r="H123" s="58">
        <f t="shared" si="5"/>
        <v>367288.13</v>
      </c>
    </row>
    <row r="124" spans="1:8" x14ac:dyDescent="0.25">
      <c r="A124" s="50">
        <f>'A) Base RI'!A126</f>
        <v>5604</v>
      </c>
      <c r="B124" s="57" t="str">
        <f>'A) Base RI'!B126</f>
        <v>Forel (Lavaux)</v>
      </c>
      <c r="C124" s="32">
        <f>'B) D RI'!Y126</f>
        <v>334039.90000000002</v>
      </c>
      <c r="D124" s="14">
        <f>'B) D RI'!Z126</f>
        <v>109339.65</v>
      </c>
      <c r="E124" s="10">
        <f t="shared" si="3"/>
        <v>443379.55000000005</v>
      </c>
      <c r="F124" s="14">
        <f>'B) D RI'!U126</f>
        <v>76415.868285714285</v>
      </c>
      <c r="G124" s="265">
        <f t="shared" si="4"/>
        <v>5.8021921355683723</v>
      </c>
      <c r="H124" s="58">
        <f t="shared" si="5"/>
        <v>199821.845</v>
      </c>
    </row>
    <row r="125" spans="1:8" x14ac:dyDescent="0.25">
      <c r="A125" s="50">
        <f>'A) Base RI'!A127</f>
        <v>5606</v>
      </c>
      <c r="B125" s="57" t="str">
        <f>'A) Base RI'!B127</f>
        <v>Lutry</v>
      </c>
      <c r="C125" s="32">
        <f>'B) D RI'!Y127</f>
        <v>7496687.9000000004</v>
      </c>
      <c r="D125" s="14">
        <f>'B) D RI'!Z127</f>
        <v>114627.85</v>
      </c>
      <c r="E125" s="10">
        <f t="shared" si="3"/>
        <v>7611315.75</v>
      </c>
      <c r="F125" s="14">
        <f>'B) D RI'!U127</f>
        <v>833790.99884169886</v>
      </c>
      <c r="G125" s="265">
        <f t="shared" si="4"/>
        <v>9.1285655045132739</v>
      </c>
      <c r="H125" s="58">
        <f t="shared" si="5"/>
        <v>3782732.3050000002</v>
      </c>
    </row>
    <row r="126" spans="1:8" x14ac:dyDescent="0.25">
      <c r="A126" s="50">
        <f>'A) Base RI'!A128</f>
        <v>5607</v>
      </c>
      <c r="B126" s="57" t="str">
        <f>'A) Base RI'!B128</f>
        <v>Puidoux</v>
      </c>
      <c r="C126" s="32">
        <f>'B) D RI'!Y128</f>
        <v>713867.2</v>
      </c>
      <c r="D126" s="14">
        <f>'B) D RI'!Z128</f>
        <v>226664.6</v>
      </c>
      <c r="E126" s="10">
        <f t="shared" si="3"/>
        <v>940531.79999999993</v>
      </c>
      <c r="F126" s="14">
        <f>'B) D RI'!U128</f>
        <v>111751.15780124225</v>
      </c>
      <c r="G126" s="265">
        <f t="shared" si="4"/>
        <v>8.4163047480260182</v>
      </c>
      <c r="H126" s="58">
        <f t="shared" si="5"/>
        <v>424932.98</v>
      </c>
    </row>
    <row r="127" spans="1:8" x14ac:dyDescent="0.25">
      <c r="A127" s="50">
        <f>'A) Base RI'!A129</f>
        <v>5609</v>
      </c>
      <c r="B127" s="57" t="str">
        <f>'A) Base RI'!B129</f>
        <v>Rivaz</v>
      </c>
      <c r="C127" s="32">
        <f>'B) D RI'!Y129</f>
        <v>19580</v>
      </c>
      <c r="D127" s="14">
        <f>'B) D RI'!Z129</f>
        <v>0</v>
      </c>
      <c r="E127" s="10">
        <f t="shared" si="3"/>
        <v>19580</v>
      </c>
      <c r="F127" s="14">
        <f>'B) D RI'!U129</f>
        <v>13518.908661417323</v>
      </c>
      <c r="G127" s="265">
        <f t="shared" si="4"/>
        <v>1.4483417626661612</v>
      </c>
      <c r="H127" s="58">
        <f t="shared" si="5"/>
        <v>9790</v>
      </c>
    </row>
    <row r="128" spans="1:8" x14ac:dyDescent="0.25">
      <c r="A128" s="50">
        <f>'A) Base RI'!A130</f>
        <v>5610</v>
      </c>
      <c r="B128" s="57" t="str">
        <f>'A) Base RI'!B130</f>
        <v>St-Saphorin (Lavaux)</v>
      </c>
      <c r="C128" s="32">
        <f>'B) D RI'!Y130</f>
        <v>37922.65</v>
      </c>
      <c r="D128" s="14">
        <f>'B) D RI'!Z130</f>
        <v>0</v>
      </c>
      <c r="E128" s="10">
        <f t="shared" si="3"/>
        <v>37922.65</v>
      </c>
      <c r="F128" s="14">
        <f>'B) D RI'!U130</f>
        <v>21494.070428571435</v>
      </c>
      <c r="G128" s="265">
        <f t="shared" si="4"/>
        <v>1.7643307779242474</v>
      </c>
      <c r="H128" s="58">
        <f t="shared" si="5"/>
        <v>18961.325000000001</v>
      </c>
    </row>
    <row r="129" spans="1:8" x14ac:dyDescent="0.25">
      <c r="A129" s="50">
        <f>'A) Base RI'!A131</f>
        <v>5611</v>
      </c>
      <c r="B129" s="57" t="str">
        <f>'A) Base RI'!B131</f>
        <v>Savigny</v>
      </c>
      <c r="C129" s="32">
        <f>'B) D RI'!Y131</f>
        <v>1590831.25</v>
      </c>
      <c r="D129" s="14">
        <f>'B) D RI'!Z131</f>
        <v>152991.25</v>
      </c>
      <c r="E129" s="10">
        <f t="shared" si="3"/>
        <v>1743822.5</v>
      </c>
      <c r="F129" s="14">
        <f>'B) D RI'!U131</f>
        <v>137747.50487922705</v>
      </c>
      <c r="G129" s="265">
        <f t="shared" si="4"/>
        <v>12.65955780127511</v>
      </c>
      <c r="H129" s="58">
        <f t="shared" si="5"/>
        <v>841313</v>
      </c>
    </row>
    <row r="130" spans="1:8" x14ac:dyDescent="0.25">
      <c r="A130" s="50">
        <f>'A) Base RI'!A132</f>
        <v>5613</v>
      </c>
      <c r="B130" s="57" t="str">
        <f>'A) Base RI'!B132</f>
        <v>Bourg-en-Lavaux</v>
      </c>
      <c r="C130" s="32">
        <f>'B) D RI'!Y132</f>
        <v>2165626.7999999998</v>
      </c>
      <c r="D130" s="14">
        <f>'B) D RI'!Z132</f>
        <v>27565.8</v>
      </c>
      <c r="E130" s="10">
        <f t="shared" si="3"/>
        <v>2193192.5999999996</v>
      </c>
      <c r="F130" s="14">
        <f>'B) D RI'!U132</f>
        <v>293991.54098360648</v>
      </c>
      <c r="G130" s="265">
        <f t="shared" si="4"/>
        <v>7.4600534173950814</v>
      </c>
      <c r="H130" s="58">
        <f t="shared" si="5"/>
        <v>1091083.1399999999</v>
      </c>
    </row>
    <row r="131" spans="1:8" x14ac:dyDescent="0.25">
      <c r="A131" s="50">
        <f>'A) Base RI'!A133</f>
        <v>5621</v>
      </c>
      <c r="B131" s="57" t="str">
        <f>'A) Base RI'!B133</f>
        <v>Aclens</v>
      </c>
      <c r="C131" s="32">
        <f>'B) D RI'!Y133</f>
        <v>371073.85</v>
      </c>
      <c r="D131" s="14">
        <f>'B) D RI'!Z133</f>
        <v>216714.35</v>
      </c>
      <c r="E131" s="10">
        <f t="shared" si="3"/>
        <v>587788.19999999995</v>
      </c>
      <c r="F131" s="14">
        <f>'B) D RI'!U133</f>
        <v>39594.745087976538</v>
      </c>
      <c r="G131" s="265">
        <f t="shared" si="4"/>
        <v>14.845106306252987</v>
      </c>
      <c r="H131" s="58">
        <f t="shared" si="5"/>
        <v>250551.22999999998</v>
      </c>
    </row>
    <row r="132" spans="1:8" x14ac:dyDescent="0.25">
      <c r="A132" s="50">
        <f>'A) Base RI'!A134</f>
        <v>5622</v>
      </c>
      <c r="B132" s="57" t="str">
        <f>'A) Base RI'!B134</f>
        <v>Bremblens</v>
      </c>
      <c r="C132" s="32">
        <f>'B) D RI'!Y134</f>
        <v>251598.7</v>
      </c>
      <c r="D132" s="14">
        <f>'B) D RI'!Z134</f>
        <v>22635.8</v>
      </c>
      <c r="E132" s="10">
        <f t="shared" si="3"/>
        <v>274234.5</v>
      </c>
      <c r="F132" s="14">
        <f>'B) D RI'!U134</f>
        <v>25350.281363636361</v>
      </c>
      <c r="G132" s="265">
        <f t="shared" si="4"/>
        <v>10.817808925520444</v>
      </c>
      <c r="H132" s="58">
        <f t="shared" si="5"/>
        <v>132590.09</v>
      </c>
    </row>
    <row r="133" spans="1:8" x14ac:dyDescent="0.25">
      <c r="A133" s="50">
        <f>'A) Base RI'!A135</f>
        <v>5623</v>
      </c>
      <c r="B133" s="57" t="str">
        <f>'A) Base RI'!B135</f>
        <v>Buchillon</v>
      </c>
      <c r="C133" s="32">
        <f>'B) D RI'!Y135</f>
        <v>270530.69999999995</v>
      </c>
      <c r="D133" s="14">
        <f>'B) D RI'!Z135</f>
        <v>2113.4499999999998</v>
      </c>
      <c r="E133" s="10">
        <f t="shared" si="3"/>
        <v>272644.14999999997</v>
      </c>
      <c r="F133" s="14">
        <f>'B) D RI'!U135</f>
        <v>118338.72603773585</v>
      </c>
      <c r="G133" s="265">
        <f t="shared" si="4"/>
        <v>2.3039300753758258</v>
      </c>
      <c r="H133" s="58">
        <f t="shared" si="5"/>
        <v>135899.38499999998</v>
      </c>
    </row>
    <row r="134" spans="1:8" x14ac:dyDescent="0.25">
      <c r="A134" s="50">
        <f>'A) Base RI'!A136</f>
        <v>5624</v>
      </c>
      <c r="B134" s="57" t="str">
        <f>'A) Base RI'!B136</f>
        <v>Bussigny</v>
      </c>
      <c r="C134" s="32">
        <f>'B) D RI'!Y136</f>
        <v>2412799.2000000002</v>
      </c>
      <c r="D134" s="14">
        <f>'B) D RI'!Z136</f>
        <v>1436741.85</v>
      </c>
      <c r="E134" s="10">
        <f t="shared" ref="E134:E197" si="6">C134+D134</f>
        <v>3849541.0500000003</v>
      </c>
      <c r="F134" s="14">
        <f>'B) D RI'!U136</f>
        <v>383784.23111111118</v>
      </c>
      <c r="G134" s="265">
        <f t="shared" ref="G134:G197" si="7">E134/F134</f>
        <v>10.030482593969582</v>
      </c>
      <c r="H134" s="58">
        <f t="shared" ref="H134:H197" si="8">(C134*$C$4)+(D134*$D$4)</f>
        <v>1637422.155</v>
      </c>
    </row>
    <row r="135" spans="1:8" x14ac:dyDescent="0.25">
      <c r="A135" s="50">
        <f>'A) Base RI'!A137</f>
        <v>5625</v>
      </c>
      <c r="B135" s="57" t="str">
        <f>'A) Base RI'!B137</f>
        <v>Bussy-Chardonney</v>
      </c>
      <c r="C135" s="32">
        <f>'B) D RI'!Y137</f>
        <v>131630.85</v>
      </c>
      <c r="D135" s="14">
        <f>'B) D RI'!Z137</f>
        <v>0</v>
      </c>
      <c r="E135" s="10">
        <f t="shared" si="6"/>
        <v>131630.85</v>
      </c>
      <c r="F135" s="14">
        <f>'B) D RI'!U137</f>
        <v>13516.350747863249</v>
      </c>
      <c r="G135" s="265">
        <f t="shared" si="7"/>
        <v>9.7386382208828852</v>
      </c>
      <c r="H135" s="58">
        <f t="shared" si="8"/>
        <v>65815.425000000003</v>
      </c>
    </row>
    <row r="136" spans="1:8" x14ac:dyDescent="0.25">
      <c r="A136" s="50">
        <f>'A) Base RI'!A138</f>
        <v>5627</v>
      </c>
      <c r="B136" s="57" t="str">
        <f>'A) Base RI'!B138</f>
        <v>Chavannes-près-Renens</v>
      </c>
      <c r="C136" s="32">
        <f>'B) D RI'!Y138</f>
        <v>1047328.35</v>
      </c>
      <c r="D136" s="14">
        <f>'B) D RI'!Z138</f>
        <v>405212</v>
      </c>
      <c r="E136" s="10">
        <f t="shared" si="6"/>
        <v>1452540.35</v>
      </c>
      <c r="F136" s="14">
        <f>'B) D RI'!U138</f>
        <v>182156.43953586498</v>
      </c>
      <c r="G136" s="265">
        <f t="shared" si="7"/>
        <v>7.9741367019528724</v>
      </c>
      <c r="H136" s="58">
        <f t="shared" si="8"/>
        <v>645227.77500000002</v>
      </c>
    </row>
    <row r="137" spans="1:8" x14ac:dyDescent="0.25">
      <c r="A137" s="50">
        <f>'A) Base RI'!A139</f>
        <v>5628</v>
      </c>
      <c r="B137" s="57" t="str">
        <f>'A) Base RI'!B139</f>
        <v>Chigny</v>
      </c>
      <c r="C137" s="32">
        <f>'B) D RI'!Y139</f>
        <v>150983.85</v>
      </c>
      <c r="D137" s="14">
        <f>'B) D RI'!Z139</f>
        <v>26499.05</v>
      </c>
      <c r="E137" s="10">
        <f t="shared" si="6"/>
        <v>177482.9</v>
      </c>
      <c r="F137" s="14">
        <f>'B) D RI'!U139</f>
        <v>27139.331451612899</v>
      </c>
      <c r="G137" s="265">
        <f t="shared" si="7"/>
        <v>6.5396931503798017</v>
      </c>
      <c r="H137" s="58">
        <f t="shared" si="8"/>
        <v>83441.64</v>
      </c>
    </row>
    <row r="138" spans="1:8" x14ac:dyDescent="0.25">
      <c r="A138" s="50">
        <f>'A) Base RI'!A140</f>
        <v>5629</v>
      </c>
      <c r="B138" s="57" t="str">
        <f>'A) Base RI'!B140</f>
        <v>Clarmont</v>
      </c>
      <c r="C138" s="32">
        <f>'B) D RI'!Y140</f>
        <v>59963.9</v>
      </c>
      <c r="D138" s="14">
        <f>'B) D RI'!Z140</f>
        <v>0</v>
      </c>
      <c r="E138" s="10">
        <f t="shared" si="6"/>
        <v>59963.9</v>
      </c>
      <c r="F138" s="14">
        <f>'B) D RI'!U140</f>
        <v>6960.0919999999987</v>
      </c>
      <c r="G138" s="265">
        <f t="shared" si="7"/>
        <v>8.6153889919845899</v>
      </c>
      <c r="H138" s="58">
        <f t="shared" si="8"/>
        <v>29981.95</v>
      </c>
    </row>
    <row r="139" spans="1:8" x14ac:dyDescent="0.25">
      <c r="A139" s="50">
        <f>'A) Base RI'!A141</f>
        <v>5631</v>
      </c>
      <c r="B139" s="57" t="str">
        <f>'A) Base RI'!B141</f>
        <v>Denens</v>
      </c>
      <c r="C139" s="32">
        <f>'B) D RI'!Y141</f>
        <v>220358.39999999999</v>
      </c>
      <c r="D139" s="14">
        <f>'B) D RI'!Z141</f>
        <v>0</v>
      </c>
      <c r="E139" s="10">
        <f t="shared" si="6"/>
        <v>220358.39999999999</v>
      </c>
      <c r="F139" s="14">
        <f>'B) D RI'!U141</f>
        <v>43908.937857142853</v>
      </c>
      <c r="G139" s="265">
        <f t="shared" si="7"/>
        <v>5.0185317785853334</v>
      </c>
      <c r="H139" s="58">
        <f t="shared" si="8"/>
        <v>110179.2</v>
      </c>
    </row>
    <row r="140" spans="1:8" x14ac:dyDescent="0.25">
      <c r="A140" s="50">
        <f>'A) Base RI'!A142</f>
        <v>5632</v>
      </c>
      <c r="B140" s="57" t="str">
        <f>'A) Base RI'!B142</f>
        <v>Denges</v>
      </c>
      <c r="C140" s="32">
        <f>'B) D RI'!Y142</f>
        <v>468797.75</v>
      </c>
      <c r="D140" s="14">
        <f>'B) D RI'!Z142</f>
        <v>73867.05</v>
      </c>
      <c r="E140" s="10">
        <f t="shared" si="6"/>
        <v>542664.80000000005</v>
      </c>
      <c r="F140" s="14">
        <f>'B) D RI'!U142</f>
        <v>69010.195161290321</v>
      </c>
      <c r="G140" s="265">
        <f t="shared" si="7"/>
        <v>7.8635453606773069</v>
      </c>
      <c r="H140" s="58">
        <f t="shared" si="8"/>
        <v>256558.99</v>
      </c>
    </row>
    <row r="141" spans="1:8" x14ac:dyDescent="0.25">
      <c r="A141" s="50">
        <f>'A) Base RI'!A143</f>
        <v>5633</v>
      </c>
      <c r="B141" s="57" t="str">
        <f>'A) Base RI'!B143</f>
        <v>Echandens</v>
      </c>
      <c r="C141" s="32">
        <f>'B) D RI'!Y143</f>
        <v>265590.19</v>
      </c>
      <c r="D141" s="14">
        <f>'B) D RI'!Z143</f>
        <v>224978.2</v>
      </c>
      <c r="E141" s="10">
        <f t="shared" si="6"/>
        <v>490568.39</v>
      </c>
      <c r="F141" s="14">
        <f>'B) D RI'!U143</f>
        <v>138978.74822580643</v>
      </c>
      <c r="G141" s="265">
        <f t="shared" si="7"/>
        <v>3.5298086668829867</v>
      </c>
      <c r="H141" s="58">
        <f t="shared" si="8"/>
        <v>200288.55499999999</v>
      </c>
    </row>
    <row r="142" spans="1:8" x14ac:dyDescent="0.25">
      <c r="A142" s="50">
        <f>'A) Base RI'!A144</f>
        <v>5634</v>
      </c>
      <c r="B142" s="57" t="str">
        <f>'A) Base RI'!B144</f>
        <v>Echichens</v>
      </c>
      <c r="C142" s="32">
        <f>'B) D RI'!Y144</f>
        <v>978755.45000000007</v>
      </c>
      <c r="D142" s="14">
        <f>'B) D RI'!Z144</f>
        <v>36676.85</v>
      </c>
      <c r="E142" s="10">
        <f t="shared" si="6"/>
        <v>1015432.3</v>
      </c>
      <c r="F142" s="14">
        <f>'B) D RI'!U144</f>
        <v>173327.76338235298</v>
      </c>
      <c r="G142" s="265">
        <f t="shared" si="7"/>
        <v>5.8584515266605255</v>
      </c>
      <c r="H142" s="58">
        <f t="shared" si="8"/>
        <v>500380.78</v>
      </c>
    </row>
    <row r="143" spans="1:8" x14ac:dyDescent="0.25">
      <c r="A143" s="50">
        <f>'A) Base RI'!A145</f>
        <v>5635</v>
      </c>
      <c r="B143" s="57" t="str">
        <f>'A) Base RI'!B145</f>
        <v>Ecublens</v>
      </c>
      <c r="C143" s="32">
        <f>'B) D RI'!Y145</f>
        <v>1232718.5</v>
      </c>
      <c r="D143" s="14">
        <f>'B) D RI'!Z145</f>
        <v>2525188.4</v>
      </c>
      <c r="E143" s="10">
        <f t="shared" si="6"/>
        <v>3757906.9</v>
      </c>
      <c r="F143" s="14">
        <f>'B) D RI'!U145</f>
        <v>437106.29065104178</v>
      </c>
      <c r="G143" s="265">
        <f t="shared" si="7"/>
        <v>8.5972382012687092</v>
      </c>
      <c r="H143" s="58">
        <f t="shared" si="8"/>
        <v>1373915.77</v>
      </c>
    </row>
    <row r="144" spans="1:8" x14ac:dyDescent="0.25">
      <c r="A144" s="50">
        <f>'A) Base RI'!A146</f>
        <v>5636</v>
      </c>
      <c r="B144" s="57" t="str">
        <f>'A) Base RI'!B146</f>
        <v>Etoy</v>
      </c>
      <c r="C144" s="32">
        <f>'B) D RI'!Y146</f>
        <v>1763625.1999999997</v>
      </c>
      <c r="D144" s="14">
        <f>'B) D RI'!Z146</f>
        <v>567263.44999999995</v>
      </c>
      <c r="E144" s="10">
        <f t="shared" si="6"/>
        <v>2330888.6499999994</v>
      </c>
      <c r="F144" s="14">
        <f>'B) D RI'!U146</f>
        <v>187871.92573770491</v>
      </c>
      <c r="G144" s="265">
        <f t="shared" si="7"/>
        <v>12.406795964045427</v>
      </c>
      <c r="H144" s="58">
        <f t="shared" si="8"/>
        <v>1051991.6349999998</v>
      </c>
    </row>
    <row r="145" spans="1:8" x14ac:dyDescent="0.25">
      <c r="A145" s="50">
        <f>'A) Base RI'!A147</f>
        <v>5637</v>
      </c>
      <c r="B145" s="57" t="str">
        <f>'A) Base RI'!B147</f>
        <v>Lavigny</v>
      </c>
      <c r="C145" s="32">
        <f>'B) D RI'!Y147</f>
        <v>138512.90000000002</v>
      </c>
      <c r="D145" s="14">
        <f>'B) D RI'!Z147</f>
        <v>222794.7</v>
      </c>
      <c r="E145" s="10">
        <f t="shared" si="6"/>
        <v>361307.60000000003</v>
      </c>
      <c r="F145" s="14">
        <f>'B) D RI'!U147</f>
        <v>35857.018299776282</v>
      </c>
      <c r="G145" s="265">
        <f t="shared" si="7"/>
        <v>10.076342572027364</v>
      </c>
      <c r="H145" s="58">
        <f t="shared" si="8"/>
        <v>136094.86000000002</v>
      </c>
    </row>
    <row r="146" spans="1:8" x14ac:dyDescent="0.25">
      <c r="A146" s="50">
        <f>'A) Base RI'!A148</f>
        <v>5638</v>
      </c>
      <c r="B146" s="57" t="str">
        <f>'A) Base RI'!B148</f>
        <v>Lonay</v>
      </c>
      <c r="C146" s="32">
        <f>'B) D RI'!Y148</f>
        <v>2361843.3000000003</v>
      </c>
      <c r="D146" s="14">
        <f>'B) D RI'!Z148</f>
        <v>215283.05</v>
      </c>
      <c r="E146" s="10">
        <f t="shared" si="6"/>
        <v>2577126.35</v>
      </c>
      <c r="F146" s="14">
        <f>'B) D RI'!U148</f>
        <v>168179.65436363633</v>
      </c>
      <c r="G146" s="265">
        <f t="shared" si="7"/>
        <v>15.32365112624006</v>
      </c>
      <c r="H146" s="58">
        <f t="shared" si="8"/>
        <v>1245506.5650000002</v>
      </c>
    </row>
    <row r="147" spans="1:8" x14ac:dyDescent="0.25">
      <c r="A147" s="50">
        <f>'A) Base RI'!A149</f>
        <v>5639</v>
      </c>
      <c r="B147" s="57" t="str">
        <f>'A) Base RI'!B149</f>
        <v>Lully</v>
      </c>
      <c r="C147" s="32">
        <f>'B) D RI'!Y149</f>
        <v>198670.95</v>
      </c>
      <c r="D147" s="14">
        <f>'B) D RI'!Z149</f>
        <v>12986.35</v>
      </c>
      <c r="E147" s="10">
        <f t="shared" si="6"/>
        <v>211657.30000000002</v>
      </c>
      <c r="F147" s="14">
        <f>'B) D RI'!U149</f>
        <v>46761.274262295083</v>
      </c>
      <c r="G147" s="265">
        <f t="shared" si="7"/>
        <v>4.5263373023746958</v>
      </c>
      <c r="H147" s="58">
        <f t="shared" si="8"/>
        <v>103231.38</v>
      </c>
    </row>
    <row r="148" spans="1:8" x14ac:dyDescent="0.25">
      <c r="A148" s="50">
        <f>'A) Base RI'!A150</f>
        <v>5640</v>
      </c>
      <c r="B148" s="57" t="str">
        <f>'A) Base RI'!B150</f>
        <v>Lussy-sur-Morges</v>
      </c>
      <c r="C148" s="32">
        <f>'B) D RI'!Y150</f>
        <v>325219.75</v>
      </c>
      <c r="D148" s="14">
        <f>'B) D RI'!Z150</f>
        <v>18606.95</v>
      </c>
      <c r="E148" s="10">
        <f t="shared" si="6"/>
        <v>343826.7</v>
      </c>
      <c r="F148" s="14">
        <f>'B) D RI'!U150</f>
        <v>53028.3909090909</v>
      </c>
      <c r="G148" s="265">
        <f t="shared" si="7"/>
        <v>6.4838229881317444</v>
      </c>
      <c r="H148" s="58">
        <f t="shared" si="8"/>
        <v>168191.96</v>
      </c>
    </row>
    <row r="149" spans="1:8" x14ac:dyDescent="0.25">
      <c r="A149" s="50">
        <f>'A) Base RI'!A151</f>
        <v>5642</v>
      </c>
      <c r="B149" s="57" t="str">
        <f>'A) Base RI'!B151</f>
        <v>Morges</v>
      </c>
      <c r="C149" s="32">
        <f>'B) D RI'!Y151</f>
        <v>6569279.1999999993</v>
      </c>
      <c r="D149" s="14">
        <f>'B) D RI'!Z151</f>
        <v>1405238.4</v>
      </c>
      <c r="E149" s="10">
        <f t="shared" si="6"/>
        <v>7974517.5999999996</v>
      </c>
      <c r="F149" s="14">
        <f>'B) D RI'!U151</f>
        <v>759222.5945985401</v>
      </c>
      <c r="G149" s="265">
        <f t="shared" si="7"/>
        <v>10.503530396400736</v>
      </c>
      <c r="H149" s="58">
        <f t="shared" si="8"/>
        <v>3706211.1199999996</v>
      </c>
    </row>
    <row r="150" spans="1:8" x14ac:dyDescent="0.25">
      <c r="A150" s="50">
        <f>'A) Base RI'!A152</f>
        <v>5643</v>
      </c>
      <c r="B150" s="57" t="str">
        <f>'A) Base RI'!B152</f>
        <v>Préverenges</v>
      </c>
      <c r="C150" s="32">
        <f>'B) D RI'!Y152</f>
        <v>430504.15</v>
      </c>
      <c r="D150" s="14">
        <f>'B) D RI'!Z152</f>
        <v>178198.39999999999</v>
      </c>
      <c r="E150" s="10">
        <f t="shared" si="6"/>
        <v>608702.55000000005</v>
      </c>
      <c r="F150" s="14">
        <f>'B) D RI'!U152</f>
        <v>260053.614375</v>
      </c>
      <c r="G150" s="265">
        <f t="shared" si="7"/>
        <v>2.3406809840460232</v>
      </c>
      <c r="H150" s="58">
        <f t="shared" si="8"/>
        <v>268711.59500000003</v>
      </c>
    </row>
    <row r="151" spans="1:8" x14ac:dyDescent="0.25">
      <c r="A151" s="50">
        <f>'A) Base RI'!A153</f>
        <v>5644</v>
      </c>
      <c r="B151" s="57" t="str">
        <f>'A) Base RI'!B153</f>
        <v>Reverolle</v>
      </c>
      <c r="C151" s="32">
        <f>'B) D RI'!Y153</f>
        <v>83936.15</v>
      </c>
      <c r="D151" s="14">
        <f>'B) D RI'!Z153</f>
        <v>4010.65</v>
      </c>
      <c r="E151" s="10">
        <f t="shared" si="6"/>
        <v>87946.799999999988</v>
      </c>
      <c r="F151" s="14">
        <f>'B) D RI'!U153</f>
        <v>13341.614868421055</v>
      </c>
      <c r="G151" s="265">
        <f t="shared" si="7"/>
        <v>6.5919156614365875</v>
      </c>
      <c r="H151" s="58">
        <f t="shared" si="8"/>
        <v>43171.27</v>
      </c>
    </row>
    <row r="152" spans="1:8" x14ac:dyDescent="0.25">
      <c r="A152" s="50">
        <f>'A) Base RI'!A154</f>
        <v>5645</v>
      </c>
      <c r="B152" s="57" t="str">
        <f>'A) Base RI'!B154</f>
        <v>Romanel-sur-Morges</v>
      </c>
      <c r="C152" s="32">
        <f>'B) D RI'!Y154</f>
        <v>118670.3</v>
      </c>
      <c r="D152" s="14">
        <f>'B) D RI'!Z154</f>
        <v>48717.45</v>
      </c>
      <c r="E152" s="10">
        <f t="shared" si="6"/>
        <v>167387.75</v>
      </c>
      <c r="F152" s="14">
        <f>'B) D RI'!U154</f>
        <v>26613.952053571436</v>
      </c>
      <c r="G152" s="265">
        <f t="shared" si="7"/>
        <v>6.2894736438640857</v>
      </c>
      <c r="H152" s="58">
        <f t="shared" si="8"/>
        <v>73950.384999999995</v>
      </c>
    </row>
    <row r="153" spans="1:8" x14ac:dyDescent="0.25">
      <c r="A153" s="50">
        <f>'A) Base RI'!A155</f>
        <v>5646</v>
      </c>
      <c r="B153" s="57" t="str">
        <f>'A) Base RI'!B155</f>
        <v>Saint-Prex</v>
      </c>
      <c r="C153" s="32">
        <f>'B) D RI'!Y155</f>
        <v>1340751.3000000003</v>
      </c>
      <c r="D153" s="14">
        <f>'B) D RI'!Z155</f>
        <v>621335.85</v>
      </c>
      <c r="E153" s="10">
        <f t="shared" si="6"/>
        <v>1962087.1500000004</v>
      </c>
      <c r="F153" s="14">
        <f>'B) D RI'!U155</f>
        <v>504902.63036363642</v>
      </c>
      <c r="G153" s="265">
        <f t="shared" si="7"/>
        <v>3.8860703668485224</v>
      </c>
      <c r="H153" s="58">
        <f t="shared" si="8"/>
        <v>856776.40500000014</v>
      </c>
    </row>
    <row r="154" spans="1:8" x14ac:dyDescent="0.25">
      <c r="A154" s="50">
        <f>'A) Base RI'!A156</f>
        <v>5648</v>
      </c>
      <c r="B154" s="57" t="str">
        <f>'A) Base RI'!B156</f>
        <v>Saint-Sulpice</v>
      </c>
      <c r="C154" s="32">
        <f>'B) D RI'!Y156</f>
        <v>2667065.2999999998</v>
      </c>
      <c r="D154" s="14">
        <f>'B) D RI'!Z156</f>
        <v>62390.35</v>
      </c>
      <c r="E154" s="10">
        <f t="shared" si="6"/>
        <v>2729455.65</v>
      </c>
      <c r="F154" s="14">
        <f>'B) D RI'!U156</f>
        <v>275285.22849999997</v>
      </c>
      <c r="G154" s="265">
        <f t="shared" si="7"/>
        <v>9.9150094789775487</v>
      </c>
      <c r="H154" s="58">
        <f t="shared" si="8"/>
        <v>1352249.7549999999</v>
      </c>
    </row>
    <row r="155" spans="1:8" x14ac:dyDescent="0.25">
      <c r="A155" s="50">
        <f>'A) Base RI'!A157</f>
        <v>5649</v>
      </c>
      <c r="B155" s="57" t="str">
        <f>'A) Base RI'!B157</f>
        <v>Tolochenaz</v>
      </c>
      <c r="C155" s="32">
        <f>'B) D RI'!Y157</f>
        <v>137810.65000000002</v>
      </c>
      <c r="D155" s="14">
        <f>'B) D RI'!Z157</f>
        <v>294828.34999999998</v>
      </c>
      <c r="E155" s="10">
        <f t="shared" si="6"/>
        <v>432639</v>
      </c>
      <c r="F155" s="14">
        <f>'B) D RI'!U157</f>
        <v>134431.35138461535</v>
      </c>
      <c r="G155" s="265">
        <f t="shared" si="7"/>
        <v>3.2182894506668798</v>
      </c>
      <c r="H155" s="58">
        <f t="shared" si="8"/>
        <v>157353.83000000002</v>
      </c>
    </row>
    <row r="156" spans="1:8" x14ac:dyDescent="0.25">
      <c r="A156" s="50">
        <f>'A) Base RI'!A158</f>
        <v>5650</v>
      </c>
      <c r="B156" s="57" t="str">
        <f>'A) Base RI'!B158</f>
        <v>Vaux-sur-Morges</v>
      </c>
      <c r="C156" s="32">
        <f>'B) D RI'!Y158</f>
        <v>0</v>
      </c>
      <c r="D156" s="14">
        <f>'B) D RI'!Z158</f>
        <v>0</v>
      </c>
      <c r="E156" s="10">
        <f t="shared" si="6"/>
        <v>0</v>
      </c>
      <c r="F156" s="14">
        <f>'B) D RI'!U158</f>
        <v>185075.58696428573</v>
      </c>
      <c r="G156" s="265">
        <f t="shared" si="7"/>
        <v>0</v>
      </c>
      <c r="H156" s="58">
        <f t="shared" si="8"/>
        <v>0</v>
      </c>
    </row>
    <row r="157" spans="1:8" x14ac:dyDescent="0.25">
      <c r="A157" s="50">
        <f>'A) Base RI'!A159</f>
        <v>5651</v>
      </c>
      <c r="B157" s="57" t="str">
        <f>'A) Base RI'!B159</f>
        <v>Villars-Sainte-Croix</v>
      </c>
      <c r="C157" s="32">
        <f>'B) D RI'!Y159</f>
        <v>159288.59999999998</v>
      </c>
      <c r="D157" s="14">
        <f>'B) D RI'!Z159</f>
        <v>167054.35</v>
      </c>
      <c r="E157" s="10">
        <f t="shared" si="6"/>
        <v>326342.94999999995</v>
      </c>
      <c r="F157" s="14">
        <f>'B) D RI'!U159</f>
        <v>58092.123220338974</v>
      </c>
      <c r="G157" s="265">
        <f t="shared" si="7"/>
        <v>5.617679848990992</v>
      </c>
      <c r="H157" s="58">
        <f t="shared" si="8"/>
        <v>129760.60499999998</v>
      </c>
    </row>
    <row r="158" spans="1:8" x14ac:dyDescent="0.25">
      <c r="A158" s="50">
        <f>'A) Base RI'!A160</f>
        <v>5652</v>
      </c>
      <c r="B158" s="57" t="str">
        <f>'A) Base RI'!B160</f>
        <v>Villars-sous-Yens</v>
      </c>
      <c r="C158" s="32">
        <f>'B) D RI'!Y160</f>
        <v>58323.45</v>
      </c>
      <c r="D158" s="14">
        <f>'B) D RI'!Z160</f>
        <v>8597.2999999999993</v>
      </c>
      <c r="E158" s="10">
        <f t="shared" si="6"/>
        <v>66920.75</v>
      </c>
      <c r="F158" s="14">
        <f>'B) D RI'!U160</f>
        <v>29800.949188596489</v>
      </c>
      <c r="G158" s="265">
        <f t="shared" si="7"/>
        <v>2.245591225181768</v>
      </c>
      <c r="H158" s="58">
        <f t="shared" si="8"/>
        <v>31740.914999999997</v>
      </c>
    </row>
    <row r="159" spans="1:8" x14ac:dyDescent="0.25">
      <c r="A159" s="50">
        <f>'A) Base RI'!A161</f>
        <v>5653</v>
      </c>
      <c r="B159" s="57" t="str">
        <f>'A) Base RI'!B161</f>
        <v>Vufflens-le-Château</v>
      </c>
      <c r="C159" s="32">
        <f>'B) D RI'!Y161</f>
        <v>266206</v>
      </c>
      <c r="D159" s="14">
        <f>'B) D RI'!Z161</f>
        <v>2139.1999999999998</v>
      </c>
      <c r="E159" s="10">
        <f t="shared" si="6"/>
        <v>268345.2</v>
      </c>
      <c r="F159" s="14">
        <f>'B) D RI'!U161</f>
        <v>61961.229272727272</v>
      </c>
      <c r="G159" s="265">
        <f t="shared" si="7"/>
        <v>4.3308566203368448</v>
      </c>
      <c r="H159" s="58">
        <f t="shared" si="8"/>
        <v>133744.76</v>
      </c>
    </row>
    <row r="160" spans="1:8" x14ac:dyDescent="0.25">
      <c r="A160" s="50">
        <f>'A) Base RI'!A162</f>
        <v>5654</v>
      </c>
      <c r="B160" s="57" t="str">
        <f>'A) Base RI'!B162</f>
        <v>Vullierens</v>
      </c>
      <c r="C160" s="32">
        <f>'B) D RI'!Y162</f>
        <v>110697.2</v>
      </c>
      <c r="D160" s="14">
        <f>'B) D RI'!Z162</f>
        <v>5126</v>
      </c>
      <c r="E160" s="10">
        <f t="shared" si="6"/>
        <v>115823.2</v>
      </c>
      <c r="F160" s="14">
        <f>'B) D RI'!U162</f>
        <v>19280.901315789473</v>
      </c>
      <c r="G160" s="265">
        <f t="shared" si="7"/>
        <v>6.0071465593338376</v>
      </c>
      <c r="H160" s="58">
        <f t="shared" si="8"/>
        <v>56886.400000000001</v>
      </c>
    </row>
    <row r="161" spans="1:8" x14ac:dyDescent="0.25">
      <c r="A161" s="50">
        <f>'A) Base RI'!A163</f>
        <v>5655</v>
      </c>
      <c r="B161" s="57" t="str">
        <f>'A) Base RI'!B163</f>
        <v>Yens</v>
      </c>
      <c r="C161" s="32">
        <f>'B) D RI'!Y163</f>
        <v>251739.6</v>
      </c>
      <c r="D161" s="14">
        <f>'B) D RI'!Z163</f>
        <v>70006.649999999994</v>
      </c>
      <c r="E161" s="10">
        <f t="shared" si="6"/>
        <v>321746.25</v>
      </c>
      <c r="F161" s="14">
        <f>'B) D RI'!U163</f>
        <v>87292.806849315064</v>
      </c>
      <c r="G161" s="265">
        <f t="shared" si="7"/>
        <v>3.6858277515969755</v>
      </c>
      <c r="H161" s="58">
        <f t="shared" si="8"/>
        <v>146871.79500000001</v>
      </c>
    </row>
    <row r="162" spans="1:8" x14ac:dyDescent="0.25">
      <c r="A162" s="50">
        <f>'A) Base RI'!A164</f>
        <v>5661</v>
      </c>
      <c r="B162" s="57" t="str">
        <f>'A) Base RI'!B164</f>
        <v>Boulens</v>
      </c>
      <c r="C162" s="32">
        <f>'B) D RI'!Y164</f>
        <v>18415.2</v>
      </c>
      <c r="D162" s="14">
        <f>'B) D RI'!Z164</f>
        <v>18523.2</v>
      </c>
      <c r="E162" s="10">
        <f t="shared" si="6"/>
        <v>36938.400000000001</v>
      </c>
      <c r="F162" s="14">
        <f>'B) D RI'!U164</f>
        <v>10339.57164556962</v>
      </c>
      <c r="G162" s="265">
        <f t="shared" si="7"/>
        <v>3.5725271090730004</v>
      </c>
      <c r="H162" s="58">
        <f t="shared" si="8"/>
        <v>14764.560000000001</v>
      </c>
    </row>
    <row r="163" spans="1:8" x14ac:dyDescent="0.25">
      <c r="A163" s="50">
        <f>'A) Base RI'!A165</f>
        <v>5663</v>
      </c>
      <c r="B163" s="57" t="str">
        <f>'A) Base RI'!B165</f>
        <v>Bussy-sur-Moudon</v>
      </c>
      <c r="C163" s="32">
        <f>'B) D RI'!Y165</f>
        <v>14508</v>
      </c>
      <c r="D163" s="14">
        <f>'B) D RI'!Z165</f>
        <v>0</v>
      </c>
      <c r="E163" s="10">
        <f t="shared" si="6"/>
        <v>14508</v>
      </c>
      <c r="F163" s="14">
        <f>'B) D RI'!U165</f>
        <v>5294.5642500000013</v>
      </c>
      <c r="G163" s="265">
        <f t="shared" si="7"/>
        <v>2.7401688439232741</v>
      </c>
      <c r="H163" s="58">
        <f t="shared" si="8"/>
        <v>7254</v>
      </c>
    </row>
    <row r="164" spans="1:8" x14ac:dyDescent="0.25">
      <c r="A164" s="50">
        <f>'A) Base RI'!A166</f>
        <v>5665</v>
      </c>
      <c r="B164" s="57" t="str">
        <f>'A) Base RI'!B166</f>
        <v>Chavannes-sur-Moudon</v>
      </c>
      <c r="C164" s="32">
        <f>'B) D RI'!Y166</f>
        <v>19224</v>
      </c>
      <c r="D164" s="14">
        <f>'B) D RI'!Z166</f>
        <v>0</v>
      </c>
      <c r="E164" s="10">
        <f t="shared" si="6"/>
        <v>19224</v>
      </c>
      <c r="F164" s="14">
        <f>'B) D RI'!U166</f>
        <v>4618.4299999999994</v>
      </c>
      <c r="G164" s="265">
        <f t="shared" si="7"/>
        <v>4.1624534744491095</v>
      </c>
      <c r="H164" s="58">
        <f t="shared" si="8"/>
        <v>9612</v>
      </c>
    </row>
    <row r="165" spans="1:8" x14ac:dyDescent="0.25">
      <c r="A165" s="50">
        <f>'A) Base RI'!A167</f>
        <v>5669</v>
      </c>
      <c r="B165" s="57" t="str">
        <f>'A) Base RI'!B167</f>
        <v>Curtilles</v>
      </c>
      <c r="C165" s="32">
        <f>'B) D RI'!Y167</f>
        <v>22232.25</v>
      </c>
      <c r="D165" s="14">
        <f>'B) D RI'!Z167</f>
        <v>0</v>
      </c>
      <c r="E165" s="10">
        <f t="shared" si="6"/>
        <v>22232.25</v>
      </c>
      <c r="F165" s="14">
        <f>'B) D RI'!U167</f>
        <v>7795.8649333333315</v>
      </c>
      <c r="G165" s="265">
        <f t="shared" si="7"/>
        <v>2.8518003056902637</v>
      </c>
      <c r="H165" s="58">
        <f t="shared" si="8"/>
        <v>11116.125</v>
      </c>
    </row>
    <row r="166" spans="1:8" x14ac:dyDescent="0.25">
      <c r="A166" s="50">
        <f>'A) Base RI'!A168</f>
        <v>5671</v>
      </c>
      <c r="B166" s="57" t="str">
        <f>'A) Base RI'!B168</f>
        <v>Dompierre</v>
      </c>
      <c r="C166" s="32">
        <f>'B) D RI'!Y168</f>
        <v>34487.75</v>
      </c>
      <c r="D166" s="14">
        <f>'B) D RI'!Z168</f>
        <v>0</v>
      </c>
      <c r="E166" s="10">
        <f t="shared" si="6"/>
        <v>34487.75</v>
      </c>
      <c r="F166" s="14">
        <f>'B) D RI'!U168</f>
        <v>6158.8938749999998</v>
      </c>
      <c r="G166" s="265">
        <f t="shared" si="7"/>
        <v>5.5996662225325329</v>
      </c>
      <c r="H166" s="58">
        <f t="shared" si="8"/>
        <v>17243.875</v>
      </c>
    </row>
    <row r="167" spans="1:8" x14ac:dyDescent="0.25">
      <c r="A167" s="50">
        <f>'A) Base RI'!A169</f>
        <v>5673</v>
      </c>
      <c r="B167" s="57" t="str">
        <f>'A) Base RI'!B169</f>
        <v>Hermenches</v>
      </c>
      <c r="C167" s="32">
        <f>'B) D RI'!Y169</f>
        <v>16436.900000000001</v>
      </c>
      <c r="D167" s="14">
        <f>'B) D RI'!Z169</f>
        <v>15579.35</v>
      </c>
      <c r="E167" s="10">
        <f t="shared" si="6"/>
        <v>32016.25</v>
      </c>
      <c r="F167" s="14">
        <f>'B) D RI'!U169</f>
        <v>9293.9345333333331</v>
      </c>
      <c r="G167" s="265">
        <f t="shared" si="7"/>
        <v>3.4448542633016754</v>
      </c>
      <c r="H167" s="58">
        <f t="shared" si="8"/>
        <v>12892.255000000001</v>
      </c>
    </row>
    <row r="168" spans="1:8" x14ac:dyDescent="0.25">
      <c r="A168" s="50">
        <f>'A) Base RI'!A170</f>
        <v>5674</v>
      </c>
      <c r="B168" s="57" t="str">
        <f>'A) Base RI'!B170</f>
        <v>Lovatens</v>
      </c>
      <c r="C168" s="32">
        <f>'B) D RI'!Y170</f>
        <v>27124.7</v>
      </c>
      <c r="D168" s="14">
        <f>'B) D RI'!Z170</f>
        <v>0</v>
      </c>
      <c r="E168" s="10">
        <f t="shared" si="6"/>
        <v>27124.7</v>
      </c>
      <c r="F168" s="14">
        <f>'B) D RI'!U170</f>
        <v>3277.031161904762</v>
      </c>
      <c r="G168" s="265">
        <f t="shared" si="7"/>
        <v>8.2772175972333049</v>
      </c>
      <c r="H168" s="58">
        <f t="shared" si="8"/>
        <v>13562.35</v>
      </c>
    </row>
    <row r="169" spans="1:8" x14ac:dyDescent="0.25">
      <c r="A169" s="50">
        <f>'A) Base RI'!A171</f>
        <v>5675</v>
      </c>
      <c r="B169" s="57" t="str">
        <f>'A) Base RI'!B171</f>
        <v>Lucens</v>
      </c>
      <c r="C169" s="32">
        <f>'B) D RI'!Y171</f>
        <v>662110.19999999995</v>
      </c>
      <c r="D169" s="14">
        <f>'B) D RI'!Z171</f>
        <v>47041.05</v>
      </c>
      <c r="E169" s="10">
        <f t="shared" si="6"/>
        <v>709151.25</v>
      </c>
      <c r="F169" s="14">
        <f>'B) D RI'!U171</f>
        <v>92142.722793148874</v>
      </c>
      <c r="G169" s="265">
        <f t="shared" si="7"/>
        <v>7.6962263378299891</v>
      </c>
      <c r="H169" s="58">
        <f t="shared" si="8"/>
        <v>345167.41499999998</v>
      </c>
    </row>
    <row r="170" spans="1:8" x14ac:dyDescent="0.25">
      <c r="A170" s="50">
        <f>'A) Base RI'!A172</f>
        <v>5678</v>
      </c>
      <c r="B170" s="57" t="str">
        <f>'A) Base RI'!B172</f>
        <v>Moudon</v>
      </c>
      <c r="C170" s="32">
        <f>'B) D RI'!Y172</f>
        <v>703303.2</v>
      </c>
      <c r="D170" s="14">
        <f>'B) D RI'!Z172</f>
        <v>212792.05</v>
      </c>
      <c r="E170" s="10">
        <f t="shared" si="6"/>
        <v>916095.25</v>
      </c>
      <c r="F170" s="14">
        <f>'B) D RI'!U172</f>
        <v>119798.79359999999</v>
      </c>
      <c r="G170" s="265">
        <f t="shared" si="7"/>
        <v>7.6469488754517814</v>
      </c>
      <c r="H170" s="58">
        <f t="shared" si="8"/>
        <v>415489.21499999997</v>
      </c>
    </row>
    <row r="171" spans="1:8" x14ac:dyDescent="0.25">
      <c r="A171" s="50">
        <f>'A) Base RI'!A173</f>
        <v>5680</v>
      </c>
      <c r="B171" s="57" t="str">
        <f>'A) Base RI'!B173</f>
        <v>Ogens</v>
      </c>
      <c r="C171" s="32">
        <f>'B) D RI'!Y173</f>
        <v>57846.899999999994</v>
      </c>
      <c r="D171" s="14">
        <f>'B) D RI'!Z173</f>
        <v>0</v>
      </c>
      <c r="E171" s="10">
        <f t="shared" si="6"/>
        <v>57846.899999999994</v>
      </c>
      <c r="F171" s="14">
        <f>'B) D RI'!U173</f>
        <v>6445.3270940170942</v>
      </c>
      <c r="G171" s="265">
        <f t="shared" si="7"/>
        <v>8.975013859839116</v>
      </c>
      <c r="H171" s="58">
        <f t="shared" si="8"/>
        <v>28923.449999999997</v>
      </c>
    </row>
    <row r="172" spans="1:8" x14ac:dyDescent="0.25">
      <c r="A172" s="50">
        <f>'A) Base RI'!A174</f>
        <v>5683</v>
      </c>
      <c r="B172" s="57" t="str">
        <f>'A) Base RI'!B174</f>
        <v>Prévonloup</v>
      </c>
      <c r="C172" s="32">
        <f>'B) D RI'!Y174</f>
        <v>28411.5</v>
      </c>
      <c r="D172" s="14">
        <f>'B) D RI'!Z174</f>
        <v>0</v>
      </c>
      <c r="E172" s="10">
        <f t="shared" si="6"/>
        <v>28411.5</v>
      </c>
      <c r="F172" s="14">
        <f>'B) D RI'!U174</f>
        <v>3724.6422972972978</v>
      </c>
      <c r="G172" s="265">
        <f t="shared" si="7"/>
        <v>7.627980818618787</v>
      </c>
      <c r="H172" s="58">
        <f t="shared" si="8"/>
        <v>14205.75</v>
      </c>
    </row>
    <row r="173" spans="1:8" x14ac:dyDescent="0.25">
      <c r="A173" s="50">
        <f>'A) Base RI'!A175</f>
        <v>5684</v>
      </c>
      <c r="B173" s="57" t="str">
        <f>'A) Base RI'!B175</f>
        <v>Rossenges</v>
      </c>
      <c r="C173" s="32">
        <f>'B) D RI'!Y175</f>
        <v>11921.8</v>
      </c>
      <c r="D173" s="14">
        <f>'B) D RI'!Z175</f>
        <v>0</v>
      </c>
      <c r="E173" s="10">
        <f t="shared" si="6"/>
        <v>11921.8</v>
      </c>
      <c r="F173" s="14">
        <f>'B) D RI'!U175</f>
        <v>1951.4436666666666</v>
      </c>
      <c r="G173" s="265">
        <f t="shared" si="7"/>
        <v>6.1092206778195495</v>
      </c>
      <c r="H173" s="58">
        <f t="shared" si="8"/>
        <v>5960.9</v>
      </c>
    </row>
    <row r="174" spans="1:8" x14ac:dyDescent="0.25">
      <c r="A174" s="50">
        <f>'A) Base RI'!A176</f>
        <v>5688</v>
      </c>
      <c r="B174" s="57" t="str">
        <f>'A) Base RI'!B176</f>
        <v>Syens</v>
      </c>
      <c r="C174" s="32">
        <f>'B) D RI'!Y176</f>
        <v>35392.75</v>
      </c>
      <c r="D174" s="14">
        <f>'B) D RI'!Z176</f>
        <v>0</v>
      </c>
      <c r="E174" s="10">
        <f t="shared" si="6"/>
        <v>35392.75</v>
      </c>
      <c r="F174" s="14">
        <f>'B) D RI'!U176</f>
        <v>3966.9414021164025</v>
      </c>
      <c r="G174" s="265">
        <f t="shared" si="7"/>
        <v>8.9219240750865687</v>
      </c>
      <c r="H174" s="58">
        <f t="shared" si="8"/>
        <v>17696.375</v>
      </c>
    </row>
    <row r="175" spans="1:8" x14ac:dyDescent="0.25">
      <c r="A175" s="50">
        <f>'A) Base RI'!A177</f>
        <v>5690</v>
      </c>
      <c r="B175" s="57" t="str">
        <f>'A) Base RI'!B177</f>
        <v>Villars-le-Comte</v>
      </c>
      <c r="C175" s="32">
        <f>'B) D RI'!Y177</f>
        <v>10226.85</v>
      </c>
      <c r="D175" s="14">
        <f>'B) D RI'!Z177</f>
        <v>0</v>
      </c>
      <c r="E175" s="10">
        <f t="shared" si="6"/>
        <v>10226.85</v>
      </c>
      <c r="F175" s="14">
        <f>'B) D RI'!U177</f>
        <v>4059.4070238095242</v>
      </c>
      <c r="G175" s="265">
        <f t="shared" si="7"/>
        <v>2.519296522870643</v>
      </c>
      <c r="H175" s="58">
        <f t="shared" si="8"/>
        <v>5113.4250000000002</v>
      </c>
    </row>
    <row r="176" spans="1:8" x14ac:dyDescent="0.25">
      <c r="A176" s="50">
        <f>'A) Base RI'!A178</f>
        <v>5692</v>
      </c>
      <c r="B176" s="57" t="str">
        <f>'A) Base RI'!B178</f>
        <v>Vucherens</v>
      </c>
      <c r="C176" s="32">
        <f>'B) D RI'!Y178</f>
        <v>149002.75</v>
      </c>
      <c r="D176" s="14">
        <f>'B) D RI'!Z178</f>
        <v>14555.75</v>
      </c>
      <c r="E176" s="10">
        <f t="shared" si="6"/>
        <v>163558.5</v>
      </c>
      <c r="F176" s="14">
        <f>'B) D RI'!U178</f>
        <v>16205.612531645571</v>
      </c>
      <c r="G176" s="265">
        <f t="shared" si="7"/>
        <v>10.09270705939751</v>
      </c>
      <c r="H176" s="58">
        <f t="shared" si="8"/>
        <v>78868.100000000006</v>
      </c>
    </row>
    <row r="177" spans="1:8" x14ac:dyDescent="0.25">
      <c r="A177" s="50">
        <f>'A) Base RI'!A179</f>
        <v>5693</v>
      </c>
      <c r="B177" s="57" t="str">
        <f>'A) Base RI'!B179</f>
        <v>Montanaire</v>
      </c>
      <c r="C177" s="32">
        <f>'B) D RI'!Y179</f>
        <v>316697.55000000005</v>
      </c>
      <c r="D177" s="14">
        <f>'B) D RI'!Z179</f>
        <v>38276.35</v>
      </c>
      <c r="E177" s="10">
        <f t="shared" si="6"/>
        <v>354973.9</v>
      </c>
      <c r="F177" s="14">
        <f>'B) D RI'!U179</f>
        <v>69929.896527777775</v>
      </c>
      <c r="G177" s="265">
        <f t="shared" si="7"/>
        <v>5.0761393570630577</v>
      </c>
      <c r="H177" s="58">
        <f t="shared" si="8"/>
        <v>169831.68000000002</v>
      </c>
    </row>
    <row r="178" spans="1:8" x14ac:dyDescent="0.25">
      <c r="A178" s="50">
        <f>'A) Base RI'!A180</f>
        <v>5701</v>
      </c>
      <c r="B178" s="57" t="str">
        <f>'A) Base RI'!B180</f>
        <v>Arnex-sur-Nyon</v>
      </c>
      <c r="C178" s="32">
        <f>'B) D RI'!Y180</f>
        <v>149671.9</v>
      </c>
      <c r="D178" s="14">
        <f>'B) D RI'!Z180</f>
        <v>0</v>
      </c>
      <c r="E178" s="10">
        <f t="shared" si="6"/>
        <v>149671.9</v>
      </c>
      <c r="F178" s="14">
        <f>'B) D RI'!U180</f>
        <v>13502.083857142858</v>
      </c>
      <c r="G178" s="265">
        <f t="shared" si="7"/>
        <v>11.085096314286385</v>
      </c>
      <c r="H178" s="58">
        <f t="shared" si="8"/>
        <v>74835.95</v>
      </c>
    </row>
    <row r="179" spans="1:8" x14ac:dyDescent="0.25">
      <c r="A179" s="50">
        <f>'A) Base RI'!A181</f>
        <v>5702</v>
      </c>
      <c r="B179" s="57" t="str">
        <f>'A) Base RI'!B181</f>
        <v>Arzier-Le Muids</v>
      </c>
      <c r="C179" s="32">
        <f>'B) D RI'!Y181</f>
        <v>1309654.9000000001</v>
      </c>
      <c r="D179" s="14">
        <f>'B) D RI'!Z181</f>
        <v>66724</v>
      </c>
      <c r="E179" s="10">
        <f t="shared" si="6"/>
        <v>1376378.9000000001</v>
      </c>
      <c r="F179" s="14">
        <f>'B) D RI'!U181</f>
        <v>176072.16864583336</v>
      </c>
      <c r="G179" s="265">
        <f t="shared" si="7"/>
        <v>7.8171292520884803</v>
      </c>
      <c r="H179" s="58">
        <f t="shared" si="8"/>
        <v>674844.65</v>
      </c>
    </row>
    <row r="180" spans="1:8" x14ac:dyDescent="0.25">
      <c r="A180" s="50">
        <f>'A) Base RI'!A182</f>
        <v>5703</v>
      </c>
      <c r="B180" s="57" t="str">
        <f>'A) Base RI'!B182</f>
        <v>Bassins</v>
      </c>
      <c r="C180" s="32">
        <f>'B) D RI'!Y182</f>
        <v>378224.05</v>
      </c>
      <c r="D180" s="14">
        <f>'B) D RI'!Z182</f>
        <v>26060.7</v>
      </c>
      <c r="E180" s="10">
        <f t="shared" si="6"/>
        <v>404284.75</v>
      </c>
      <c r="F180" s="14">
        <f>'B) D RI'!U182</f>
        <v>55245.232548262546</v>
      </c>
      <c r="G180" s="265">
        <f t="shared" si="7"/>
        <v>7.3180025017871824</v>
      </c>
      <c r="H180" s="58">
        <f t="shared" si="8"/>
        <v>196930.23499999999</v>
      </c>
    </row>
    <row r="181" spans="1:8" x14ac:dyDescent="0.25">
      <c r="A181" s="50">
        <f>'A) Base RI'!A183</f>
        <v>5704</v>
      </c>
      <c r="B181" s="57" t="str">
        <f>'A) Base RI'!B183</f>
        <v>Begnins</v>
      </c>
      <c r="C181" s="32">
        <f>'B) D RI'!Y183</f>
        <v>1204905.8</v>
      </c>
      <c r="D181" s="14">
        <f>'B) D RI'!Z183</f>
        <v>54589</v>
      </c>
      <c r="E181" s="10">
        <f t="shared" si="6"/>
        <v>1259494.8</v>
      </c>
      <c r="F181" s="14">
        <f>'B) D RI'!U183</f>
        <v>123862.49598958335</v>
      </c>
      <c r="G181" s="265">
        <f t="shared" si="7"/>
        <v>10.168492003470702</v>
      </c>
      <c r="H181" s="58">
        <f t="shared" si="8"/>
        <v>618829.6</v>
      </c>
    </row>
    <row r="182" spans="1:8" x14ac:dyDescent="0.25">
      <c r="A182" s="50">
        <f>'A) Base RI'!A184</f>
        <v>5705</v>
      </c>
      <c r="B182" s="57" t="str">
        <f>'A) Base RI'!B184</f>
        <v>Bogis-Bossey</v>
      </c>
      <c r="C182" s="32">
        <f>'B) D RI'!Y184</f>
        <v>334018.8</v>
      </c>
      <c r="D182" s="14">
        <f>'B) D RI'!Z184</f>
        <v>29452.400000000001</v>
      </c>
      <c r="E182" s="10">
        <f t="shared" si="6"/>
        <v>363471.2</v>
      </c>
      <c r="F182" s="14">
        <f>'B) D RI'!U184</f>
        <v>49404.992428571422</v>
      </c>
      <c r="G182" s="265">
        <f t="shared" si="7"/>
        <v>7.356973093873016</v>
      </c>
      <c r="H182" s="58">
        <f t="shared" si="8"/>
        <v>175845.12</v>
      </c>
    </row>
    <row r="183" spans="1:8" x14ac:dyDescent="0.25">
      <c r="A183" s="50">
        <f>'A) Base RI'!A185</f>
        <v>5706</v>
      </c>
      <c r="B183" s="57" t="str">
        <f>'A) Base RI'!B185</f>
        <v>Borex</v>
      </c>
      <c r="C183" s="32">
        <f>'B) D RI'!Y185</f>
        <v>268152.19999999995</v>
      </c>
      <c r="D183" s="14">
        <f>'B) D RI'!Z185</f>
        <v>11748.1</v>
      </c>
      <c r="E183" s="10">
        <f t="shared" si="6"/>
        <v>279900.29999999993</v>
      </c>
      <c r="F183" s="14">
        <f>'B) D RI'!U185</f>
        <v>70968.038045977009</v>
      </c>
      <c r="G183" s="265">
        <f t="shared" si="7"/>
        <v>3.944033225473488</v>
      </c>
      <c r="H183" s="58">
        <f t="shared" si="8"/>
        <v>137600.52999999997</v>
      </c>
    </row>
    <row r="184" spans="1:8" x14ac:dyDescent="0.25">
      <c r="A184" s="50">
        <f>'A) Base RI'!A186</f>
        <v>5707</v>
      </c>
      <c r="B184" s="57" t="str">
        <f>'A) Base RI'!B186</f>
        <v>Chavannes-de-Bogis</v>
      </c>
      <c r="C184" s="32">
        <f>'B) D RI'!Y186</f>
        <v>453399.6</v>
      </c>
      <c r="D184" s="14">
        <f>'B) D RI'!Z186</f>
        <v>711866.65</v>
      </c>
      <c r="E184" s="10">
        <f t="shared" si="6"/>
        <v>1165266.25</v>
      </c>
      <c r="F184" s="14">
        <f>'B) D RI'!U186</f>
        <v>77704.286214689273</v>
      </c>
      <c r="G184" s="265">
        <f t="shared" si="7"/>
        <v>14.996164391504536</v>
      </c>
      <c r="H184" s="58">
        <f t="shared" si="8"/>
        <v>440259.79499999998</v>
      </c>
    </row>
    <row r="185" spans="1:8" x14ac:dyDescent="0.25">
      <c r="A185" s="50">
        <f>'A) Base RI'!A187</f>
        <v>5708</v>
      </c>
      <c r="B185" s="57" t="str">
        <f>'A) Base RI'!B187</f>
        <v>Chavannes-des-Bois</v>
      </c>
      <c r="C185" s="32">
        <f>'B) D RI'!Y187</f>
        <v>342065.5</v>
      </c>
      <c r="D185" s="14">
        <f>'B) D RI'!Z187</f>
        <v>1605.75</v>
      </c>
      <c r="E185" s="10">
        <f t="shared" si="6"/>
        <v>343671.25</v>
      </c>
      <c r="F185" s="14">
        <f>'B) D RI'!U187</f>
        <v>57040.784867724869</v>
      </c>
      <c r="G185" s="265">
        <f t="shared" si="7"/>
        <v>6.0250091368300573</v>
      </c>
      <c r="H185" s="58">
        <f t="shared" si="8"/>
        <v>171514.47500000001</v>
      </c>
    </row>
    <row r="186" spans="1:8" x14ac:dyDescent="0.25">
      <c r="A186" s="50">
        <f>'A) Base RI'!A188</f>
        <v>5709</v>
      </c>
      <c r="B186" s="57" t="str">
        <f>'A) Base RI'!B188</f>
        <v>Chéserex</v>
      </c>
      <c r="C186" s="32">
        <f>'B) D RI'!Y188</f>
        <v>353533.9</v>
      </c>
      <c r="D186" s="14">
        <f>'B) D RI'!Z188</f>
        <v>51557.85</v>
      </c>
      <c r="E186" s="10">
        <f t="shared" si="6"/>
        <v>405091.75</v>
      </c>
      <c r="F186" s="14">
        <f>'B) D RI'!U188</f>
        <v>108721.76175438597</v>
      </c>
      <c r="G186" s="265">
        <f t="shared" si="7"/>
        <v>3.7259490966964406</v>
      </c>
      <c r="H186" s="58">
        <f t="shared" si="8"/>
        <v>192234.30500000002</v>
      </c>
    </row>
    <row r="187" spans="1:8" x14ac:dyDescent="0.25">
      <c r="A187" s="50">
        <f>'A) Base RI'!A189</f>
        <v>5710</v>
      </c>
      <c r="B187" s="57" t="str">
        <f>'A) Base RI'!B189</f>
        <v>Coinsins</v>
      </c>
      <c r="C187" s="32">
        <f>'B) D RI'!Y189</f>
        <v>68003.149999999994</v>
      </c>
      <c r="D187" s="14">
        <f>'B) D RI'!Z189</f>
        <v>87982.2</v>
      </c>
      <c r="E187" s="10">
        <f t="shared" si="6"/>
        <v>155985.34999999998</v>
      </c>
      <c r="F187" s="14">
        <f>'B) D RI'!U189</f>
        <v>124477.14941176467</v>
      </c>
      <c r="G187" s="265">
        <f t="shared" si="7"/>
        <v>1.2531243745308438</v>
      </c>
      <c r="H187" s="58">
        <f t="shared" si="8"/>
        <v>60396.235000000001</v>
      </c>
    </row>
    <row r="188" spans="1:8" x14ac:dyDescent="0.25">
      <c r="A188" s="50">
        <f>'A) Base RI'!A190</f>
        <v>5711</v>
      </c>
      <c r="B188" s="57" t="str">
        <f>'A) Base RI'!B190</f>
        <v>Commugny</v>
      </c>
      <c r="C188" s="32">
        <f>'B) D RI'!Y190</f>
        <v>1316855.5</v>
      </c>
      <c r="D188" s="14">
        <f>'B) D RI'!Z190</f>
        <v>38875.550000000003</v>
      </c>
      <c r="E188" s="10">
        <f t="shared" si="6"/>
        <v>1355731.05</v>
      </c>
      <c r="F188" s="14">
        <f>'B) D RI'!U190</f>
        <v>278130.00205128203</v>
      </c>
      <c r="G188" s="265">
        <f t="shared" si="7"/>
        <v>4.8744509402118661</v>
      </c>
      <c r="H188" s="58">
        <f t="shared" si="8"/>
        <v>670090.41500000004</v>
      </c>
    </row>
    <row r="189" spans="1:8" x14ac:dyDescent="0.25">
      <c r="A189" s="50">
        <f>'A) Base RI'!A191</f>
        <v>5712</v>
      </c>
      <c r="B189" s="57" t="str">
        <f>'A) Base RI'!B191</f>
        <v>Coppet</v>
      </c>
      <c r="C189" s="32">
        <f>'B) D RI'!Y191</f>
        <v>3819818.7</v>
      </c>
      <c r="D189" s="14">
        <f>'B) D RI'!Z191</f>
        <v>185740.55</v>
      </c>
      <c r="E189" s="10">
        <f t="shared" si="6"/>
        <v>4005559.25</v>
      </c>
      <c r="F189" s="14">
        <f>'B) D RI'!U191</f>
        <v>339910.43698113208</v>
      </c>
      <c r="G189" s="265">
        <f t="shared" si="7"/>
        <v>11.784160808873141</v>
      </c>
      <c r="H189" s="58">
        <f t="shared" si="8"/>
        <v>1965631.5150000001</v>
      </c>
    </row>
    <row r="190" spans="1:8" x14ac:dyDescent="0.25">
      <c r="A190" s="50">
        <f>'A) Base RI'!A192</f>
        <v>5713</v>
      </c>
      <c r="B190" s="57" t="str">
        <f>'A) Base RI'!B192</f>
        <v>Crans-près-Céligny</v>
      </c>
      <c r="C190" s="32">
        <f>'B) D RI'!Y192</f>
        <v>1351798.5</v>
      </c>
      <c r="D190" s="14">
        <f>'B) D RI'!Z192</f>
        <v>36107.35</v>
      </c>
      <c r="E190" s="10">
        <f t="shared" si="6"/>
        <v>1387905.85</v>
      </c>
      <c r="F190" s="14">
        <f>'B) D RI'!U192</f>
        <v>273152.99188679247</v>
      </c>
      <c r="G190" s="265">
        <f t="shared" si="7"/>
        <v>5.0810567382517045</v>
      </c>
      <c r="H190" s="58">
        <f t="shared" si="8"/>
        <v>686731.45499999996</v>
      </c>
    </row>
    <row r="191" spans="1:8" x14ac:dyDescent="0.25">
      <c r="A191" s="50">
        <f>'A) Base RI'!A193</f>
        <v>5714</v>
      </c>
      <c r="B191" s="57" t="str">
        <f>'A) Base RI'!B193</f>
        <v>Crassier</v>
      </c>
      <c r="C191" s="32">
        <f>'B) D RI'!Y193</f>
        <v>275186.7</v>
      </c>
      <c r="D191" s="14">
        <f>'B) D RI'!Z193</f>
        <v>86331.8</v>
      </c>
      <c r="E191" s="10">
        <f t="shared" si="6"/>
        <v>361518.5</v>
      </c>
      <c r="F191" s="14">
        <f>'B) D RI'!U193</f>
        <v>77000.951562499991</v>
      </c>
      <c r="G191" s="265">
        <f t="shared" si="7"/>
        <v>4.6949874341041529</v>
      </c>
      <c r="H191" s="58">
        <f t="shared" si="8"/>
        <v>163492.89000000001</v>
      </c>
    </row>
    <row r="192" spans="1:8" x14ac:dyDescent="0.25">
      <c r="A192" s="50">
        <f>'A) Base RI'!A194</f>
        <v>5715</v>
      </c>
      <c r="B192" s="57" t="str">
        <f>'A) Base RI'!B194</f>
        <v>Duillier</v>
      </c>
      <c r="C192" s="32">
        <f>'B) D RI'!Y194</f>
        <v>550777.55000000005</v>
      </c>
      <c r="D192" s="14">
        <f>'B) D RI'!Z194</f>
        <v>68196.2</v>
      </c>
      <c r="E192" s="10">
        <f t="shared" si="6"/>
        <v>618973.75</v>
      </c>
      <c r="F192" s="14">
        <f>'B) D RI'!U194</f>
        <v>77442.225909090921</v>
      </c>
      <c r="G192" s="265">
        <f t="shared" si="7"/>
        <v>7.9927164119302363</v>
      </c>
      <c r="H192" s="58">
        <f t="shared" si="8"/>
        <v>295847.63500000001</v>
      </c>
    </row>
    <row r="193" spans="1:8" x14ac:dyDescent="0.25">
      <c r="A193" s="50">
        <f>'A) Base RI'!A195</f>
        <v>5716</v>
      </c>
      <c r="B193" s="57" t="str">
        <f>'A) Base RI'!B195</f>
        <v>Eysins</v>
      </c>
      <c r="C193" s="32">
        <f>'B) D RI'!Y195</f>
        <v>484008.05</v>
      </c>
      <c r="D193" s="14">
        <f>'B) D RI'!Z195</f>
        <v>679442.25</v>
      </c>
      <c r="E193" s="10">
        <f t="shared" si="6"/>
        <v>1163450.3</v>
      </c>
      <c r="F193" s="14">
        <f>'B) D RI'!U195</f>
        <v>175921.02901639344</v>
      </c>
      <c r="G193" s="265">
        <f t="shared" si="7"/>
        <v>6.6134805287637466</v>
      </c>
      <c r="H193" s="58">
        <f t="shared" si="8"/>
        <v>445836.69999999995</v>
      </c>
    </row>
    <row r="194" spans="1:8" x14ac:dyDescent="0.25">
      <c r="A194" s="50">
        <f>'A) Base RI'!A196</f>
        <v>5717</v>
      </c>
      <c r="B194" s="57" t="str">
        <f>'A) Base RI'!B196</f>
        <v>Founex</v>
      </c>
      <c r="C194" s="32">
        <f>'B) D RI'!Y196</f>
        <v>1069578.1499999999</v>
      </c>
      <c r="D194" s="14">
        <f>'B) D RI'!Z196</f>
        <v>249276.3</v>
      </c>
      <c r="E194" s="10">
        <f t="shared" si="6"/>
        <v>1318854.45</v>
      </c>
      <c r="F194" s="14">
        <f>'B) D RI'!U196</f>
        <v>375994.09385964903</v>
      </c>
      <c r="G194" s="265">
        <f t="shared" si="7"/>
        <v>3.5076467198240131</v>
      </c>
      <c r="H194" s="58">
        <f t="shared" si="8"/>
        <v>609571.96499999997</v>
      </c>
    </row>
    <row r="195" spans="1:8" x14ac:dyDescent="0.25">
      <c r="A195" s="50">
        <f>'A) Base RI'!A197</f>
        <v>5718</v>
      </c>
      <c r="B195" s="57" t="str">
        <f>'A) Base RI'!B197</f>
        <v>Genolier</v>
      </c>
      <c r="C195" s="32">
        <f>'B) D RI'!Y197</f>
        <v>1290747.9500000002</v>
      </c>
      <c r="D195" s="14">
        <f>'B) D RI'!Z197</f>
        <v>325758.59999999998</v>
      </c>
      <c r="E195" s="10">
        <f t="shared" si="6"/>
        <v>1616506.5500000003</v>
      </c>
      <c r="F195" s="14">
        <f>'B) D RI'!U197</f>
        <v>170544.41945454545</v>
      </c>
      <c r="G195" s="265">
        <f t="shared" si="7"/>
        <v>9.4785074479135414</v>
      </c>
      <c r="H195" s="58">
        <f t="shared" si="8"/>
        <v>743101.55500000005</v>
      </c>
    </row>
    <row r="196" spans="1:8" x14ac:dyDescent="0.25">
      <c r="A196" s="50">
        <f>'A) Base RI'!A198</f>
        <v>5719</v>
      </c>
      <c r="B196" s="57" t="str">
        <f>'A) Base RI'!B198</f>
        <v>Gingins</v>
      </c>
      <c r="C196" s="32">
        <f>'B) D RI'!Y198</f>
        <v>878566.6</v>
      </c>
      <c r="D196" s="14">
        <f>'B) D RI'!Z198</f>
        <v>59727.15</v>
      </c>
      <c r="E196" s="10">
        <f t="shared" si="6"/>
        <v>938293.75</v>
      </c>
      <c r="F196" s="14">
        <f>'B) D RI'!U198</f>
        <v>111319.72105263159</v>
      </c>
      <c r="G196" s="265">
        <f t="shared" si="7"/>
        <v>8.4288187315559107</v>
      </c>
      <c r="H196" s="58">
        <f t="shared" si="8"/>
        <v>457201.44500000001</v>
      </c>
    </row>
    <row r="197" spans="1:8" x14ac:dyDescent="0.25">
      <c r="A197" s="50">
        <f>'A) Base RI'!A199</f>
        <v>5720</v>
      </c>
      <c r="B197" s="57" t="str">
        <f>'A) Base RI'!B199</f>
        <v>Givrins</v>
      </c>
      <c r="C197" s="32">
        <f>'B) D RI'!Y199</f>
        <v>320346.09999999998</v>
      </c>
      <c r="D197" s="14">
        <f>'B) D RI'!Z199</f>
        <v>9158.4500000000007</v>
      </c>
      <c r="E197" s="10">
        <f t="shared" si="6"/>
        <v>329504.55</v>
      </c>
      <c r="F197" s="14">
        <f>'B) D RI'!U199</f>
        <v>67017.929170812597</v>
      </c>
      <c r="G197" s="265">
        <f t="shared" si="7"/>
        <v>4.9166626614226185</v>
      </c>
      <c r="H197" s="58">
        <f t="shared" si="8"/>
        <v>162920.58499999999</v>
      </c>
    </row>
    <row r="198" spans="1:8" x14ac:dyDescent="0.25">
      <c r="A198" s="50">
        <f>'A) Base RI'!A200</f>
        <v>5721</v>
      </c>
      <c r="B198" s="57" t="str">
        <f>'A) Base RI'!B200</f>
        <v>Gland</v>
      </c>
      <c r="C198" s="32">
        <f>'B) D RI'!Y200</f>
        <v>3001022.45</v>
      </c>
      <c r="D198" s="14">
        <f>'B) D RI'!Z200</f>
        <v>1948987.2</v>
      </c>
      <c r="E198" s="10">
        <f t="shared" ref="E198:E261" si="9">C198+D198</f>
        <v>4950009.6500000004</v>
      </c>
      <c r="F198" s="14">
        <f>'B) D RI'!U200</f>
        <v>654524.19695999997</v>
      </c>
      <c r="G198" s="265">
        <f t="shared" ref="G198:G261" si="10">E198/F198</f>
        <v>7.5627603578153293</v>
      </c>
      <c r="H198" s="58">
        <f t="shared" ref="H198:H261" si="11">(C198*$C$4)+(D198*$D$4)</f>
        <v>2085207.385</v>
      </c>
    </row>
    <row r="199" spans="1:8" x14ac:dyDescent="0.25">
      <c r="A199" s="50">
        <f>'A) Base RI'!A201</f>
        <v>5722</v>
      </c>
      <c r="B199" s="57" t="str">
        <f>'A) Base RI'!B201</f>
        <v>Grens</v>
      </c>
      <c r="C199" s="32">
        <f>'B) D RI'!Y201</f>
        <v>17710</v>
      </c>
      <c r="D199" s="14">
        <f>'B) D RI'!Z201</f>
        <v>21808.65</v>
      </c>
      <c r="E199" s="10">
        <f t="shared" si="9"/>
        <v>39518.65</v>
      </c>
      <c r="F199" s="14">
        <f>'B) D RI'!U201</f>
        <v>22192.311451612903</v>
      </c>
      <c r="G199" s="265">
        <f t="shared" si="10"/>
        <v>1.7807360934963739</v>
      </c>
      <c r="H199" s="58">
        <f t="shared" si="11"/>
        <v>15397.595000000001</v>
      </c>
    </row>
    <row r="200" spans="1:8" x14ac:dyDescent="0.25">
      <c r="A200" s="50">
        <f>'A) Base RI'!A202</f>
        <v>5723</v>
      </c>
      <c r="B200" s="57" t="str">
        <f>'A) Base RI'!B202</f>
        <v>Mies</v>
      </c>
      <c r="C200" s="32">
        <f>'B) D RI'!Y202</f>
        <v>1611610.9500000002</v>
      </c>
      <c r="D200" s="14">
        <f>'B) D RI'!Z202</f>
        <v>138805.70000000001</v>
      </c>
      <c r="E200" s="10">
        <f t="shared" si="9"/>
        <v>1750416.6500000001</v>
      </c>
      <c r="F200" s="14">
        <f>'B) D RI'!U202</f>
        <v>510478.2440816327</v>
      </c>
      <c r="G200" s="265">
        <f t="shared" si="10"/>
        <v>3.4289740459930038</v>
      </c>
      <c r="H200" s="58">
        <f t="shared" si="11"/>
        <v>847447.18500000006</v>
      </c>
    </row>
    <row r="201" spans="1:8" x14ac:dyDescent="0.25">
      <c r="A201" s="50">
        <f>'A) Base RI'!A203</f>
        <v>5724</v>
      </c>
      <c r="B201" s="57" t="str">
        <f>'A) Base RI'!B203</f>
        <v>Nyon</v>
      </c>
      <c r="C201" s="32">
        <f>'B) D RI'!Y203</f>
        <v>8724225.5999999996</v>
      </c>
      <c r="D201" s="14">
        <f>'B) D RI'!Z203</f>
        <v>4786782.4000000004</v>
      </c>
      <c r="E201" s="10">
        <f t="shared" si="9"/>
        <v>13511008</v>
      </c>
      <c r="F201" s="14">
        <f>'B) D RI'!U203</f>
        <v>1338062.0693190417</v>
      </c>
      <c r="G201" s="265">
        <f t="shared" si="10"/>
        <v>10.097444886750239</v>
      </c>
      <c r="H201" s="58">
        <f t="shared" si="11"/>
        <v>5798147.5199999996</v>
      </c>
    </row>
    <row r="202" spans="1:8" x14ac:dyDescent="0.25">
      <c r="A202" s="50">
        <f>'A) Base RI'!A204</f>
        <v>5725</v>
      </c>
      <c r="B202" s="57" t="str">
        <f>'A) Base RI'!B204</f>
        <v>Prangins</v>
      </c>
      <c r="C202" s="32">
        <f>'B) D RI'!Y204</f>
        <v>2070656.5499999998</v>
      </c>
      <c r="D202" s="14">
        <f>'B) D RI'!Z204</f>
        <v>1330506.95</v>
      </c>
      <c r="E202" s="10">
        <f t="shared" si="9"/>
        <v>3401163.5</v>
      </c>
      <c r="F202" s="14">
        <f>'B) D RI'!U204</f>
        <v>324834.78298469388</v>
      </c>
      <c r="G202" s="265">
        <f t="shared" si="10"/>
        <v>10.470441215527901</v>
      </c>
      <c r="H202" s="58">
        <f t="shared" si="11"/>
        <v>1434480.3599999999</v>
      </c>
    </row>
    <row r="203" spans="1:8" x14ac:dyDescent="0.25">
      <c r="A203" s="50">
        <f>'A) Base RI'!A205</f>
        <v>5726</v>
      </c>
      <c r="B203" s="57" t="str">
        <f>'A) Base RI'!B205</f>
        <v>La Rippe</v>
      </c>
      <c r="C203" s="32">
        <f>'B) D RI'!Y205</f>
        <v>89126.5</v>
      </c>
      <c r="D203" s="14">
        <f>'B) D RI'!Z205</f>
        <v>45807</v>
      </c>
      <c r="E203" s="10">
        <f t="shared" si="9"/>
        <v>134933.5</v>
      </c>
      <c r="F203" s="14">
        <f>'B) D RI'!U205</f>
        <v>59824.020307692314</v>
      </c>
      <c r="G203" s="265">
        <f t="shared" si="10"/>
        <v>2.2555070572990217</v>
      </c>
      <c r="H203" s="58">
        <f t="shared" si="11"/>
        <v>58305.35</v>
      </c>
    </row>
    <row r="204" spans="1:8" x14ac:dyDescent="0.25">
      <c r="A204" s="50">
        <f>'A) Base RI'!A206</f>
        <v>5727</v>
      </c>
      <c r="B204" s="57" t="str">
        <f>'A) Base RI'!B206</f>
        <v>Saint-Cergue</v>
      </c>
      <c r="C204" s="32">
        <f>'B) D RI'!Y206</f>
        <v>529847</v>
      </c>
      <c r="D204" s="14">
        <f>'B) D RI'!Z206</f>
        <v>153366.29999999999</v>
      </c>
      <c r="E204" s="10">
        <f t="shared" si="9"/>
        <v>683213.3</v>
      </c>
      <c r="F204" s="14">
        <f>'B) D RI'!U206</f>
        <v>84748.014494949501</v>
      </c>
      <c r="G204" s="265">
        <f t="shared" si="10"/>
        <v>8.0617027321709784</v>
      </c>
      <c r="H204" s="58">
        <f t="shared" si="11"/>
        <v>310933.39</v>
      </c>
    </row>
    <row r="205" spans="1:8" x14ac:dyDescent="0.25">
      <c r="A205" s="50">
        <f>'A) Base RI'!A207</f>
        <v>5728</v>
      </c>
      <c r="B205" s="57" t="str">
        <f>'A) Base RI'!B207</f>
        <v>Signy-Avenex</v>
      </c>
      <c r="C205" s="32">
        <f>'B) D RI'!Y207</f>
        <v>196105.45</v>
      </c>
      <c r="D205" s="14">
        <f>'B) D RI'!Z207</f>
        <v>225885.4</v>
      </c>
      <c r="E205" s="10">
        <f t="shared" si="9"/>
        <v>421990.85</v>
      </c>
      <c r="F205" s="14">
        <f>'B) D RI'!U207</f>
        <v>44702.007068965519</v>
      </c>
      <c r="G205" s="265">
        <f t="shared" si="10"/>
        <v>9.4400873175327327</v>
      </c>
      <c r="H205" s="58">
        <f t="shared" si="11"/>
        <v>165818.345</v>
      </c>
    </row>
    <row r="206" spans="1:8" x14ac:dyDescent="0.25">
      <c r="A206" s="50">
        <f>'A) Base RI'!A208</f>
        <v>5729</v>
      </c>
      <c r="B206" s="57" t="str">
        <f>'A) Base RI'!B208</f>
        <v>Tannay</v>
      </c>
      <c r="C206" s="32">
        <f>'B) D RI'!Y208</f>
        <v>523236.05</v>
      </c>
      <c r="D206" s="14">
        <f>'B) D RI'!Z208</f>
        <v>26471.25</v>
      </c>
      <c r="E206" s="10">
        <f t="shared" si="9"/>
        <v>549707.30000000005</v>
      </c>
      <c r="F206" s="14">
        <f>'B) D RI'!U208</f>
        <v>146853.68284153001</v>
      </c>
      <c r="G206" s="265">
        <f t="shared" si="10"/>
        <v>3.7432312854774632</v>
      </c>
      <c r="H206" s="58">
        <f t="shared" si="11"/>
        <v>269559.40000000002</v>
      </c>
    </row>
    <row r="207" spans="1:8" x14ac:dyDescent="0.25">
      <c r="A207" s="50">
        <f>'A) Base RI'!A209</f>
        <v>5730</v>
      </c>
      <c r="B207" s="57" t="str">
        <f>'A) Base RI'!B209</f>
        <v>Trélex</v>
      </c>
      <c r="C207" s="32">
        <f>'B) D RI'!Y209</f>
        <v>544013</v>
      </c>
      <c r="D207" s="14">
        <f>'B) D RI'!Z209</f>
        <v>9936.85</v>
      </c>
      <c r="E207" s="10">
        <f t="shared" si="9"/>
        <v>553949.85</v>
      </c>
      <c r="F207" s="14">
        <f>'B) D RI'!U209</f>
        <v>160027.19017543856</v>
      </c>
      <c r="G207" s="265">
        <f t="shared" si="10"/>
        <v>3.461598303342714</v>
      </c>
      <c r="H207" s="58">
        <f t="shared" si="11"/>
        <v>274987.55499999999</v>
      </c>
    </row>
    <row r="208" spans="1:8" x14ac:dyDescent="0.25">
      <c r="A208" s="50">
        <f>'A) Base RI'!A210</f>
        <v>5731</v>
      </c>
      <c r="B208" s="57" t="str">
        <f>'A) Base RI'!B210</f>
        <v>Le Vaud</v>
      </c>
      <c r="C208" s="32">
        <f>'B) D RI'!Y210</f>
        <v>725057.35000000009</v>
      </c>
      <c r="D208" s="14">
        <f>'B) D RI'!Z210</f>
        <v>31194.65</v>
      </c>
      <c r="E208" s="10">
        <f t="shared" si="9"/>
        <v>756252.00000000012</v>
      </c>
      <c r="F208" s="14">
        <f>'B) D RI'!U210</f>
        <v>52834.667955555553</v>
      </c>
      <c r="G208" s="265">
        <f t="shared" si="10"/>
        <v>14.313556406489736</v>
      </c>
      <c r="H208" s="58">
        <f t="shared" si="11"/>
        <v>371887.07000000007</v>
      </c>
    </row>
    <row r="209" spans="1:8" x14ac:dyDescent="0.25">
      <c r="A209" s="50">
        <f>'A) Base RI'!A211</f>
        <v>5732</v>
      </c>
      <c r="B209" s="57" t="str">
        <f>'A) Base RI'!B211</f>
        <v>Vich</v>
      </c>
      <c r="C209" s="32">
        <f>'B) D RI'!Y211</f>
        <v>749103.85</v>
      </c>
      <c r="D209" s="14">
        <f>'B) D RI'!Z211</f>
        <v>94359.45</v>
      </c>
      <c r="E209" s="10">
        <f t="shared" si="9"/>
        <v>843463.29999999993</v>
      </c>
      <c r="F209" s="14">
        <f>'B) D RI'!U211</f>
        <v>64551.747164179098</v>
      </c>
      <c r="G209" s="265">
        <f t="shared" si="10"/>
        <v>13.066467401025708</v>
      </c>
      <c r="H209" s="58">
        <f t="shared" si="11"/>
        <v>402859.76</v>
      </c>
    </row>
    <row r="210" spans="1:8" x14ac:dyDescent="0.25">
      <c r="A210" s="50">
        <f>'A) Base RI'!A212</f>
        <v>5741</v>
      </c>
      <c r="B210" s="57" t="str">
        <f>'A) Base RI'!B212</f>
        <v>L'Abergement</v>
      </c>
      <c r="C210" s="32">
        <f>'B) D RI'!Y212</f>
        <v>43743.5</v>
      </c>
      <c r="D210" s="14">
        <f>'B) D RI'!Z212</f>
        <v>6488.75</v>
      </c>
      <c r="E210" s="10">
        <f t="shared" si="9"/>
        <v>50232.25</v>
      </c>
      <c r="F210" s="14">
        <f>'B) D RI'!U212</f>
        <v>7464.3302469135806</v>
      </c>
      <c r="G210" s="265">
        <f t="shared" si="10"/>
        <v>6.7296392761789301</v>
      </c>
      <c r="H210" s="58">
        <f t="shared" si="11"/>
        <v>23818.375</v>
      </c>
    </row>
    <row r="211" spans="1:8" x14ac:dyDescent="0.25">
      <c r="A211" s="50">
        <f>'A) Base RI'!A213</f>
        <v>5742</v>
      </c>
      <c r="B211" s="57" t="str">
        <f>'A) Base RI'!B213</f>
        <v>Agiez</v>
      </c>
      <c r="C211" s="32">
        <f>'B) D RI'!Y213</f>
        <v>21984.2</v>
      </c>
      <c r="D211" s="14">
        <f>'B) D RI'!Z213</f>
        <v>0</v>
      </c>
      <c r="E211" s="10">
        <f t="shared" si="9"/>
        <v>21984.2</v>
      </c>
      <c r="F211" s="14">
        <f>'B) D RI'!U213</f>
        <v>9132.5030263157914</v>
      </c>
      <c r="G211" s="265">
        <f t="shared" si="10"/>
        <v>2.4072480388620034</v>
      </c>
      <c r="H211" s="58">
        <f t="shared" si="11"/>
        <v>10992.1</v>
      </c>
    </row>
    <row r="212" spans="1:8" x14ac:dyDescent="0.25">
      <c r="A212" s="50">
        <f>'A) Base RI'!A214</f>
        <v>5743</v>
      </c>
      <c r="B212" s="57" t="str">
        <f>'A) Base RI'!B214</f>
        <v>Arnex-sur-Orbe</v>
      </c>
      <c r="C212" s="32">
        <f>'B) D RI'!Y214</f>
        <v>283274.8</v>
      </c>
      <c r="D212" s="14">
        <f>'B) D RI'!Z214</f>
        <v>28250.799999999999</v>
      </c>
      <c r="E212" s="10">
        <f t="shared" si="9"/>
        <v>311525.59999999998</v>
      </c>
      <c r="F212" s="14">
        <f>'B) D RI'!U214</f>
        <v>18362.90517123288</v>
      </c>
      <c r="G212" s="265">
        <f t="shared" si="10"/>
        <v>16.964940846507908</v>
      </c>
      <c r="H212" s="58">
        <f t="shared" si="11"/>
        <v>150112.63999999998</v>
      </c>
    </row>
    <row r="213" spans="1:8" x14ac:dyDescent="0.25">
      <c r="A213" s="50">
        <f>'A) Base RI'!A215</f>
        <v>5744</v>
      </c>
      <c r="B213" s="57" t="str">
        <f>'A) Base RI'!B215</f>
        <v>Ballaigues</v>
      </c>
      <c r="C213" s="32">
        <f>'B) D RI'!Y215</f>
        <v>118029.70000000001</v>
      </c>
      <c r="D213" s="14">
        <f>'B) D RI'!Z215</f>
        <v>1259054.6499999999</v>
      </c>
      <c r="E213" s="10">
        <f t="shared" si="9"/>
        <v>1377084.3499999999</v>
      </c>
      <c r="F213" s="14">
        <f>'B) D RI'!U215</f>
        <v>46015.380909090905</v>
      </c>
      <c r="G213" s="265">
        <f t="shared" si="10"/>
        <v>29.926609815978725</v>
      </c>
      <c r="H213" s="58">
        <f t="shared" si="11"/>
        <v>436731.245</v>
      </c>
    </row>
    <row r="214" spans="1:8" x14ac:dyDescent="0.25">
      <c r="A214" s="50">
        <f>'A) Base RI'!A216</f>
        <v>5745</v>
      </c>
      <c r="B214" s="57" t="str">
        <f>'A) Base RI'!B216</f>
        <v>Baulmes</v>
      </c>
      <c r="C214" s="32">
        <f>'B) D RI'!Y216</f>
        <v>303476.80000000005</v>
      </c>
      <c r="D214" s="14">
        <f>'B) D RI'!Z216</f>
        <v>206170.15</v>
      </c>
      <c r="E214" s="10">
        <f t="shared" si="9"/>
        <v>509646.95000000007</v>
      </c>
      <c r="F214" s="14">
        <f>'B) D RI'!U216</f>
        <v>27038.675769230769</v>
      </c>
      <c r="G214" s="265">
        <f t="shared" si="10"/>
        <v>18.84881324624498</v>
      </c>
      <c r="H214" s="58">
        <f t="shared" si="11"/>
        <v>213589.44500000001</v>
      </c>
    </row>
    <row r="215" spans="1:8" x14ac:dyDescent="0.25">
      <c r="A215" s="50">
        <f>'A) Base RI'!A217</f>
        <v>5746</v>
      </c>
      <c r="B215" s="57" t="str">
        <f>'A) Base RI'!B217</f>
        <v>Bavois</v>
      </c>
      <c r="C215" s="32">
        <f>'B) D RI'!Y217</f>
        <v>128046.5</v>
      </c>
      <c r="D215" s="14">
        <f>'B) D RI'!Z217</f>
        <v>25740.55</v>
      </c>
      <c r="E215" s="10">
        <f t="shared" si="9"/>
        <v>153787.04999999999</v>
      </c>
      <c r="F215" s="14">
        <f>'B) D RI'!U217</f>
        <v>26753.53392694064</v>
      </c>
      <c r="G215" s="265">
        <f t="shared" si="10"/>
        <v>5.7482891949888311</v>
      </c>
      <c r="H215" s="58">
        <f t="shared" si="11"/>
        <v>71745.414999999994</v>
      </c>
    </row>
    <row r="216" spans="1:8" x14ac:dyDescent="0.25">
      <c r="A216" s="50">
        <f>'A) Base RI'!A218</f>
        <v>5747</v>
      </c>
      <c r="B216" s="57" t="str">
        <f>'A) Base RI'!B218</f>
        <v>Bofflens</v>
      </c>
      <c r="C216" s="32">
        <f>'B) D RI'!Y218</f>
        <v>39024.6</v>
      </c>
      <c r="D216" s="14">
        <f>'B) D RI'!Z218</f>
        <v>0</v>
      </c>
      <c r="E216" s="10">
        <f t="shared" si="9"/>
        <v>39024.6</v>
      </c>
      <c r="F216" s="14">
        <f>'B) D RI'!U218</f>
        <v>4985.4308695652171</v>
      </c>
      <c r="G216" s="265">
        <f t="shared" si="10"/>
        <v>7.8277286399125945</v>
      </c>
      <c r="H216" s="58">
        <f t="shared" si="11"/>
        <v>19512.3</v>
      </c>
    </row>
    <row r="217" spans="1:8" x14ac:dyDescent="0.25">
      <c r="A217" s="50">
        <f>'A) Base RI'!A219</f>
        <v>5748</v>
      </c>
      <c r="B217" s="57" t="str">
        <f>'A) Base RI'!B219</f>
        <v>Bretonnières</v>
      </c>
      <c r="C217" s="32">
        <f>'B) D RI'!Y219</f>
        <v>44187.1</v>
      </c>
      <c r="D217" s="14">
        <f>'B) D RI'!Z219</f>
        <v>5549.6</v>
      </c>
      <c r="E217" s="10">
        <f t="shared" si="9"/>
        <v>49736.7</v>
      </c>
      <c r="F217" s="14">
        <f>'B) D RI'!U219</f>
        <v>5553.3427314814826</v>
      </c>
      <c r="G217" s="265">
        <f t="shared" si="10"/>
        <v>8.9561733184675205</v>
      </c>
      <c r="H217" s="58">
        <f t="shared" si="11"/>
        <v>23758.43</v>
      </c>
    </row>
    <row r="218" spans="1:8" x14ac:dyDescent="0.25">
      <c r="A218" s="50">
        <f>'A) Base RI'!A220</f>
        <v>5749</v>
      </c>
      <c r="B218" s="57" t="str">
        <f>'A) Base RI'!B220</f>
        <v>Chavornay</v>
      </c>
      <c r="C218" s="32">
        <f>'B) D RI'!Y220</f>
        <v>389659.55000000005</v>
      </c>
      <c r="D218" s="14">
        <f>'B) D RI'!Z220</f>
        <v>656402.80000000005</v>
      </c>
      <c r="E218" s="10">
        <f t="shared" si="9"/>
        <v>1046062.3500000001</v>
      </c>
      <c r="F218" s="14">
        <f>'B) D RI'!U220</f>
        <v>140775.19611111109</v>
      </c>
      <c r="G218" s="265">
        <f t="shared" si="10"/>
        <v>7.4307291262756525</v>
      </c>
      <c r="H218" s="58">
        <f t="shared" si="11"/>
        <v>391750.61499999999</v>
      </c>
    </row>
    <row r="219" spans="1:8" x14ac:dyDescent="0.25">
      <c r="A219" s="50">
        <f>'A) Base RI'!A221</f>
        <v>5750</v>
      </c>
      <c r="B219" s="57" t="str">
        <f>'A) Base RI'!B221</f>
        <v>Les Clées</v>
      </c>
      <c r="C219" s="32">
        <f>'B) D RI'!Y221</f>
        <v>174.95</v>
      </c>
      <c r="D219" s="14">
        <f>'B) D RI'!Z221</f>
        <v>0</v>
      </c>
      <c r="E219" s="10">
        <f t="shared" si="9"/>
        <v>174.95</v>
      </c>
      <c r="F219" s="14">
        <f>'B) D RI'!U221</f>
        <v>5155.3168750000004</v>
      </c>
      <c r="G219" s="265">
        <f t="shared" si="10"/>
        <v>3.3935838328075611E-2</v>
      </c>
      <c r="H219" s="58">
        <f t="shared" si="11"/>
        <v>87.474999999999994</v>
      </c>
    </row>
    <row r="220" spans="1:8" x14ac:dyDescent="0.25">
      <c r="A220" s="50">
        <f>'A) Base RI'!A222</f>
        <v>5752</v>
      </c>
      <c r="B220" s="57" t="str">
        <f>'A) Base RI'!B222</f>
        <v>Croy</v>
      </c>
      <c r="C220" s="32">
        <f>'B) D RI'!Y222</f>
        <v>37004.1</v>
      </c>
      <c r="D220" s="14">
        <f>'B) D RI'!Z222</f>
        <v>27809.35</v>
      </c>
      <c r="E220" s="10">
        <f t="shared" si="9"/>
        <v>64813.45</v>
      </c>
      <c r="F220" s="14">
        <f>'B) D RI'!U222</f>
        <v>10753.005424710425</v>
      </c>
      <c r="G220" s="265">
        <f t="shared" si="10"/>
        <v>6.0274730124341405</v>
      </c>
      <c r="H220" s="58">
        <f t="shared" si="11"/>
        <v>26844.854999999996</v>
      </c>
    </row>
    <row r="221" spans="1:8" x14ac:dyDescent="0.25">
      <c r="A221" s="50">
        <f>'A) Base RI'!A223</f>
        <v>5754</v>
      </c>
      <c r="B221" s="57" t="str">
        <f>'A) Base RI'!B223</f>
        <v>Juriens</v>
      </c>
      <c r="C221" s="32">
        <f>'B) D RI'!Y223</f>
        <v>8614.9</v>
      </c>
      <c r="D221" s="14">
        <f>'B) D RI'!Z223</f>
        <v>1446.55</v>
      </c>
      <c r="E221" s="10">
        <f t="shared" si="9"/>
        <v>10061.449999999999</v>
      </c>
      <c r="F221" s="14">
        <f>'B) D RI'!U223</f>
        <v>8035.95670886076</v>
      </c>
      <c r="G221" s="265">
        <f t="shared" si="10"/>
        <v>1.2520537833293515</v>
      </c>
      <c r="H221" s="58">
        <f t="shared" si="11"/>
        <v>4741.415</v>
      </c>
    </row>
    <row r="222" spans="1:8" x14ac:dyDescent="0.25">
      <c r="A222" s="50">
        <f>'A) Base RI'!A224</f>
        <v>5755</v>
      </c>
      <c r="B222" s="57" t="str">
        <f>'A) Base RI'!B224</f>
        <v>Lignerolle</v>
      </c>
      <c r="C222" s="32">
        <f>'B) D RI'!Y224</f>
        <v>31118.15</v>
      </c>
      <c r="D222" s="14">
        <f>'B) D RI'!Z224</f>
        <v>18805.45</v>
      </c>
      <c r="E222" s="10">
        <f t="shared" si="9"/>
        <v>49923.600000000006</v>
      </c>
      <c r="F222" s="14">
        <f>'B) D RI'!U224</f>
        <v>9584.7876607142862</v>
      </c>
      <c r="G222" s="265">
        <f t="shared" si="10"/>
        <v>5.2086286902968864</v>
      </c>
      <c r="H222" s="58">
        <f t="shared" si="11"/>
        <v>21200.71</v>
      </c>
    </row>
    <row r="223" spans="1:8" x14ac:dyDescent="0.25">
      <c r="A223" s="50">
        <f>'A) Base RI'!A225</f>
        <v>5756</v>
      </c>
      <c r="B223" s="57" t="str">
        <f>'A) Base RI'!B225</f>
        <v>Montcherand</v>
      </c>
      <c r="C223" s="32">
        <f>'B) D RI'!Y225</f>
        <v>15239.25</v>
      </c>
      <c r="D223" s="14">
        <f>'B) D RI'!Z225</f>
        <v>22927.65</v>
      </c>
      <c r="E223" s="10">
        <f t="shared" si="9"/>
        <v>38166.9</v>
      </c>
      <c r="F223" s="14">
        <f>'B) D RI'!U225</f>
        <v>15844.670555555553</v>
      </c>
      <c r="G223" s="265">
        <f t="shared" si="10"/>
        <v>2.4088162556726491</v>
      </c>
      <c r="H223" s="58">
        <f t="shared" si="11"/>
        <v>14497.92</v>
      </c>
    </row>
    <row r="224" spans="1:8" x14ac:dyDescent="0.25">
      <c r="A224" s="50">
        <f>'A) Base RI'!A226</f>
        <v>5757</v>
      </c>
      <c r="B224" s="57" t="str">
        <f>'A) Base RI'!B226</f>
        <v>Orbe</v>
      </c>
      <c r="C224" s="32">
        <f>'B) D RI'!Y226</f>
        <v>1182697.1499999999</v>
      </c>
      <c r="D224" s="14">
        <f>'B) D RI'!Z226</f>
        <v>2769162.05</v>
      </c>
      <c r="E224" s="10">
        <f t="shared" si="9"/>
        <v>3951859.1999999997</v>
      </c>
      <c r="F224" s="14">
        <f>'B) D RI'!U226</f>
        <v>227545.70272727273</v>
      </c>
      <c r="G224" s="265">
        <f t="shared" si="10"/>
        <v>17.367320730009748</v>
      </c>
      <c r="H224" s="58">
        <f t="shared" si="11"/>
        <v>1422097.19</v>
      </c>
    </row>
    <row r="225" spans="1:8" x14ac:dyDescent="0.25">
      <c r="A225" s="50">
        <f>'A) Base RI'!A227</f>
        <v>5758</v>
      </c>
      <c r="B225" s="57" t="str">
        <f>'A) Base RI'!B227</f>
        <v>La Praz</v>
      </c>
      <c r="C225" s="32">
        <f>'B) D RI'!Y227</f>
        <v>65279.649999999994</v>
      </c>
      <c r="D225" s="14">
        <f>'B) D RI'!Z227</f>
        <v>0</v>
      </c>
      <c r="E225" s="10">
        <f t="shared" si="9"/>
        <v>65279.649999999994</v>
      </c>
      <c r="F225" s="14">
        <f>'B) D RI'!U227</f>
        <v>4452.397389558233</v>
      </c>
      <c r="G225" s="265">
        <f t="shared" si="10"/>
        <v>14.661685444586302</v>
      </c>
      <c r="H225" s="58">
        <f t="shared" si="11"/>
        <v>32639.824999999997</v>
      </c>
    </row>
    <row r="226" spans="1:8" x14ac:dyDescent="0.25">
      <c r="A226" s="50">
        <f>'A) Base RI'!A228</f>
        <v>5759</v>
      </c>
      <c r="B226" s="57" t="str">
        <f>'A) Base RI'!B228</f>
        <v>Premier</v>
      </c>
      <c r="C226" s="32">
        <f>'B) D RI'!Y228</f>
        <v>59580.4</v>
      </c>
      <c r="D226" s="14">
        <f>'B) D RI'!Z228</f>
        <v>2720.8</v>
      </c>
      <c r="E226" s="10">
        <f t="shared" si="9"/>
        <v>62301.200000000004</v>
      </c>
      <c r="F226" s="14">
        <f>'B) D RI'!U228</f>
        <v>4744.6671604938274</v>
      </c>
      <c r="G226" s="265">
        <f t="shared" si="10"/>
        <v>13.130784076646519</v>
      </c>
      <c r="H226" s="58">
        <f t="shared" si="11"/>
        <v>30606.440000000002</v>
      </c>
    </row>
    <row r="227" spans="1:8" x14ac:dyDescent="0.25">
      <c r="A227" s="50">
        <f>'A) Base RI'!A229</f>
        <v>5760</v>
      </c>
      <c r="B227" s="57" t="str">
        <f>'A) Base RI'!B229</f>
        <v>Rances</v>
      </c>
      <c r="C227" s="32">
        <f>'B) D RI'!Y229</f>
        <v>75739.350000000006</v>
      </c>
      <c r="D227" s="14">
        <f>'B) D RI'!Z229</f>
        <v>17708.400000000001</v>
      </c>
      <c r="E227" s="10">
        <f t="shared" si="9"/>
        <v>93447.75</v>
      </c>
      <c r="F227" s="14">
        <f>'B) D RI'!U229</f>
        <v>11427.8147008547</v>
      </c>
      <c r="G227" s="265">
        <f t="shared" si="10"/>
        <v>8.1772195687606768</v>
      </c>
      <c r="H227" s="58">
        <f t="shared" si="11"/>
        <v>43182.195000000007</v>
      </c>
    </row>
    <row r="228" spans="1:8" x14ac:dyDescent="0.25">
      <c r="A228" s="50">
        <f>'A) Base RI'!A230</f>
        <v>5761</v>
      </c>
      <c r="B228" s="57" t="str">
        <f>'A) Base RI'!B230</f>
        <v>Romainmôtier-Envy</v>
      </c>
      <c r="C228" s="32">
        <f>'B) D RI'!Y230</f>
        <v>83390.5</v>
      </c>
      <c r="D228" s="14">
        <f>'B) D RI'!Z230</f>
        <v>53214.400000000001</v>
      </c>
      <c r="E228" s="10">
        <f t="shared" si="9"/>
        <v>136604.9</v>
      </c>
      <c r="F228" s="14">
        <f>'B) D RI'!U230</f>
        <v>14843.375263748598</v>
      </c>
      <c r="G228" s="265">
        <f t="shared" si="10"/>
        <v>9.2030887566135213</v>
      </c>
      <c r="H228" s="58">
        <f t="shared" si="11"/>
        <v>57659.57</v>
      </c>
    </row>
    <row r="229" spans="1:8" x14ac:dyDescent="0.25">
      <c r="A229" s="50">
        <f>'A) Base RI'!A231</f>
        <v>5762</v>
      </c>
      <c r="B229" s="57" t="str">
        <f>'A) Base RI'!B231</f>
        <v>Sergey</v>
      </c>
      <c r="C229" s="32">
        <f>'B) D RI'!Y231</f>
        <v>2671.7</v>
      </c>
      <c r="D229" s="14">
        <f>'B) D RI'!Z231</f>
        <v>2645.8</v>
      </c>
      <c r="E229" s="10">
        <f t="shared" si="9"/>
        <v>5317.5</v>
      </c>
      <c r="F229" s="14">
        <f>'B) D RI'!U231</f>
        <v>3817.1048717948711</v>
      </c>
      <c r="G229" s="265">
        <f t="shared" si="10"/>
        <v>1.3930714975351506</v>
      </c>
      <c r="H229" s="58">
        <f t="shared" si="11"/>
        <v>2129.59</v>
      </c>
    </row>
    <row r="230" spans="1:8" x14ac:dyDescent="0.25">
      <c r="A230" s="50">
        <f>'A) Base RI'!A232</f>
        <v>5763</v>
      </c>
      <c r="B230" s="57" t="str">
        <f>'A) Base RI'!B232</f>
        <v>Valeyres-sous-Rances</v>
      </c>
      <c r="C230" s="32">
        <f>'B) D RI'!Y232</f>
        <v>-11950.3</v>
      </c>
      <c r="D230" s="14">
        <f>'B) D RI'!Z232</f>
        <v>37741.050000000003</v>
      </c>
      <c r="E230" s="10">
        <f t="shared" si="9"/>
        <v>25790.750000000004</v>
      </c>
      <c r="F230" s="14">
        <f>'B) D RI'!U232</f>
        <v>21043.479230769233</v>
      </c>
      <c r="G230" s="265">
        <f t="shared" si="10"/>
        <v>1.2255934352476008</v>
      </c>
      <c r="H230" s="58">
        <f t="shared" si="11"/>
        <v>5347.1650000000009</v>
      </c>
    </row>
    <row r="231" spans="1:8" x14ac:dyDescent="0.25">
      <c r="A231" s="50">
        <f>'A) Base RI'!A233</f>
        <v>5764</v>
      </c>
      <c r="B231" s="57" t="str">
        <f>'A) Base RI'!B233</f>
        <v>Vallorbe</v>
      </c>
      <c r="C231" s="32">
        <f>'B) D RI'!Y233</f>
        <v>323922.05</v>
      </c>
      <c r="D231" s="14">
        <f>'B) D RI'!Z233</f>
        <v>2339312.5499999998</v>
      </c>
      <c r="E231" s="10">
        <f t="shared" si="9"/>
        <v>2663234.5999999996</v>
      </c>
      <c r="F231" s="14">
        <f>'B) D RI'!U233</f>
        <v>86289.103835616435</v>
      </c>
      <c r="G231" s="265">
        <f t="shared" si="10"/>
        <v>30.864089225837233</v>
      </c>
      <c r="H231" s="58">
        <f t="shared" si="11"/>
        <v>863754.78999999992</v>
      </c>
    </row>
    <row r="232" spans="1:8" x14ac:dyDescent="0.25">
      <c r="A232" s="50">
        <f>'A) Base RI'!A234</f>
        <v>5765</v>
      </c>
      <c r="B232" s="57" t="str">
        <f>'A) Base RI'!B234</f>
        <v>Vaulion</v>
      </c>
      <c r="C232" s="32">
        <f>'B) D RI'!Y234</f>
        <v>55420.649999999994</v>
      </c>
      <c r="D232" s="14">
        <f>'B) D RI'!Z234</f>
        <v>44268</v>
      </c>
      <c r="E232" s="10">
        <f t="shared" si="9"/>
        <v>99688.65</v>
      </c>
      <c r="F232" s="14">
        <f>'B) D RI'!U234</f>
        <v>9839.660864197529</v>
      </c>
      <c r="G232" s="265">
        <f t="shared" si="10"/>
        <v>10.131309541645475</v>
      </c>
      <c r="H232" s="58">
        <f t="shared" si="11"/>
        <v>40990.724999999999</v>
      </c>
    </row>
    <row r="233" spans="1:8" x14ac:dyDescent="0.25">
      <c r="A233" s="50">
        <f>'A) Base RI'!A235</f>
        <v>5766</v>
      </c>
      <c r="B233" s="57" t="str">
        <f>'A) Base RI'!B235</f>
        <v>Vuiteboeuf</v>
      </c>
      <c r="C233" s="32">
        <f>'B) D RI'!Y235</f>
        <v>42287.5</v>
      </c>
      <c r="D233" s="14">
        <f>'B) D RI'!Z235</f>
        <v>22902.3</v>
      </c>
      <c r="E233" s="10">
        <f t="shared" si="9"/>
        <v>65189.8</v>
      </c>
      <c r="F233" s="14">
        <f>'B) D RI'!U235</f>
        <v>13336.017235621519</v>
      </c>
      <c r="G233" s="265">
        <f t="shared" si="10"/>
        <v>4.8882510308904727</v>
      </c>
      <c r="H233" s="58">
        <f t="shared" si="11"/>
        <v>28014.44</v>
      </c>
    </row>
    <row r="234" spans="1:8" x14ac:dyDescent="0.25">
      <c r="A234" s="50">
        <f>'A) Base RI'!A236</f>
        <v>5785</v>
      </c>
      <c r="B234" s="57" t="str">
        <f>'A) Base RI'!B236</f>
        <v>Corcelles-le-Jorat</v>
      </c>
      <c r="C234" s="32">
        <f>'B) D RI'!Y236</f>
        <v>51454.25</v>
      </c>
      <c r="D234" s="14">
        <f>'B) D RI'!Z236</f>
        <v>0</v>
      </c>
      <c r="E234" s="10">
        <f t="shared" si="9"/>
        <v>51454.25</v>
      </c>
      <c r="F234" s="14">
        <f>'B) D RI'!U236</f>
        <v>15649.981168831173</v>
      </c>
      <c r="G234" s="265">
        <f t="shared" si="10"/>
        <v>3.2878154577257481</v>
      </c>
      <c r="H234" s="58">
        <f t="shared" si="11"/>
        <v>25727.125</v>
      </c>
    </row>
    <row r="235" spans="1:8" x14ac:dyDescent="0.25">
      <c r="A235" s="50">
        <f>'A) Base RI'!A237</f>
        <v>5788</v>
      </c>
      <c r="B235" s="57" t="str">
        <f>'A) Base RI'!B237</f>
        <v>Essertes</v>
      </c>
      <c r="C235" s="32">
        <f>'B) D RI'!Y237</f>
        <v>46531.05</v>
      </c>
      <c r="D235" s="14">
        <f>'B) D RI'!Z237</f>
        <v>0</v>
      </c>
      <c r="E235" s="10">
        <f t="shared" si="9"/>
        <v>46531.05</v>
      </c>
      <c r="F235" s="14">
        <f>'B) D RI'!U237</f>
        <v>11949.454583333332</v>
      </c>
      <c r="G235" s="265">
        <f t="shared" si="10"/>
        <v>3.893989443242023</v>
      </c>
      <c r="H235" s="58">
        <f t="shared" si="11"/>
        <v>23265.525000000001</v>
      </c>
    </row>
    <row r="236" spans="1:8" x14ac:dyDescent="0.25">
      <c r="A236" s="50">
        <f>'A) Base RI'!A238</f>
        <v>5790</v>
      </c>
      <c r="B236" s="57" t="str">
        <f>'A) Base RI'!B238</f>
        <v>Maracon</v>
      </c>
      <c r="C236" s="32">
        <f>'B) D RI'!Y238</f>
        <v>130908.15</v>
      </c>
      <c r="D236" s="14">
        <f>'B) D RI'!Z238</f>
        <v>10203.049999999999</v>
      </c>
      <c r="E236" s="10">
        <f t="shared" si="9"/>
        <v>141111.19999999998</v>
      </c>
      <c r="F236" s="14">
        <f>'B) D RI'!U238</f>
        <v>13289.151710526314</v>
      </c>
      <c r="G236" s="265">
        <f t="shared" si="10"/>
        <v>10.618525777550275</v>
      </c>
      <c r="H236" s="58">
        <f t="shared" si="11"/>
        <v>68514.989999999991</v>
      </c>
    </row>
    <row r="237" spans="1:8" x14ac:dyDescent="0.25">
      <c r="A237" s="50">
        <f>'A) Base RI'!A239</f>
        <v>5792</v>
      </c>
      <c r="B237" s="57" t="str">
        <f>'A) Base RI'!B239</f>
        <v>Montpreveyres</v>
      </c>
      <c r="C237" s="32">
        <f>'B) D RI'!Y239</f>
        <v>141165.75</v>
      </c>
      <c r="D237" s="14">
        <f>'B) D RI'!Z239</f>
        <v>16.149999999999999</v>
      </c>
      <c r="E237" s="10">
        <f t="shared" si="9"/>
        <v>141181.9</v>
      </c>
      <c r="F237" s="14">
        <f>'B) D RI'!U239</f>
        <v>18753.372987012986</v>
      </c>
      <c r="G237" s="265">
        <f t="shared" si="10"/>
        <v>7.5283470391044185</v>
      </c>
      <c r="H237" s="58">
        <f t="shared" si="11"/>
        <v>70587.72</v>
      </c>
    </row>
    <row r="238" spans="1:8" x14ac:dyDescent="0.25">
      <c r="A238" s="50">
        <f>'A) Base RI'!A240</f>
        <v>5798</v>
      </c>
      <c r="B238" s="57" t="str">
        <f>'A) Base RI'!B240</f>
        <v>Ropraz</v>
      </c>
      <c r="C238" s="32">
        <f>'B) D RI'!Y240</f>
        <v>93347.05</v>
      </c>
      <c r="D238" s="14">
        <f>'B) D RI'!Z240</f>
        <v>7800.35</v>
      </c>
      <c r="E238" s="10">
        <f t="shared" si="9"/>
        <v>101147.40000000001</v>
      </c>
      <c r="F238" s="14">
        <f>'B) D RI'!U240</f>
        <v>13764.738967741932</v>
      </c>
      <c r="G238" s="265">
        <f t="shared" si="10"/>
        <v>7.3482977219576702</v>
      </c>
      <c r="H238" s="58">
        <f t="shared" si="11"/>
        <v>49013.630000000005</v>
      </c>
    </row>
    <row r="239" spans="1:8" x14ac:dyDescent="0.25">
      <c r="A239" s="50">
        <f>'A) Base RI'!A241</f>
        <v>5799</v>
      </c>
      <c r="B239" s="57" t="str">
        <f>'A) Base RI'!B241</f>
        <v>Servion</v>
      </c>
      <c r="C239" s="32">
        <f>'B) D RI'!Y241</f>
        <v>622690.1</v>
      </c>
      <c r="D239" s="14">
        <f>'B) D RI'!Z241</f>
        <v>22437.1</v>
      </c>
      <c r="E239" s="10">
        <f t="shared" si="9"/>
        <v>645127.19999999995</v>
      </c>
      <c r="F239" s="14">
        <f>'B) D RI'!U241</f>
        <v>69335.991449275345</v>
      </c>
      <c r="G239" s="265">
        <f t="shared" si="10"/>
        <v>9.3043625181585607</v>
      </c>
      <c r="H239" s="58">
        <f t="shared" si="11"/>
        <v>318076.18</v>
      </c>
    </row>
    <row r="240" spans="1:8" x14ac:dyDescent="0.25">
      <c r="A240" s="50">
        <f>'A) Base RI'!A242</f>
        <v>5803</v>
      </c>
      <c r="B240" s="57" t="str">
        <f>'A) Base RI'!B242</f>
        <v>Vulliens</v>
      </c>
      <c r="C240" s="32">
        <f>'B) D RI'!Y242</f>
        <v>131189.95000000001</v>
      </c>
      <c r="D240" s="14">
        <f>'B) D RI'!Z242</f>
        <v>0</v>
      </c>
      <c r="E240" s="10">
        <f t="shared" si="9"/>
        <v>131189.95000000001</v>
      </c>
      <c r="F240" s="14">
        <f>'B) D RI'!U242</f>
        <v>16619.681923076922</v>
      </c>
      <c r="G240" s="265">
        <f t="shared" si="10"/>
        <v>7.8936498668990094</v>
      </c>
      <c r="H240" s="58">
        <f t="shared" si="11"/>
        <v>65594.975000000006</v>
      </c>
    </row>
    <row r="241" spans="1:8" x14ac:dyDescent="0.25">
      <c r="A241" s="50">
        <f>'A) Base RI'!A243</f>
        <v>5804</v>
      </c>
      <c r="B241" s="57" t="str">
        <f>'A) Base RI'!B243</f>
        <v>Jorat-Menthue</v>
      </c>
      <c r="C241" s="32">
        <f>'B) D RI'!Y243</f>
        <v>96867.950000000012</v>
      </c>
      <c r="D241" s="14">
        <f>'B) D RI'!Z243</f>
        <v>5038.1000000000004</v>
      </c>
      <c r="E241" s="10">
        <f t="shared" si="9"/>
        <v>101906.05000000002</v>
      </c>
      <c r="F241" s="14">
        <f>'B) D RI'!U243</f>
        <v>47559.531944444454</v>
      </c>
      <c r="G241" s="265">
        <f t="shared" si="10"/>
        <v>2.142705065286159</v>
      </c>
      <c r="H241" s="58">
        <f t="shared" si="11"/>
        <v>49945.405000000006</v>
      </c>
    </row>
    <row r="242" spans="1:8" x14ac:dyDescent="0.25">
      <c r="A242" s="50">
        <f>'A) Base RI'!A244</f>
        <v>5805</v>
      </c>
      <c r="B242" s="57" t="str">
        <f>'A) Base RI'!B244</f>
        <v>Oron</v>
      </c>
      <c r="C242" s="32">
        <f>'B) D RI'!Y244</f>
        <v>1190272.55</v>
      </c>
      <c r="D242" s="14">
        <f>'B) D RI'!Z244</f>
        <v>71863.5</v>
      </c>
      <c r="E242" s="10">
        <f t="shared" si="9"/>
        <v>1262136.05</v>
      </c>
      <c r="F242" s="14">
        <f>'B) D RI'!U244</f>
        <v>157344.05109354414</v>
      </c>
      <c r="G242" s="265">
        <f t="shared" si="10"/>
        <v>8.0215047294647022</v>
      </c>
      <c r="H242" s="58">
        <f t="shared" si="11"/>
        <v>616695.32500000007</v>
      </c>
    </row>
    <row r="243" spans="1:8" x14ac:dyDescent="0.25">
      <c r="A243" s="50">
        <f>'A) Base RI'!A245</f>
        <v>5806</v>
      </c>
      <c r="B243" s="57" t="str">
        <f>'A) Base RI'!B245</f>
        <v>Jorat-Mézières</v>
      </c>
      <c r="C243" s="32">
        <f>'B) D RI'!Y245</f>
        <v>659160.94999999995</v>
      </c>
      <c r="D243" s="14">
        <f>'B) D RI'!Z245</f>
        <v>38920.85</v>
      </c>
      <c r="E243" s="10">
        <f t="shared" si="9"/>
        <v>698081.79999999993</v>
      </c>
      <c r="F243" s="14">
        <f>'B) D RI'!U245</f>
        <v>90571.355131578952</v>
      </c>
      <c r="G243" s="265">
        <f t="shared" si="10"/>
        <v>7.707534009906893</v>
      </c>
      <c r="H243" s="58">
        <f t="shared" si="11"/>
        <v>341256.73</v>
      </c>
    </row>
    <row r="244" spans="1:8" x14ac:dyDescent="0.25">
      <c r="A244" s="50">
        <f>'A) Base RI'!A246</f>
        <v>5812</v>
      </c>
      <c r="B244" s="57" t="str">
        <f>'A) Base RI'!B246</f>
        <v>Champtauroz</v>
      </c>
      <c r="C244" s="32">
        <f>'B) D RI'!Y246</f>
        <v>20903.350000000002</v>
      </c>
      <c r="D244" s="14">
        <f>'B) D RI'!Z246</f>
        <v>0</v>
      </c>
      <c r="E244" s="10">
        <f t="shared" si="9"/>
        <v>20903.350000000002</v>
      </c>
      <c r="F244" s="14">
        <f>'B) D RI'!U246</f>
        <v>2425.1270779220786</v>
      </c>
      <c r="G244" s="265">
        <f t="shared" si="10"/>
        <v>8.6194864550811978</v>
      </c>
      <c r="H244" s="58">
        <f t="shared" si="11"/>
        <v>10451.675000000001</v>
      </c>
    </row>
    <row r="245" spans="1:8" x14ac:dyDescent="0.25">
      <c r="A245" s="50">
        <f>'A) Base RI'!A247</f>
        <v>5813</v>
      </c>
      <c r="B245" s="57" t="str">
        <f>'A) Base RI'!B247</f>
        <v>Chevroux</v>
      </c>
      <c r="C245" s="32">
        <f>'B) D RI'!Y247</f>
        <v>172556.1</v>
      </c>
      <c r="D245" s="14">
        <f>'B) D RI'!Z247</f>
        <v>0</v>
      </c>
      <c r="E245" s="10">
        <f t="shared" si="9"/>
        <v>172556.1</v>
      </c>
      <c r="F245" s="14">
        <f>'B) D RI'!U247</f>
        <v>13114.094904761907</v>
      </c>
      <c r="G245" s="265">
        <f t="shared" si="10"/>
        <v>13.15806399550628</v>
      </c>
      <c r="H245" s="58">
        <f t="shared" si="11"/>
        <v>86278.05</v>
      </c>
    </row>
    <row r="246" spans="1:8" x14ac:dyDescent="0.25">
      <c r="A246" s="50">
        <f>'A) Base RI'!A248</f>
        <v>5816</v>
      </c>
      <c r="B246" s="57" t="str">
        <f>'A) Base RI'!B248</f>
        <v>Corcelles-près-Payerne</v>
      </c>
      <c r="C246" s="32">
        <f>'B) D RI'!Y248</f>
        <v>256784.1</v>
      </c>
      <c r="D246" s="14">
        <f>'B) D RI'!Z248</f>
        <v>7944.55</v>
      </c>
      <c r="E246" s="10">
        <f t="shared" si="9"/>
        <v>264728.65000000002</v>
      </c>
      <c r="F246" s="14">
        <f>'B) D RI'!U248</f>
        <v>56247.882400793642</v>
      </c>
      <c r="G246" s="265">
        <f t="shared" si="10"/>
        <v>4.706464291645311</v>
      </c>
      <c r="H246" s="58">
        <f t="shared" si="11"/>
        <v>130775.41500000001</v>
      </c>
    </row>
    <row r="247" spans="1:8" x14ac:dyDescent="0.25">
      <c r="A247" s="50">
        <f>'A) Base RI'!A249</f>
        <v>5817</v>
      </c>
      <c r="B247" s="57" t="str">
        <f>'A) Base RI'!B249</f>
        <v>Grandcour</v>
      </c>
      <c r="C247" s="32">
        <f>'B) D RI'!Y249</f>
        <v>266763.15000000002</v>
      </c>
      <c r="D247" s="14">
        <f>'B) D RI'!Z249</f>
        <v>0</v>
      </c>
      <c r="E247" s="10">
        <f t="shared" si="9"/>
        <v>266763.15000000002</v>
      </c>
      <c r="F247" s="14">
        <f>'B) D RI'!U249</f>
        <v>23573.392337662339</v>
      </c>
      <c r="G247" s="265">
        <f t="shared" si="10"/>
        <v>11.316281771368239</v>
      </c>
      <c r="H247" s="58">
        <f t="shared" si="11"/>
        <v>133381.57500000001</v>
      </c>
    </row>
    <row r="248" spans="1:8" x14ac:dyDescent="0.25">
      <c r="A248" s="50">
        <f>'A) Base RI'!A250</f>
        <v>5819</v>
      </c>
      <c r="B248" s="57" t="str">
        <f>'A) Base RI'!B250</f>
        <v>Henniez</v>
      </c>
      <c r="C248" s="32">
        <f>'B) D RI'!Y250</f>
        <v>64838.5</v>
      </c>
      <c r="D248" s="14">
        <f>'B) D RI'!Z250</f>
        <v>19038.25</v>
      </c>
      <c r="E248" s="10">
        <f t="shared" si="9"/>
        <v>83876.75</v>
      </c>
      <c r="F248" s="14">
        <f>'B) D RI'!U250</f>
        <v>13558.497971014494</v>
      </c>
      <c r="G248" s="265">
        <f t="shared" si="10"/>
        <v>6.1862862818073676</v>
      </c>
      <c r="H248" s="58">
        <f t="shared" si="11"/>
        <v>38130.724999999999</v>
      </c>
    </row>
    <row r="249" spans="1:8" x14ac:dyDescent="0.25">
      <c r="A249" s="50">
        <f>'A) Base RI'!A251</f>
        <v>5821</v>
      </c>
      <c r="B249" s="57" t="str">
        <f>'A) Base RI'!B251</f>
        <v>Missy</v>
      </c>
      <c r="C249" s="32">
        <f>'B) D RI'!Y251</f>
        <v>30212.05</v>
      </c>
      <c r="D249" s="14">
        <f>'B) D RI'!Z251</f>
        <v>0</v>
      </c>
      <c r="E249" s="10">
        <f t="shared" si="9"/>
        <v>30212.05</v>
      </c>
      <c r="F249" s="14">
        <f>'B) D RI'!U251</f>
        <v>8603.5648611111101</v>
      </c>
      <c r="G249" s="265">
        <f t="shared" si="10"/>
        <v>3.5115734567843142</v>
      </c>
      <c r="H249" s="58">
        <f t="shared" si="11"/>
        <v>15106.025</v>
      </c>
    </row>
    <row r="250" spans="1:8" x14ac:dyDescent="0.25">
      <c r="A250" s="50">
        <f>'A) Base RI'!A252</f>
        <v>5822</v>
      </c>
      <c r="B250" s="57" t="str">
        <f>'A) Base RI'!B252</f>
        <v>Payerne</v>
      </c>
      <c r="C250" s="32">
        <f>'B) D RI'!Y252</f>
        <v>1443765.3</v>
      </c>
      <c r="D250" s="14">
        <f>'B) D RI'!Z252</f>
        <v>67583.05</v>
      </c>
      <c r="E250" s="10">
        <f t="shared" si="9"/>
        <v>1511348.35</v>
      </c>
      <c r="F250" s="14">
        <f>'B) D RI'!U252</f>
        <v>249319.03186666669</v>
      </c>
      <c r="G250" s="265">
        <f t="shared" si="10"/>
        <v>6.0619052572298369</v>
      </c>
      <c r="H250" s="58">
        <f t="shared" si="11"/>
        <v>742157.56500000006</v>
      </c>
    </row>
    <row r="251" spans="1:8" x14ac:dyDescent="0.25">
      <c r="A251" s="50">
        <f>'A) Base RI'!A253</f>
        <v>5827</v>
      </c>
      <c r="B251" s="57" t="str">
        <f>'A) Base RI'!B253</f>
        <v>Trey</v>
      </c>
      <c r="C251" s="32">
        <f>'B) D RI'!Y253</f>
        <v>38255.5</v>
      </c>
      <c r="D251" s="14">
        <f>'B) D RI'!Z253</f>
        <v>0</v>
      </c>
      <c r="E251" s="10">
        <f t="shared" si="9"/>
        <v>38255.5</v>
      </c>
      <c r="F251" s="14">
        <f>'B) D RI'!U253</f>
        <v>7228.8600000000006</v>
      </c>
      <c r="G251" s="265">
        <f t="shared" si="10"/>
        <v>5.2920515821305152</v>
      </c>
      <c r="H251" s="58">
        <f t="shared" si="11"/>
        <v>19127.75</v>
      </c>
    </row>
    <row r="252" spans="1:8" x14ac:dyDescent="0.25">
      <c r="A252" s="50">
        <f>'A) Base RI'!A254</f>
        <v>5828</v>
      </c>
      <c r="B252" s="57" t="str">
        <f>'A) Base RI'!B254</f>
        <v>Treytorrens (Payerne)</v>
      </c>
      <c r="C252" s="32">
        <f>'B) D RI'!Y254</f>
        <v>21875.9</v>
      </c>
      <c r="D252" s="14">
        <f>'B) D RI'!Z254</f>
        <v>0</v>
      </c>
      <c r="E252" s="10">
        <f t="shared" si="9"/>
        <v>21875.9</v>
      </c>
      <c r="F252" s="14">
        <f>'B) D RI'!U254</f>
        <v>2672.2867063492063</v>
      </c>
      <c r="G252" s="265">
        <f t="shared" si="10"/>
        <v>8.1862099407313096</v>
      </c>
      <c r="H252" s="58">
        <f t="shared" si="11"/>
        <v>10937.95</v>
      </c>
    </row>
    <row r="253" spans="1:8" x14ac:dyDescent="0.25">
      <c r="A253" s="50">
        <f>'A) Base RI'!A255</f>
        <v>5830</v>
      </c>
      <c r="B253" s="57" t="str">
        <f>'A) Base RI'!B255</f>
        <v>Villarzel</v>
      </c>
      <c r="C253" s="32">
        <f>'B) D RI'!Y255</f>
        <v>58088.15</v>
      </c>
      <c r="D253" s="14">
        <f>'B) D RI'!Z255</f>
        <v>0</v>
      </c>
      <c r="E253" s="10">
        <f t="shared" si="9"/>
        <v>58088.15</v>
      </c>
      <c r="F253" s="14">
        <f>'B) D RI'!U255</f>
        <v>12137.70417721519</v>
      </c>
      <c r="G253" s="265">
        <f t="shared" si="10"/>
        <v>4.785760894473162</v>
      </c>
      <c r="H253" s="58">
        <f t="shared" si="11"/>
        <v>29044.075000000001</v>
      </c>
    </row>
    <row r="254" spans="1:8" x14ac:dyDescent="0.25">
      <c r="A254" s="50">
        <f>'A) Base RI'!A256</f>
        <v>5831</v>
      </c>
      <c r="B254" s="57" t="str">
        <f>'A) Base RI'!B256</f>
        <v>Valbroye</v>
      </c>
      <c r="C254" s="32">
        <f>'B) D RI'!Y256</f>
        <v>677960.8</v>
      </c>
      <c r="D254" s="14">
        <f>'B) D RI'!Z256</f>
        <v>18680.75</v>
      </c>
      <c r="E254" s="10">
        <f t="shared" si="9"/>
        <v>696641.55</v>
      </c>
      <c r="F254" s="14">
        <f>'B) D RI'!U256</f>
        <v>85960.311415525095</v>
      </c>
      <c r="G254" s="265">
        <f t="shared" si="10"/>
        <v>8.1042231993843288</v>
      </c>
      <c r="H254" s="58">
        <f t="shared" si="11"/>
        <v>344584.625</v>
      </c>
    </row>
    <row r="255" spans="1:8" x14ac:dyDescent="0.25">
      <c r="A255" s="50">
        <f>'A) Base RI'!A257</f>
        <v>5841</v>
      </c>
      <c r="B255" s="57" t="str">
        <f>'A) Base RI'!B257</f>
        <v>Château-d'Oex</v>
      </c>
      <c r="C255" s="32">
        <f>'B) D RI'!Y257</f>
        <v>998135.7</v>
      </c>
      <c r="D255" s="14">
        <f>'B) D RI'!Z257</f>
        <v>5396.8</v>
      </c>
      <c r="E255" s="10">
        <f t="shared" si="9"/>
        <v>1003532.5</v>
      </c>
      <c r="F255" s="14">
        <f>'B) D RI'!U257</f>
        <v>118196.91686746987</v>
      </c>
      <c r="G255" s="265">
        <f t="shared" si="10"/>
        <v>8.4903441358392318</v>
      </c>
      <c r="H255" s="58">
        <f t="shared" si="11"/>
        <v>500686.88999999996</v>
      </c>
    </row>
    <row r="256" spans="1:8" x14ac:dyDescent="0.25">
      <c r="A256" s="50">
        <f>'A) Base RI'!A258</f>
        <v>5842</v>
      </c>
      <c r="B256" s="57" t="str">
        <f>'A) Base RI'!B258</f>
        <v>Rossinière</v>
      </c>
      <c r="C256" s="32">
        <f>'B) D RI'!Y258</f>
        <v>110703.4</v>
      </c>
      <c r="D256" s="14">
        <f>'B) D RI'!Z258</f>
        <v>0</v>
      </c>
      <c r="E256" s="10">
        <f t="shared" si="9"/>
        <v>110703.4</v>
      </c>
      <c r="F256" s="14">
        <f>'B) D RI'!U258</f>
        <v>16178.883744855966</v>
      </c>
      <c r="G256" s="265">
        <f t="shared" si="10"/>
        <v>6.8424621714213041</v>
      </c>
      <c r="H256" s="58">
        <f t="shared" si="11"/>
        <v>55351.7</v>
      </c>
    </row>
    <row r="257" spans="1:8" x14ac:dyDescent="0.25">
      <c r="A257" s="50">
        <f>'A) Base RI'!A259</f>
        <v>5843</v>
      </c>
      <c r="B257" s="57" t="str">
        <f>'A) Base RI'!B259</f>
        <v>Rougemont</v>
      </c>
      <c r="C257" s="32">
        <f>'B) D RI'!Y259</f>
        <v>1260194.6499999999</v>
      </c>
      <c r="D257" s="14">
        <f>'B) D RI'!Z259</f>
        <v>0</v>
      </c>
      <c r="E257" s="10">
        <f t="shared" si="9"/>
        <v>1260194.6499999999</v>
      </c>
      <c r="F257" s="14">
        <f>'B) D RI'!U259</f>
        <v>96518.030855855861</v>
      </c>
      <c r="G257" s="265">
        <f t="shared" si="10"/>
        <v>13.056572319445973</v>
      </c>
      <c r="H257" s="58">
        <f t="shared" si="11"/>
        <v>630097.32499999995</v>
      </c>
    </row>
    <row r="258" spans="1:8" x14ac:dyDescent="0.25">
      <c r="A258" s="50">
        <f>'A) Base RI'!A260</f>
        <v>5851</v>
      </c>
      <c r="B258" s="57" t="str">
        <f>'A) Base RI'!B260</f>
        <v>Allaman</v>
      </c>
      <c r="C258" s="32">
        <f>'B) D RI'!Y260</f>
        <v>541529.69999999995</v>
      </c>
      <c r="D258" s="14">
        <f>'B) D RI'!Z260</f>
        <v>45630.25</v>
      </c>
      <c r="E258" s="10">
        <f t="shared" si="9"/>
        <v>587159.94999999995</v>
      </c>
      <c r="F258" s="14">
        <f>'B) D RI'!U260</f>
        <v>29511.189985337249</v>
      </c>
      <c r="G258" s="265">
        <f t="shared" si="10"/>
        <v>19.896180069042714</v>
      </c>
      <c r="H258" s="58">
        <f t="shared" si="11"/>
        <v>284453.92499999999</v>
      </c>
    </row>
    <row r="259" spans="1:8" x14ac:dyDescent="0.25">
      <c r="A259" s="50">
        <f>'A) Base RI'!A261</f>
        <v>5852</v>
      </c>
      <c r="B259" s="57" t="str">
        <f>'A) Base RI'!B261</f>
        <v>Bursinel</v>
      </c>
      <c r="C259" s="32">
        <f>'B) D RI'!Y261</f>
        <v>306584.5</v>
      </c>
      <c r="D259" s="14">
        <f>'B) D RI'!Z261</f>
        <v>10718.8</v>
      </c>
      <c r="E259" s="10">
        <f t="shared" si="9"/>
        <v>317303.3</v>
      </c>
      <c r="F259" s="14">
        <f>'B) D RI'!U261</f>
        <v>39767.165954198477</v>
      </c>
      <c r="G259" s="265">
        <f t="shared" si="10"/>
        <v>7.9790272297867944</v>
      </c>
      <c r="H259" s="58">
        <f t="shared" si="11"/>
        <v>156507.89000000001</v>
      </c>
    </row>
    <row r="260" spans="1:8" x14ac:dyDescent="0.25">
      <c r="A260" s="50">
        <f>'A) Base RI'!A262</f>
        <v>5853</v>
      </c>
      <c r="B260" s="57" t="str">
        <f>'A) Base RI'!B262</f>
        <v>Bursins</v>
      </c>
      <c r="C260" s="32">
        <f>'B) D RI'!Y262</f>
        <v>271927.5</v>
      </c>
      <c r="D260" s="14">
        <f>'B) D RI'!Z262</f>
        <v>64233</v>
      </c>
      <c r="E260" s="10">
        <f t="shared" si="9"/>
        <v>336160.5</v>
      </c>
      <c r="F260" s="14">
        <f>'B) D RI'!U262</f>
        <v>36845.197464788725</v>
      </c>
      <c r="G260" s="265">
        <f t="shared" si="10"/>
        <v>9.123590674775274</v>
      </c>
      <c r="H260" s="58">
        <f t="shared" si="11"/>
        <v>155233.65</v>
      </c>
    </row>
    <row r="261" spans="1:8" x14ac:dyDescent="0.25">
      <c r="A261" s="50">
        <f>'A) Base RI'!A263</f>
        <v>5854</v>
      </c>
      <c r="B261" s="57" t="str">
        <f>'A) Base RI'!B263</f>
        <v>Burtigny</v>
      </c>
      <c r="C261" s="32">
        <f>'B) D RI'!Y263</f>
        <v>210505.65</v>
      </c>
      <c r="D261" s="14">
        <f>'B) D RI'!Z263</f>
        <v>23521.05</v>
      </c>
      <c r="E261" s="10">
        <f t="shared" si="9"/>
        <v>234026.69999999998</v>
      </c>
      <c r="F261" s="14">
        <f>'B) D RI'!U263</f>
        <v>15320.932833333329</v>
      </c>
      <c r="G261" s="265">
        <f t="shared" si="10"/>
        <v>15.27496416476904</v>
      </c>
      <c r="H261" s="58">
        <f t="shared" si="11"/>
        <v>112309.14</v>
      </c>
    </row>
    <row r="262" spans="1:8" x14ac:dyDescent="0.25">
      <c r="A262" s="50">
        <f>'A) Base RI'!A264</f>
        <v>5855</v>
      </c>
      <c r="B262" s="57" t="str">
        <f>'A) Base RI'!B264</f>
        <v>Dully</v>
      </c>
      <c r="C262" s="32">
        <f>'B) D RI'!Y264</f>
        <v>592479.79999999993</v>
      </c>
      <c r="D262" s="14">
        <f>'B) D RI'!Z264</f>
        <v>1160.95</v>
      </c>
      <c r="E262" s="10">
        <f t="shared" ref="E262:E313" si="12">C262+D262</f>
        <v>593640.74999999988</v>
      </c>
      <c r="F262" s="14">
        <f>'B) D RI'!U264</f>
        <v>91198.462040816317</v>
      </c>
      <c r="G262" s="265">
        <f t="shared" ref="G262:G313" si="13">E262/F262</f>
        <v>6.5093285206313354</v>
      </c>
      <c r="H262" s="58">
        <f t="shared" ref="H262:H313" si="14">(C262*$C$4)+(D262*$D$4)</f>
        <v>296588.18499999994</v>
      </c>
    </row>
    <row r="263" spans="1:8" x14ac:dyDescent="0.25">
      <c r="A263" s="50">
        <f>'A) Base RI'!A265</f>
        <v>5856</v>
      </c>
      <c r="B263" s="57" t="str">
        <f>'A) Base RI'!B265</f>
        <v>Essertines-sur-Rolle</v>
      </c>
      <c r="C263" s="32">
        <f>'B) D RI'!Y265</f>
        <v>357121.6</v>
      </c>
      <c r="D263" s="14">
        <f>'B) D RI'!Z265</f>
        <v>11104.25</v>
      </c>
      <c r="E263" s="10">
        <f t="shared" si="12"/>
        <v>368225.85</v>
      </c>
      <c r="F263" s="14">
        <f>'B) D RI'!U265</f>
        <v>37425.966018099534</v>
      </c>
      <c r="G263" s="265">
        <f t="shared" si="13"/>
        <v>9.83878010849266</v>
      </c>
      <c r="H263" s="58">
        <f t="shared" si="14"/>
        <v>181892.07499999998</v>
      </c>
    </row>
    <row r="264" spans="1:8" x14ac:dyDescent="0.25">
      <c r="A264" s="50">
        <f>'A) Base RI'!A266</f>
        <v>5857</v>
      </c>
      <c r="B264" s="57" t="str">
        <f>'A) Base RI'!B266</f>
        <v>Gilly</v>
      </c>
      <c r="C264" s="32">
        <f>'B) D RI'!Y266</f>
        <v>359409.80000000005</v>
      </c>
      <c r="D264" s="14">
        <f>'B) D RI'!Z266</f>
        <v>85330</v>
      </c>
      <c r="E264" s="10">
        <f t="shared" si="12"/>
        <v>444739.80000000005</v>
      </c>
      <c r="F264" s="14">
        <f>'B) D RI'!U266</f>
        <v>89905.642121212135</v>
      </c>
      <c r="G264" s="265">
        <f t="shared" si="13"/>
        <v>4.9467395983935596</v>
      </c>
      <c r="H264" s="58">
        <f t="shared" si="14"/>
        <v>205303.90000000002</v>
      </c>
    </row>
    <row r="265" spans="1:8" x14ac:dyDescent="0.25">
      <c r="A265" s="50">
        <f>'A) Base RI'!A267</f>
        <v>5858</v>
      </c>
      <c r="B265" s="57" t="str">
        <f>'A) Base RI'!B267</f>
        <v>Luins</v>
      </c>
      <c r="C265" s="32">
        <f>'B) D RI'!Y267</f>
        <v>177968.65</v>
      </c>
      <c r="D265" s="14">
        <f>'B) D RI'!Z267</f>
        <v>7432.25</v>
      </c>
      <c r="E265" s="10">
        <f t="shared" si="12"/>
        <v>185400.9</v>
      </c>
      <c r="F265" s="14">
        <f>'B) D RI'!U267</f>
        <v>43824.152277777779</v>
      </c>
      <c r="G265" s="265">
        <f t="shared" si="13"/>
        <v>4.2305644345347106</v>
      </c>
      <c r="H265" s="58">
        <f t="shared" si="14"/>
        <v>91214</v>
      </c>
    </row>
    <row r="266" spans="1:8" x14ac:dyDescent="0.25">
      <c r="A266" s="50">
        <f>'A) Base RI'!A268</f>
        <v>5859</v>
      </c>
      <c r="B266" s="57" t="str">
        <f>'A) Base RI'!B268</f>
        <v>Mont-sur-Rolle</v>
      </c>
      <c r="C266" s="32">
        <f>'B) D RI'!Y268</f>
        <v>476091.25</v>
      </c>
      <c r="D266" s="14">
        <f>'B) D RI'!Z268</f>
        <v>71576.649999999994</v>
      </c>
      <c r="E266" s="10">
        <f t="shared" si="12"/>
        <v>547667.9</v>
      </c>
      <c r="F266" s="14">
        <f>'B) D RI'!U268</f>
        <v>142920.65553846155</v>
      </c>
      <c r="G266" s="265">
        <f t="shared" si="13"/>
        <v>3.8319716484410922</v>
      </c>
      <c r="H266" s="58">
        <f t="shared" si="14"/>
        <v>259518.62</v>
      </c>
    </row>
    <row r="267" spans="1:8" x14ac:dyDescent="0.25">
      <c r="A267" s="50">
        <f>'A) Base RI'!A269</f>
        <v>5860</v>
      </c>
      <c r="B267" s="57" t="str">
        <f>'A) Base RI'!B269</f>
        <v>Perroy</v>
      </c>
      <c r="C267" s="32">
        <f>'B) D RI'!Y269</f>
        <v>1101446.3999999999</v>
      </c>
      <c r="D267" s="14">
        <f>'B) D RI'!Z269</f>
        <v>18029.7</v>
      </c>
      <c r="E267" s="10">
        <f t="shared" si="12"/>
        <v>1119476.0999999999</v>
      </c>
      <c r="F267" s="14">
        <f>'B) D RI'!U269</f>
        <v>95739.614192307679</v>
      </c>
      <c r="G267" s="265">
        <f t="shared" si="13"/>
        <v>11.692924704619768</v>
      </c>
      <c r="H267" s="58">
        <f t="shared" si="14"/>
        <v>556132.11</v>
      </c>
    </row>
    <row r="268" spans="1:8" x14ac:dyDescent="0.25">
      <c r="A268" s="50">
        <f>'A) Base RI'!A270</f>
        <v>5861</v>
      </c>
      <c r="B268" s="57" t="str">
        <f>'A) Base RI'!B270</f>
        <v>Rolle</v>
      </c>
      <c r="C268" s="32">
        <f>'B) D RI'!Y270</f>
        <v>1513625.45</v>
      </c>
      <c r="D268" s="14">
        <f>'B) D RI'!Z270</f>
        <v>813428.4</v>
      </c>
      <c r="E268" s="10">
        <f t="shared" si="12"/>
        <v>2327053.85</v>
      </c>
      <c r="F268" s="14">
        <f>'B) D RI'!U270</f>
        <v>654027.21747899149</v>
      </c>
      <c r="G268" s="265">
        <f t="shared" si="13"/>
        <v>3.558038240319485</v>
      </c>
      <c r="H268" s="58">
        <f t="shared" si="14"/>
        <v>1000841.245</v>
      </c>
    </row>
    <row r="269" spans="1:8" x14ac:dyDescent="0.25">
      <c r="A269" s="50">
        <f>'A) Base RI'!A271</f>
        <v>5862</v>
      </c>
      <c r="B269" s="57" t="str">
        <f>'A) Base RI'!B271</f>
        <v>Tartegnin</v>
      </c>
      <c r="C269" s="32">
        <f>'B) D RI'!Y271</f>
        <v>45796.4</v>
      </c>
      <c r="D269" s="14">
        <f>'B) D RI'!Z271</f>
        <v>5277.5</v>
      </c>
      <c r="E269" s="10">
        <f t="shared" si="12"/>
        <v>51073.9</v>
      </c>
      <c r="F269" s="14">
        <f>'B) D RI'!U271</f>
        <v>12310.23827160494</v>
      </c>
      <c r="G269" s="265">
        <f t="shared" si="13"/>
        <v>4.1488961361380108</v>
      </c>
      <c r="H269" s="58">
        <f t="shared" si="14"/>
        <v>24481.45</v>
      </c>
    </row>
    <row r="270" spans="1:8" x14ac:dyDescent="0.25">
      <c r="A270" s="50">
        <f>'A) Base RI'!A272</f>
        <v>5863</v>
      </c>
      <c r="B270" s="57" t="str">
        <f>'A) Base RI'!B272</f>
        <v>Vinzel</v>
      </c>
      <c r="C270" s="32">
        <f>'B) D RI'!Y272</f>
        <v>55838</v>
      </c>
      <c r="D270" s="14">
        <f>'B) D RI'!Z272</f>
        <v>19069.650000000001</v>
      </c>
      <c r="E270" s="10">
        <f t="shared" si="12"/>
        <v>74907.649999999994</v>
      </c>
      <c r="F270" s="14">
        <f>'B) D RI'!U272</f>
        <v>22498.98940298508</v>
      </c>
      <c r="G270" s="265">
        <f t="shared" si="13"/>
        <v>3.3293784293289872</v>
      </c>
      <c r="H270" s="58">
        <f t="shared" si="14"/>
        <v>33639.895000000004</v>
      </c>
    </row>
    <row r="271" spans="1:8" x14ac:dyDescent="0.25">
      <c r="A271" s="50">
        <f>'A) Base RI'!A273</f>
        <v>5871</v>
      </c>
      <c r="B271" s="57" t="str">
        <f>'A) Base RI'!B273</f>
        <v>L'Abbaye</v>
      </c>
      <c r="C271" s="32">
        <f>'B) D RI'!Y273</f>
        <v>175808.95</v>
      </c>
      <c r="D271" s="14">
        <f>'B) D RI'!Z273</f>
        <v>637841.15</v>
      </c>
      <c r="E271" s="10">
        <f t="shared" si="12"/>
        <v>813650.10000000009</v>
      </c>
      <c r="F271" s="14">
        <f>'B) D RI'!U273</f>
        <v>44627.892122623205</v>
      </c>
      <c r="G271" s="265">
        <f t="shared" si="13"/>
        <v>18.231873864092645</v>
      </c>
      <c r="H271" s="58">
        <f t="shared" si="14"/>
        <v>279256.82</v>
      </c>
    </row>
    <row r="272" spans="1:8" x14ac:dyDescent="0.25">
      <c r="A272" s="50">
        <f>'A) Base RI'!A274</f>
        <v>5872</v>
      </c>
      <c r="B272" s="57" t="str">
        <f>'A) Base RI'!B274</f>
        <v>Le Chenit</v>
      </c>
      <c r="C272" s="32">
        <f>'B) D RI'!Y274</f>
        <v>987676.45</v>
      </c>
      <c r="D272" s="14">
        <f>'B) D RI'!Z274</f>
        <v>6604922.2999999998</v>
      </c>
      <c r="E272" s="10">
        <f t="shared" si="12"/>
        <v>7592598.75</v>
      </c>
      <c r="F272" s="14">
        <f>'B) D RI'!U274</f>
        <v>195855.08877191509</v>
      </c>
      <c r="G272" s="265">
        <f t="shared" si="13"/>
        <v>38.766410398669976</v>
      </c>
      <c r="H272" s="58">
        <f t="shared" si="14"/>
        <v>2475314.915</v>
      </c>
    </row>
    <row r="273" spans="1:8" x14ac:dyDescent="0.25">
      <c r="A273" s="50">
        <f>'A) Base RI'!A275</f>
        <v>5873</v>
      </c>
      <c r="B273" s="57" t="str">
        <f>'A) Base RI'!B275</f>
        <v>Le Lieu</v>
      </c>
      <c r="C273" s="32">
        <f>'B) D RI'!Y275</f>
        <v>128914.65</v>
      </c>
      <c r="D273" s="14">
        <f>'B) D RI'!Z275</f>
        <v>740316.8</v>
      </c>
      <c r="E273" s="10">
        <f t="shared" si="12"/>
        <v>869231.45000000007</v>
      </c>
      <c r="F273" s="14">
        <f>'B) D RI'!U275</f>
        <v>31663.23595238095</v>
      </c>
      <c r="G273" s="265">
        <f t="shared" si="13"/>
        <v>27.452388356870937</v>
      </c>
      <c r="H273" s="58">
        <f t="shared" si="14"/>
        <v>286552.36499999999</v>
      </c>
    </row>
    <row r="274" spans="1:8" x14ac:dyDescent="0.25">
      <c r="A274" s="50">
        <f>'A) Base RI'!A276</f>
        <v>5881</v>
      </c>
      <c r="B274" s="57" t="str">
        <f>'A) Base RI'!B276</f>
        <v>Blonay</v>
      </c>
      <c r="C274" s="32">
        <f>'B) D RI'!Y276</f>
        <v>1345702.35</v>
      </c>
      <c r="D274" s="14">
        <f>'B) D RI'!Z276</f>
        <v>85521.8</v>
      </c>
      <c r="E274" s="10">
        <f t="shared" si="12"/>
        <v>1431224.1500000001</v>
      </c>
      <c r="F274" s="14">
        <f>'B) D RI'!U276</f>
        <v>333471.52885714278</v>
      </c>
      <c r="G274" s="265">
        <f t="shared" si="13"/>
        <v>4.2918930887593945</v>
      </c>
      <c r="H274" s="58">
        <f t="shared" si="14"/>
        <v>698507.71500000008</v>
      </c>
    </row>
    <row r="275" spans="1:8" x14ac:dyDescent="0.25">
      <c r="A275" s="50">
        <f>'A) Base RI'!A277</f>
        <v>5882</v>
      </c>
      <c r="B275" s="57" t="str">
        <f>'A) Base RI'!B277</f>
        <v>Chardonne</v>
      </c>
      <c r="C275" s="32">
        <f>'B) D RI'!Y277</f>
        <v>1880478.9</v>
      </c>
      <c r="D275" s="14">
        <f>'B) D RI'!Z277</f>
        <v>16142.55</v>
      </c>
      <c r="E275" s="10">
        <f t="shared" si="12"/>
        <v>1896621.45</v>
      </c>
      <c r="F275" s="14">
        <f>'B) D RI'!U277</f>
        <v>161419.68117647059</v>
      </c>
      <c r="G275" s="265">
        <f t="shared" si="13"/>
        <v>11.749629513432973</v>
      </c>
      <c r="H275" s="58">
        <f t="shared" si="14"/>
        <v>945082.21499999997</v>
      </c>
    </row>
    <row r="276" spans="1:8" x14ac:dyDescent="0.25">
      <c r="A276" s="50">
        <f>'A) Base RI'!A278</f>
        <v>5883</v>
      </c>
      <c r="B276" s="57" t="str">
        <f>'A) Base RI'!B278</f>
        <v>Corseaux</v>
      </c>
      <c r="C276" s="32">
        <f>'B) D RI'!Y278</f>
        <v>3486223.55</v>
      </c>
      <c r="D276" s="14">
        <f>'B) D RI'!Z278</f>
        <v>3596.1</v>
      </c>
      <c r="E276" s="10">
        <f t="shared" si="12"/>
        <v>3489819.65</v>
      </c>
      <c r="F276" s="14">
        <f>'B) D RI'!U278</f>
        <v>156359.79318840581</v>
      </c>
      <c r="G276" s="265">
        <f t="shared" si="13"/>
        <v>22.319162611036074</v>
      </c>
      <c r="H276" s="58">
        <f t="shared" si="14"/>
        <v>1744190.605</v>
      </c>
    </row>
    <row r="277" spans="1:8" x14ac:dyDescent="0.25">
      <c r="A277" s="50">
        <f>'A) Base RI'!A279</f>
        <v>5884</v>
      </c>
      <c r="B277" s="57" t="str">
        <f>'A) Base RI'!B279</f>
        <v>Corsier-sur-Vevey</v>
      </c>
      <c r="C277" s="32">
        <f>'B) D RI'!Y279</f>
        <v>566493</v>
      </c>
      <c r="D277" s="14">
        <f>'B) D RI'!Z279</f>
        <v>423155.85</v>
      </c>
      <c r="E277" s="10">
        <f t="shared" si="12"/>
        <v>989648.85</v>
      </c>
      <c r="F277" s="14">
        <f>'B) D RI'!U279</f>
        <v>119111.03626262626</v>
      </c>
      <c r="G277" s="265">
        <f t="shared" si="13"/>
        <v>8.3086242975666593</v>
      </c>
      <c r="H277" s="58">
        <f t="shared" si="14"/>
        <v>410193.255</v>
      </c>
    </row>
    <row r="278" spans="1:8" x14ac:dyDescent="0.25">
      <c r="A278" s="50">
        <f>'A) Base RI'!A280</f>
        <v>5885</v>
      </c>
      <c r="B278" s="57" t="str">
        <f>'A) Base RI'!B280</f>
        <v>Jongny</v>
      </c>
      <c r="C278" s="32">
        <f>'B) D RI'!Y280</f>
        <v>1261651.75</v>
      </c>
      <c r="D278" s="14">
        <f>'B) D RI'!Z280</f>
        <v>1646.75</v>
      </c>
      <c r="E278" s="10">
        <f t="shared" si="12"/>
        <v>1263298.5</v>
      </c>
      <c r="F278" s="14">
        <f>'B) D RI'!U280</f>
        <v>83805.46166666667</v>
      </c>
      <c r="G278" s="265">
        <f t="shared" si="13"/>
        <v>15.074178637959495</v>
      </c>
      <c r="H278" s="58">
        <f t="shared" si="14"/>
        <v>631319.9</v>
      </c>
    </row>
    <row r="279" spans="1:8" x14ac:dyDescent="0.25">
      <c r="A279" s="50">
        <f>'A) Base RI'!A281</f>
        <v>5886</v>
      </c>
      <c r="B279" s="57" t="str">
        <f>'A) Base RI'!B281</f>
        <v>Montreux</v>
      </c>
      <c r="C279" s="32">
        <f>'B) D RI'!Y281</f>
        <v>23429848.600000001</v>
      </c>
      <c r="D279" s="14">
        <f>'B) D RI'!Z281</f>
        <v>935037.7</v>
      </c>
      <c r="E279" s="10">
        <f t="shared" si="12"/>
        <v>24364886.300000001</v>
      </c>
      <c r="F279" s="14">
        <f>'B) D RI'!U281</f>
        <v>1120949.2064615386</v>
      </c>
      <c r="G279" s="265">
        <f t="shared" si="13"/>
        <v>21.735941432093782</v>
      </c>
      <c r="H279" s="58">
        <f t="shared" si="14"/>
        <v>11995435.610000001</v>
      </c>
    </row>
    <row r="280" spans="1:8" x14ac:dyDescent="0.25">
      <c r="A280" s="50">
        <f>'A) Base RI'!A282</f>
        <v>5888</v>
      </c>
      <c r="B280" s="57" t="str">
        <f>'A) Base RI'!B282</f>
        <v>Saint-Légier-La Chiésaz</v>
      </c>
      <c r="C280" s="32">
        <f>'B) D RI'!Y282</f>
        <v>1843069.45</v>
      </c>
      <c r="D280" s="14">
        <f>'B) D RI'!Z282</f>
        <v>196987.95</v>
      </c>
      <c r="E280" s="10">
        <f t="shared" si="12"/>
        <v>2040057.4</v>
      </c>
      <c r="F280" s="14">
        <f>'B) D RI'!U282</f>
        <v>318719.43035714288</v>
      </c>
      <c r="G280" s="265">
        <f t="shared" si="13"/>
        <v>6.4007939450506735</v>
      </c>
      <c r="H280" s="58">
        <f t="shared" si="14"/>
        <v>980631.11</v>
      </c>
    </row>
    <row r="281" spans="1:8" x14ac:dyDescent="0.25">
      <c r="A281" s="50">
        <f>'A) Base RI'!A283</f>
        <v>5889</v>
      </c>
      <c r="B281" s="57" t="str">
        <f>'A) Base RI'!B283</f>
        <v>La Tour-de-Peilz</v>
      </c>
      <c r="C281" s="32">
        <f>'B) D RI'!Y283</f>
        <v>8139162.4500000002</v>
      </c>
      <c r="D281" s="14">
        <f>'B) D RI'!Z283</f>
        <v>131618.15</v>
      </c>
      <c r="E281" s="10">
        <f t="shared" si="12"/>
        <v>8270780.6000000006</v>
      </c>
      <c r="F281" s="14">
        <f>'B) D RI'!U283</f>
        <v>645590.04875000007</v>
      </c>
      <c r="G281" s="265">
        <f t="shared" si="13"/>
        <v>12.811195922263662</v>
      </c>
      <c r="H281" s="58">
        <f t="shared" si="14"/>
        <v>4109066.67</v>
      </c>
    </row>
    <row r="282" spans="1:8" x14ac:dyDescent="0.25">
      <c r="A282" s="50">
        <f>'A) Base RI'!A284</f>
        <v>5890</v>
      </c>
      <c r="B282" s="57" t="str">
        <f>'A) Base RI'!B284</f>
        <v>Vevey</v>
      </c>
      <c r="C282" s="32">
        <f>'B) D RI'!Y284</f>
        <v>7117298.25</v>
      </c>
      <c r="D282" s="14">
        <f>'B) D RI'!Z284</f>
        <v>845604.05</v>
      </c>
      <c r="E282" s="10">
        <f t="shared" si="12"/>
        <v>7962902.2999999998</v>
      </c>
      <c r="F282" s="14">
        <f>'B) D RI'!U284</f>
        <v>923815.49078947364</v>
      </c>
      <c r="G282" s="265">
        <f t="shared" si="13"/>
        <v>8.6195808355573984</v>
      </c>
      <c r="H282" s="58">
        <f t="shared" si="14"/>
        <v>3812330.34</v>
      </c>
    </row>
    <row r="283" spans="1:8" x14ac:dyDescent="0.25">
      <c r="A283" s="50">
        <f>'A) Base RI'!A285</f>
        <v>5891</v>
      </c>
      <c r="B283" s="57" t="str">
        <f>'A) Base RI'!B285</f>
        <v>Veytaux</v>
      </c>
      <c r="C283" s="32">
        <f>'B) D RI'!Y285</f>
        <v>868594.39999999991</v>
      </c>
      <c r="D283" s="14">
        <f>'B) D RI'!Z285</f>
        <v>0</v>
      </c>
      <c r="E283" s="10">
        <f t="shared" si="12"/>
        <v>868594.39999999991</v>
      </c>
      <c r="F283" s="14">
        <f>'B) D RI'!U285</f>
        <v>37468.229154929577</v>
      </c>
      <c r="G283" s="265">
        <f t="shared" si="13"/>
        <v>23.182157779819217</v>
      </c>
      <c r="H283" s="58">
        <f t="shared" si="14"/>
        <v>434297.19999999995</v>
      </c>
    </row>
    <row r="284" spans="1:8" x14ac:dyDescent="0.25">
      <c r="A284" s="50">
        <f>'A) Base RI'!A286</f>
        <v>5902</v>
      </c>
      <c r="B284" s="57" t="str">
        <f>'A) Base RI'!B286</f>
        <v>Belmont-sur-Yverdon</v>
      </c>
      <c r="C284" s="32">
        <f>'B) D RI'!Y286</f>
        <v>1273.9000000000001</v>
      </c>
      <c r="D284" s="14">
        <f>'B) D RI'!Z286</f>
        <v>0</v>
      </c>
      <c r="E284" s="10">
        <f t="shared" si="12"/>
        <v>1273.9000000000001</v>
      </c>
      <c r="F284" s="14">
        <f>'B) D RI'!U286</f>
        <v>10322.452500000001</v>
      </c>
      <c r="G284" s="265">
        <f t="shared" si="13"/>
        <v>0.12341059452683362</v>
      </c>
      <c r="H284" s="58">
        <f t="shared" si="14"/>
        <v>636.95000000000005</v>
      </c>
    </row>
    <row r="285" spans="1:8" x14ac:dyDescent="0.25">
      <c r="A285" s="50">
        <f>'A) Base RI'!A287</f>
        <v>5903</v>
      </c>
      <c r="B285" s="57" t="str">
        <f>'A) Base RI'!B287</f>
        <v>Bioley-Magnoux</v>
      </c>
      <c r="C285" s="32">
        <f>'B) D RI'!Y287</f>
        <v>14557.5</v>
      </c>
      <c r="D285" s="14">
        <f>'B) D RI'!Z287</f>
        <v>28151.35</v>
      </c>
      <c r="E285" s="10">
        <f t="shared" si="12"/>
        <v>42708.85</v>
      </c>
      <c r="F285" s="14">
        <f>'B) D RI'!U287</f>
        <v>5492.9202895752896</v>
      </c>
      <c r="G285" s="265">
        <f t="shared" si="13"/>
        <v>7.7752539174935356</v>
      </c>
      <c r="H285" s="58">
        <f t="shared" si="14"/>
        <v>15724.154999999999</v>
      </c>
    </row>
    <row r="286" spans="1:8" x14ac:dyDescent="0.25">
      <c r="A286" s="50">
        <f>'A) Base RI'!A288</f>
        <v>5904</v>
      </c>
      <c r="B286" s="57" t="str">
        <f>'A) Base RI'!B288</f>
        <v>Chamblon</v>
      </c>
      <c r="C286" s="32">
        <f>'B) D RI'!Y288</f>
        <v>49664.7</v>
      </c>
      <c r="D286" s="14">
        <f>'B) D RI'!Z288</f>
        <v>32246.1</v>
      </c>
      <c r="E286" s="10">
        <f t="shared" si="12"/>
        <v>81910.799999999988</v>
      </c>
      <c r="F286" s="14">
        <f>'B) D RI'!U288</f>
        <v>20041.272272727278</v>
      </c>
      <c r="G286" s="265">
        <f t="shared" si="13"/>
        <v>4.0871057927528129</v>
      </c>
      <c r="H286" s="58">
        <f t="shared" si="14"/>
        <v>34506.18</v>
      </c>
    </row>
    <row r="287" spans="1:8" x14ac:dyDescent="0.25">
      <c r="A287" s="50">
        <f>'A) Base RI'!A289</f>
        <v>5905</v>
      </c>
      <c r="B287" s="57" t="str">
        <f>'A) Base RI'!B289</f>
        <v>Champvent</v>
      </c>
      <c r="C287" s="32">
        <f>'B) D RI'!Y289</f>
        <v>13984.55</v>
      </c>
      <c r="D287" s="14">
        <f>'B) D RI'!Z289</f>
        <v>111915.7</v>
      </c>
      <c r="E287" s="10">
        <f t="shared" si="12"/>
        <v>125900.25</v>
      </c>
      <c r="F287" s="14">
        <f>'B) D RI'!U289</f>
        <v>24102.36943661972</v>
      </c>
      <c r="G287" s="265">
        <f t="shared" si="13"/>
        <v>5.2235631990900684</v>
      </c>
      <c r="H287" s="58">
        <f t="shared" si="14"/>
        <v>40566.985000000001</v>
      </c>
    </row>
    <row r="288" spans="1:8" x14ac:dyDescent="0.25">
      <c r="A288" s="50">
        <f>'A) Base RI'!A290</f>
        <v>5907</v>
      </c>
      <c r="B288" s="57" t="str">
        <f>'A) Base RI'!B290</f>
        <v>Chavannes-le-Chêne</v>
      </c>
      <c r="C288" s="32">
        <f>'B) D RI'!Y290</f>
        <v>10760.65</v>
      </c>
      <c r="D288" s="14">
        <f>'B) D RI'!Z290</f>
        <v>9747.75</v>
      </c>
      <c r="E288" s="10">
        <f t="shared" si="12"/>
        <v>20508.400000000001</v>
      </c>
      <c r="F288" s="14">
        <f>'B) D RI'!U290</f>
        <v>8071.0708974358949</v>
      </c>
      <c r="G288" s="265">
        <f t="shared" si="13"/>
        <v>2.5409763166019683</v>
      </c>
      <c r="H288" s="58">
        <f t="shared" si="14"/>
        <v>8304.65</v>
      </c>
    </row>
    <row r="289" spans="1:8" x14ac:dyDescent="0.25">
      <c r="A289" s="50">
        <f>'A) Base RI'!A291</f>
        <v>5908</v>
      </c>
      <c r="B289" s="57" t="str">
        <f>'A) Base RI'!B291</f>
        <v>Chêne-Pâquier</v>
      </c>
      <c r="C289" s="32">
        <f>'B) D RI'!Y291</f>
        <v>79819.900000000009</v>
      </c>
      <c r="D289" s="14">
        <f>'B) D RI'!Z291</f>
        <v>297.45</v>
      </c>
      <c r="E289" s="10">
        <f t="shared" si="12"/>
        <v>80117.350000000006</v>
      </c>
      <c r="F289" s="14">
        <f>'B) D RI'!U291</f>
        <v>3125.58</v>
      </c>
      <c r="G289" s="265">
        <f t="shared" si="13"/>
        <v>25.632794553330903</v>
      </c>
      <c r="H289" s="58">
        <f t="shared" si="14"/>
        <v>39999.185000000005</v>
      </c>
    </row>
    <row r="290" spans="1:8" x14ac:dyDescent="0.25">
      <c r="A290" s="50">
        <f>'A) Base RI'!A292</f>
        <v>5909</v>
      </c>
      <c r="B290" s="57" t="str">
        <f>'A) Base RI'!B292</f>
        <v>Cheseaux-Noréaz</v>
      </c>
      <c r="C290" s="32">
        <f>'B) D RI'!Y292</f>
        <v>173519.05</v>
      </c>
      <c r="D290" s="14">
        <f>'B) D RI'!Z292</f>
        <v>8427.9</v>
      </c>
      <c r="E290" s="10">
        <f t="shared" si="12"/>
        <v>181946.94999999998</v>
      </c>
      <c r="F290" s="14">
        <f>'B) D RI'!U292</f>
        <v>32763.333428571434</v>
      </c>
      <c r="G290" s="265">
        <f t="shared" si="13"/>
        <v>5.5533711304641615</v>
      </c>
      <c r="H290" s="58">
        <f t="shared" si="14"/>
        <v>89287.89499999999</v>
      </c>
    </row>
    <row r="291" spans="1:8" x14ac:dyDescent="0.25">
      <c r="A291" s="50">
        <f>'A) Base RI'!A293</f>
        <v>5910</v>
      </c>
      <c r="B291" s="57" t="str">
        <f>'A) Base RI'!B293</f>
        <v>Cronay</v>
      </c>
      <c r="C291" s="32">
        <f>'B) D RI'!Y293</f>
        <v>27866.400000000001</v>
      </c>
      <c r="D291" s="14">
        <f>'B) D RI'!Z293</f>
        <v>0</v>
      </c>
      <c r="E291" s="10">
        <f t="shared" si="12"/>
        <v>27866.400000000001</v>
      </c>
      <c r="F291" s="14">
        <f>'B) D RI'!U293</f>
        <v>9653.2049367088639</v>
      </c>
      <c r="G291" s="265">
        <f t="shared" si="13"/>
        <v>2.8867511031523478</v>
      </c>
      <c r="H291" s="58">
        <f t="shared" si="14"/>
        <v>13933.2</v>
      </c>
    </row>
    <row r="292" spans="1:8" x14ac:dyDescent="0.25">
      <c r="A292" s="50">
        <f>'A) Base RI'!A294</f>
        <v>5911</v>
      </c>
      <c r="B292" s="57" t="str">
        <f>'A) Base RI'!B294</f>
        <v>Cuarny</v>
      </c>
      <c r="C292" s="32">
        <f>'B) D RI'!Y294</f>
        <v>55911.95</v>
      </c>
      <c r="D292" s="14">
        <f>'B) D RI'!Z294</f>
        <v>2766.6</v>
      </c>
      <c r="E292" s="10">
        <f t="shared" si="12"/>
        <v>58678.549999999996</v>
      </c>
      <c r="F292" s="14">
        <f>'B) D RI'!U294</f>
        <v>6896.824556962024</v>
      </c>
      <c r="G292" s="265">
        <f t="shared" si="13"/>
        <v>8.5080531649549833</v>
      </c>
      <c r="H292" s="58">
        <f t="shared" si="14"/>
        <v>28785.954999999998</v>
      </c>
    </row>
    <row r="293" spans="1:8" x14ac:dyDescent="0.25">
      <c r="A293" s="50">
        <f>'A) Base RI'!A295</f>
        <v>5912</v>
      </c>
      <c r="B293" s="57" t="str">
        <f>'A) Base RI'!B295</f>
        <v>Démoret</v>
      </c>
      <c r="C293" s="32">
        <f>'B) D RI'!Y295</f>
        <v>0</v>
      </c>
      <c r="D293" s="14">
        <f>'B) D RI'!Z295</f>
        <v>0</v>
      </c>
      <c r="E293" s="10">
        <f t="shared" si="12"/>
        <v>0</v>
      </c>
      <c r="F293" s="14">
        <f>'B) D RI'!U295</f>
        <v>3136.4120987654323</v>
      </c>
      <c r="G293" s="265">
        <f t="shared" si="13"/>
        <v>0</v>
      </c>
      <c r="H293" s="58">
        <f t="shared" si="14"/>
        <v>0</v>
      </c>
    </row>
    <row r="294" spans="1:8" x14ac:dyDescent="0.25">
      <c r="A294" s="50">
        <f>'A) Base RI'!A296</f>
        <v>5913</v>
      </c>
      <c r="B294" s="57" t="str">
        <f>'A) Base RI'!B296</f>
        <v>Donneloye</v>
      </c>
      <c r="C294" s="32">
        <f>'B) D RI'!Y296</f>
        <v>147232.5</v>
      </c>
      <c r="D294" s="14">
        <f>'B) D RI'!Z296</f>
        <v>22459.05</v>
      </c>
      <c r="E294" s="10">
        <f t="shared" si="12"/>
        <v>169691.55</v>
      </c>
      <c r="F294" s="14">
        <f>'B) D RI'!U296</f>
        <v>20372.909452054791</v>
      </c>
      <c r="G294" s="265">
        <f t="shared" si="13"/>
        <v>8.3292742452593131</v>
      </c>
      <c r="H294" s="58">
        <f t="shared" si="14"/>
        <v>80353.964999999997</v>
      </c>
    </row>
    <row r="295" spans="1:8" x14ac:dyDescent="0.25">
      <c r="A295" s="50">
        <f>'A) Base RI'!A297</f>
        <v>5914</v>
      </c>
      <c r="B295" s="57" t="str">
        <f>'A) Base RI'!B297</f>
        <v>Ependes</v>
      </c>
      <c r="C295" s="32">
        <f>'B) D RI'!Y297</f>
        <v>37790.399999999994</v>
      </c>
      <c r="D295" s="14">
        <f>'B) D RI'!Z297</f>
        <v>12.4</v>
      </c>
      <c r="E295" s="10">
        <f t="shared" si="12"/>
        <v>37802.799999999996</v>
      </c>
      <c r="F295" s="14">
        <f>'B) D RI'!U297</f>
        <v>9355.5792000000001</v>
      </c>
      <c r="G295" s="265">
        <f t="shared" si="13"/>
        <v>4.0406691228694847</v>
      </c>
      <c r="H295" s="58">
        <f t="shared" si="14"/>
        <v>18898.919999999998</v>
      </c>
    </row>
    <row r="296" spans="1:8" x14ac:dyDescent="0.25">
      <c r="A296" s="50">
        <f>'A) Base RI'!A298</f>
        <v>5919</v>
      </c>
      <c r="B296" s="57" t="str">
        <f>'A) Base RI'!B298</f>
        <v>Mathod</v>
      </c>
      <c r="C296" s="32">
        <f>'B) D RI'!Y298</f>
        <v>209855.25</v>
      </c>
      <c r="D296" s="14">
        <f>'B) D RI'!Z298</f>
        <v>8139.8</v>
      </c>
      <c r="E296" s="10">
        <f t="shared" si="12"/>
        <v>217995.05</v>
      </c>
      <c r="F296" s="14">
        <f>'B) D RI'!U298</f>
        <v>17162.928379629626</v>
      </c>
      <c r="G296" s="265">
        <f t="shared" si="13"/>
        <v>12.701506711333389</v>
      </c>
      <c r="H296" s="58">
        <f t="shared" si="14"/>
        <v>107369.565</v>
      </c>
    </row>
    <row r="297" spans="1:8" x14ac:dyDescent="0.25">
      <c r="A297" s="50">
        <f>'A) Base RI'!A299</f>
        <v>5921</v>
      </c>
      <c r="B297" s="57" t="str">
        <f>'A) Base RI'!B299</f>
        <v>Molondin</v>
      </c>
      <c r="C297" s="32">
        <f>'B) D RI'!Y299</f>
        <v>21793.8</v>
      </c>
      <c r="D297" s="14">
        <f>'B) D RI'!Z299</f>
        <v>0</v>
      </c>
      <c r="E297" s="10">
        <f t="shared" si="12"/>
        <v>21793.8</v>
      </c>
      <c r="F297" s="14">
        <f>'B) D RI'!U299</f>
        <v>5558.427777777777</v>
      </c>
      <c r="G297" s="265">
        <f t="shared" si="13"/>
        <v>3.9208569169739249</v>
      </c>
      <c r="H297" s="58">
        <f t="shared" si="14"/>
        <v>10896.9</v>
      </c>
    </row>
    <row r="298" spans="1:8" x14ac:dyDescent="0.25">
      <c r="A298" s="50">
        <f>'A) Base RI'!A300</f>
        <v>5922</v>
      </c>
      <c r="B298" s="57" t="str">
        <f>'A) Base RI'!B300</f>
        <v>Montagny-près-Yverdon</v>
      </c>
      <c r="C298" s="32">
        <f>'B) D RI'!Y300</f>
        <v>373119.7</v>
      </c>
      <c r="D298" s="14">
        <f>'B) D RI'!Z300</f>
        <v>185044.2</v>
      </c>
      <c r="E298" s="10">
        <f t="shared" si="12"/>
        <v>558163.9</v>
      </c>
      <c r="F298" s="14">
        <f>'B) D RI'!U300</f>
        <v>39297.928807692319</v>
      </c>
      <c r="G298" s="265">
        <f t="shared" si="13"/>
        <v>14.203392314425054</v>
      </c>
      <c r="H298" s="58">
        <f t="shared" si="14"/>
        <v>242073.11000000002</v>
      </c>
    </row>
    <row r="299" spans="1:8" x14ac:dyDescent="0.25">
      <c r="A299" s="50">
        <f>'A) Base RI'!A301</f>
        <v>5923</v>
      </c>
      <c r="B299" s="57" t="str">
        <f>'A) Base RI'!B301</f>
        <v>Oppens</v>
      </c>
      <c r="C299" s="32">
        <f>'B) D RI'!Y301</f>
        <v>16481.2</v>
      </c>
      <c r="D299" s="14">
        <f>'B) D RI'!Z301</f>
        <v>28113.25</v>
      </c>
      <c r="E299" s="10">
        <f t="shared" si="12"/>
        <v>44594.45</v>
      </c>
      <c r="F299" s="14">
        <f>'B) D RI'!U301</f>
        <v>5148.3425925925922</v>
      </c>
      <c r="G299" s="265">
        <f t="shared" si="13"/>
        <v>8.6619041367142611</v>
      </c>
      <c r="H299" s="58">
        <f t="shared" si="14"/>
        <v>16674.575000000001</v>
      </c>
    </row>
    <row r="300" spans="1:8" x14ac:dyDescent="0.25">
      <c r="A300" s="50">
        <f>'A) Base RI'!A302</f>
        <v>5924</v>
      </c>
      <c r="B300" s="57" t="str">
        <f>'A) Base RI'!B302</f>
        <v>Orges</v>
      </c>
      <c r="C300" s="32">
        <f>'B) D RI'!Y302</f>
        <v>19738.7</v>
      </c>
      <c r="D300" s="14">
        <f>'B) D RI'!Z302</f>
        <v>39972.85</v>
      </c>
      <c r="E300" s="10">
        <f t="shared" si="12"/>
        <v>59711.55</v>
      </c>
      <c r="F300" s="14">
        <f>'B) D RI'!U302</f>
        <v>10554.565405405407</v>
      </c>
      <c r="G300" s="265">
        <f t="shared" si="13"/>
        <v>5.6574143706020692</v>
      </c>
      <c r="H300" s="58">
        <f t="shared" si="14"/>
        <v>21861.205000000002</v>
      </c>
    </row>
    <row r="301" spans="1:8" x14ac:dyDescent="0.25">
      <c r="A301" s="50">
        <f>'A) Base RI'!A303</f>
        <v>5925</v>
      </c>
      <c r="B301" s="57" t="str">
        <f>'A) Base RI'!B303</f>
        <v>Orzens</v>
      </c>
      <c r="C301" s="32">
        <f>'B) D RI'!Y303</f>
        <v>31726.1</v>
      </c>
      <c r="D301" s="14">
        <f>'B) D RI'!Z303</f>
        <v>31078.1</v>
      </c>
      <c r="E301" s="10">
        <f t="shared" si="12"/>
        <v>62804.2</v>
      </c>
      <c r="F301" s="14">
        <f>'B) D RI'!U303</f>
        <v>5593.0722784810123</v>
      </c>
      <c r="G301" s="265">
        <f t="shared" si="13"/>
        <v>11.228926942645661</v>
      </c>
      <c r="H301" s="58">
        <f t="shared" si="14"/>
        <v>25186.479999999996</v>
      </c>
    </row>
    <row r="302" spans="1:8" x14ac:dyDescent="0.25">
      <c r="A302" s="50">
        <f>'A) Base RI'!A304</f>
        <v>5926</v>
      </c>
      <c r="B302" s="57" t="str">
        <f>'A) Base RI'!B304</f>
        <v>Pomy</v>
      </c>
      <c r="C302" s="32">
        <f>'B) D RI'!Y304</f>
        <v>52029.599999999999</v>
      </c>
      <c r="D302" s="14">
        <f>'B) D RI'!Z304</f>
        <v>7673.7</v>
      </c>
      <c r="E302" s="10">
        <f t="shared" si="12"/>
        <v>59703.299999999996</v>
      </c>
      <c r="F302" s="14">
        <f>'B) D RI'!U304</f>
        <v>26612.015633802817</v>
      </c>
      <c r="G302" s="265">
        <f t="shared" si="13"/>
        <v>2.2434715514056869</v>
      </c>
      <c r="H302" s="58">
        <f t="shared" si="14"/>
        <v>28316.91</v>
      </c>
    </row>
    <row r="303" spans="1:8" x14ac:dyDescent="0.25">
      <c r="A303" s="50">
        <f>'A) Base RI'!A305</f>
        <v>5928</v>
      </c>
      <c r="B303" s="57" t="str">
        <f>'A) Base RI'!B305</f>
        <v>Rovray</v>
      </c>
      <c r="C303" s="32">
        <f>'B) D RI'!Y305</f>
        <v>26127.7</v>
      </c>
      <c r="D303" s="14">
        <f>'B) D RI'!Z305</f>
        <v>3919.1</v>
      </c>
      <c r="E303" s="10">
        <f t="shared" si="12"/>
        <v>30046.799999999999</v>
      </c>
      <c r="F303" s="14">
        <f>'B) D RI'!U305</f>
        <v>4333.9980821917816</v>
      </c>
      <c r="G303" s="265">
        <f t="shared" si="13"/>
        <v>6.9328134046623262</v>
      </c>
      <c r="H303" s="58">
        <f t="shared" si="14"/>
        <v>14239.58</v>
      </c>
    </row>
    <row r="304" spans="1:8" x14ac:dyDescent="0.25">
      <c r="A304" s="50">
        <f>'A) Base RI'!A306</f>
        <v>5929</v>
      </c>
      <c r="B304" s="57" t="str">
        <f>'A) Base RI'!B306</f>
        <v>Suchy</v>
      </c>
      <c r="C304" s="32">
        <f>'B) D RI'!Y306</f>
        <v>95382.85</v>
      </c>
      <c r="D304" s="14">
        <f>'B) D RI'!Z306</f>
        <v>3741.4</v>
      </c>
      <c r="E304" s="10">
        <f t="shared" si="12"/>
        <v>99124.25</v>
      </c>
      <c r="F304" s="14">
        <f>'B) D RI'!U306</f>
        <v>17148.792607142859</v>
      </c>
      <c r="G304" s="265">
        <f t="shared" si="13"/>
        <v>5.7802465905799405</v>
      </c>
      <c r="H304" s="58">
        <f t="shared" si="14"/>
        <v>48813.845000000001</v>
      </c>
    </row>
    <row r="305" spans="1:8" x14ac:dyDescent="0.25">
      <c r="A305" s="50">
        <f>'A) Base RI'!A307</f>
        <v>5930</v>
      </c>
      <c r="B305" s="57" t="str">
        <f>'A) Base RI'!B307</f>
        <v>Suscévaz</v>
      </c>
      <c r="C305" s="32">
        <f>'B) D RI'!Y307</f>
        <v>57062.899999999994</v>
      </c>
      <c r="D305" s="14">
        <f>'B) D RI'!Z307</f>
        <v>7063.35</v>
      </c>
      <c r="E305" s="10">
        <f t="shared" si="12"/>
        <v>64126.249999999993</v>
      </c>
      <c r="F305" s="14">
        <f>'B) D RI'!U307</f>
        <v>5907.1765277777777</v>
      </c>
      <c r="G305" s="265">
        <f t="shared" si="13"/>
        <v>10.855651544939299</v>
      </c>
      <c r="H305" s="58">
        <f t="shared" si="14"/>
        <v>30650.454999999998</v>
      </c>
    </row>
    <row r="306" spans="1:8" x14ac:dyDescent="0.25">
      <c r="A306" s="50">
        <f>'A) Base RI'!A308</f>
        <v>5931</v>
      </c>
      <c r="B306" s="57" t="str">
        <f>'A) Base RI'!B308</f>
        <v>Treycovagnes</v>
      </c>
      <c r="C306" s="32">
        <f>'B) D RI'!Y308</f>
        <v>64635.35</v>
      </c>
      <c r="D306" s="14">
        <f>'B) D RI'!Z308</f>
        <v>7347.25</v>
      </c>
      <c r="E306" s="10">
        <f t="shared" si="12"/>
        <v>71982.600000000006</v>
      </c>
      <c r="F306" s="14">
        <f>'B) D RI'!U308</f>
        <v>12973.060799999999</v>
      </c>
      <c r="G306" s="265">
        <f t="shared" si="13"/>
        <v>5.5486211858345724</v>
      </c>
      <c r="H306" s="58">
        <f t="shared" si="14"/>
        <v>34521.85</v>
      </c>
    </row>
    <row r="307" spans="1:8" x14ac:dyDescent="0.25">
      <c r="A307" s="50">
        <f>'A) Base RI'!A309</f>
        <v>5932</v>
      </c>
      <c r="B307" s="57" t="str">
        <f>'A) Base RI'!B309</f>
        <v>Ursins</v>
      </c>
      <c r="C307" s="32">
        <f>'B) D RI'!Y309</f>
        <v>47287.8</v>
      </c>
      <c r="D307" s="14">
        <f>'B) D RI'!Z309</f>
        <v>0</v>
      </c>
      <c r="E307" s="10">
        <f t="shared" si="12"/>
        <v>47287.8</v>
      </c>
      <c r="F307" s="14">
        <f>'B) D RI'!U309</f>
        <v>6683.323116883118</v>
      </c>
      <c r="G307" s="265">
        <f t="shared" si="13"/>
        <v>7.0754921126802373</v>
      </c>
      <c r="H307" s="58">
        <f t="shared" si="14"/>
        <v>23643.9</v>
      </c>
    </row>
    <row r="308" spans="1:8" x14ac:dyDescent="0.25">
      <c r="A308" s="50">
        <f>'A) Base RI'!A310</f>
        <v>5933</v>
      </c>
      <c r="B308" s="57" t="str">
        <f>'A) Base RI'!B310</f>
        <v>Valeyres-sous-Montagny</v>
      </c>
      <c r="C308" s="32">
        <f>'B) D RI'!Y310</f>
        <v>87033.200000000012</v>
      </c>
      <c r="D308" s="14">
        <f>'B) D RI'!Z310</f>
        <v>11134.15</v>
      </c>
      <c r="E308" s="10">
        <f t="shared" si="12"/>
        <v>98167.35</v>
      </c>
      <c r="F308" s="14">
        <f>'B) D RI'!U310</f>
        <v>22363.871527777774</v>
      </c>
      <c r="G308" s="265">
        <f t="shared" si="13"/>
        <v>4.3895507930309856</v>
      </c>
      <c r="H308" s="58">
        <f t="shared" si="14"/>
        <v>46856.845000000008</v>
      </c>
    </row>
    <row r="309" spans="1:8" x14ac:dyDescent="0.25">
      <c r="A309" s="50">
        <f>'A) Base RI'!A311</f>
        <v>5934</v>
      </c>
      <c r="B309" s="57" t="str">
        <f>'A) Base RI'!B311</f>
        <v>Valeyres-sous-Ursins</v>
      </c>
      <c r="C309" s="32">
        <f>'B) D RI'!Y311</f>
        <v>0</v>
      </c>
      <c r="D309" s="14">
        <f>'B) D RI'!Z311</f>
        <v>4685</v>
      </c>
      <c r="E309" s="10">
        <f t="shared" si="12"/>
        <v>4685</v>
      </c>
      <c r="F309" s="14">
        <f>'B) D RI'!U311</f>
        <v>7624.9658227848104</v>
      </c>
      <c r="G309" s="265">
        <f t="shared" si="13"/>
        <v>0.61442898353725761</v>
      </c>
      <c r="H309" s="58">
        <f t="shared" si="14"/>
        <v>1405.5</v>
      </c>
    </row>
    <row r="310" spans="1:8" x14ac:dyDescent="0.25">
      <c r="A310" s="50">
        <f>'A) Base RI'!A312</f>
        <v>5935</v>
      </c>
      <c r="B310" s="57" t="str">
        <f>'A) Base RI'!B312</f>
        <v>Villars-Epeney</v>
      </c>
      <c r="C310" s="32">
        <f>'B) D RI'!Y312</f>
        <v>13476.1</v>
      </c>
      <c r="D310" s="14">
        <f>'B) D RI'!Z312</f>
        <v>0</v>
      </c>
      <c r="E310" s="10">
        <f t="shared" si="12"/>
        <v>13476.1</v>
      </c>
      <c r="F310" s="14">
        <f>'B) D RI'!U312</f>
        <v>5603.6660000000002</v>
      </c>
      <c r="G310" s="265">
        <f t="shared" si="13"/>
        <v>2.4048720962312884</v>
      </c>
      <c r="H310" s="58">
        <f t="shared" si="14"/>
        <v>6738.05</v>
      </c>
    </row>
    <row r="311" spans="1:8" x14ac:dyDescent="0.25">
      <c r="A311" s="50">
        <f>'A) Base RI'!A313</f>
        <v>5937</v>
      </c>
      <c r="B311" s="57" t="str">
        <f>'A) Base RI'!B313</f>
        <v>Vugelles-La Mothe</v>
      </c>
      <c r="C311" s="32">
        <f>'B) D RI'!Y313</f>
        <v>18553</v>
      </c>
      <c r="D311" s="14">
        <f>'B) D RI'!Z313</f>
        <v>0</v>
      </c>
      <c r="E311" s="10">
        <f t="shared" si="12"/>
        <v>18553</v>
      </c>
      <c r="F311" s="14">
        <f>'B) D RI'!U313</f>
        <v>2433.2134081632657</v>
      </c>
      <c r="G311" s="265">
        <f t="shared" si="13"/>
        <v>7.6248963357492379</v>
      </c>
      <c r="H311" s="58">
        <f t="shared" si="14"/>
        <v>9276.5</v>
      </c>
    </row>
    <row r="312" spans="1:8" x14ac:dyDescent="0.25">
      <c r="A312" s="50">
        <f>'A) Base RI'!A314</f>
        <v>5938</v>
      </c>
      <c r="B312" s="57" t="str">
        <f>'A) Base RI'!B314</f>
        <v>Yverdon-les-Bains</v>
      </c>
      <c r="C312" s="32">
        <f>'B) D RI'!Y314</f>
        <v>4858532</v>
      </c>
      <c r="D312" s="14">
        <f>'B) D RI'!Z314</f>
        <v>3860310.2</v>
      </c>
      <c r="E312" s="10">
        <f t="shared" si="12"/>
        <v>8718842.1999999993</v>
      </c>
      <c r="F312" s="14">
        <f>'B) D RI'!U314</f>
        <v>774658.89816993475</v>
      </c>
      <c r="G312" s="265">
        <f t="shared" si="13"/>
        <v>11.255072678565387</v>
      </c>
      <c r="H312" s="58">
        <f t="shared" si="14"/>
        <v>3587359.06</v>
      </c>
    </row>
    <row r="313" spans="1:8" x14ac:dyDescent="0.25">
      <c r="A313" s="50">
        <f>'A) Base RI'!A315</f>
        <v>5939</v>
      </c>
      <c r="B313" s="57" t="str">
        <f>'A) Base RI'!B315</f>
        <v>Yvonand</v>
      </c>
      <c r="C313" s="32">
        <f>'B) D RI'!Y315</f>
        <v>632969.5</v>
      </c>
      <c r="D313" s="14">
        <f>'B) D RI'!Z315</f>
        <v>112928.8</v>
      </c>
      <c r="E313" s="10">
        <f t="shared" si="12"/>
        <v>745898.3</v>
      </c>
      <c r="F313" s="14">
        <f>'B) D RI'!U315</f>
        <v>93821.233287671232</v>
      </c>
      <c r="G313" s="265">
        <f t="shared" si="13"/>
        <v>7.9502077926534387</v>
      </c>
      <c r="H313" s="106">
        <f t="shared" si="14"/>
        <v>350363.39</v>
      </c>
    </row>
    <row r="314" spans="1:8" x14ac:dyDescent="0.25">
      <c r="A314" s="31"/>
      <c r="B314" s="125">
        <f>COUNTA(B5:B313)</f>
        <v>309</v>
      </c>
      <c r="C314" s="126">
        <f>SUM(C5:C313)</f>
        <v>261701083.09</v>
      </c>
      <c r="D314" s="11">
        <f>SUM(D5:D313)</f>
        <v>73716777.449999958</v>
      </c>
      <c r="E314" s="11">
        <f>SUM(E5:E313)</f>
        <v>335417860.54000014</v>
      </c>
      <c r="F314" s="11">
        <f>SUM(F5:F313)</f>
        <v>37017775.996768594</v>
      </c>
      <c r="G314" s="64">
        <f t="shared" ref="G314" si="15">E314/F314</f>
        <v>9.0609943873797256</v>
      </c>
      <c r="H314" s="267">
        <f>(C314*$C$4)+(D314*$D$4)</f>
        <v>152965574.78</v>
      </c>
    </row>
    <row r="316" spans="1:8" x14ac:dyDescent="0.25">
      <c r="G316" s="13"/>
    </row>
    <row r="317" spans="1:8" x14ac:dyDescent="0.25">
      <c r="G317" s="13"/>
    </row>
    <row r="318" spans="1:8" x14ac:dyDescent="0.25">
      <c r="G318" s="13"/>
    </row>
    <row r="319" spans="1:8" x14ac:dyDescent="0.25">
      <c r="G319" s="13"/>
    </row>
    <row r="320" spans="1:8" x14ac:dyDescent="0.25">
      <c r="G320" s="13"/>
    </row>
    <row r="321" spans="7:7" x14ac:dyDescent="0.25">
      <c r="G321" s="13"/>
    </row>
    <row r="322" spans="7:7" x14ac:dyDescent="0.25">
      <c r="G322" s="13"/>
    </row>
    <row r="323" spans="7:7" x14ac:dyDescent="0.25">
      <c r="G323" s="13"/>
    </row>
    <row r="324" spans="7:7" x14ac:dyDescent="0.25">
      <c r="G324" s="13"/>
    </row>
    <row r="325" spans="7:7" x14ac:dyDescent="0.25">
      <c r="G325" s="13"/>
    </row>
    <row r="326" spans="7:7" x14ac:dyDescent="0.25">
      <c r="G326" s="13"/>
    </row>
    <row r="327" spans="7:7" x14ac:dyDescent="0.25">
      <c r="G327" s="13"/>
    </row>
    <row r="328" spans="7:7" x14ac:dyDescent="0.25">
      <c r="G328" s="13"/>
    </row>
    <row r="329" spans="7:7" x14ac:dyDescent="0.25">
      <c r="G329" s="13"/>
    </row>
    <row r="330" spans="7:7" x14ac:dyDescent="0.25">
      <c r="G330" s="13"/>
    </row>
    <row r="331" spans="7:7" x14ac:dyDescent="0.25">
      <c r="G331" s="13"/>
    </row>
    <row r="332" spans="7:7" x14ac:dyDescent="0.25">
      <c r="G332" s="13"/>
    </row>
  </sheetData>
  <mergeCells count="6">
    <mergeCell ref="H3:H4"/>
    <mergeCell ref="G3:G4"/>
    <mergeCell ref="F3:F4"/>
    <mergeCell ref="E3:E4"/>
    <mergeCell ref="A3:A4"/>
    <mergeCell ref="B3:B4"/>
  </mergeCells>
  <phoneticPr fontId="10" type="noConversion"/>
  <printOptions horizontalCentered="1" verticalCentered="1"/>
  <pageMargins left="0" right="0" top="0" bottom="0" header="0.51181102362204722" footer="0.51181102362204722"/>
  <pageSetup paperSize="8" orientation="landscape" horizontalDpi="300" verticalDpi="300"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7">
    <tabColor rgb="FF00B050"/>
  </sheetPr>
  <dimension ref="A1:Y320"/>
  <sheetViews>
    <sheetView workbookViewId="0"/>
  </sheetViews>
  <sheetFormatPr baseColWidth="10" defaultColWidth="11" defaultRowHeight="15" x14ac:dyDescent="0.25"/>
  <cols>
    <col min="1" max="1" width="7.25" style="13" customWidth="1"/>
    <col min="2" max="2" width="18" style="13" customWidth="1"/>
    <col min="3" max="3" width="10.875" style="13" bestFit="1" customWidth="1"/>
    <col min="4" max="4" width="8.375" style="13" customWidth="1"/>
    <col min="5" max="5" width="7.625" style="13" bestFit="1" customWidth="1"/>
    <col min="6" max="6" width="8.875" style="62" customWidth="1"/>
    <col min="7" max="9" width="5.75" style="13" hidden="1" customWidth="1"/>
    <col min="10" max="10" width="6.5" style="13" hidden="1" customWidth="1"/>
    <col min="11" max="11" width="7.875" style="13" customWidth="1"/>
    <col min="12" max="12" width="10.75" style="12" bestFit="1" customWidth="1"/>
    <col min="13" max="13" width="10.875" style="12" bestFit="1" customWidth="1"/>
    <col min="14" max="14" width="10.875" style="13" bestFit="1" customWidth="1"/>
    <col min="15" max="16" width="11" style="13"/>
    <col min="17" max="17" width="11" style="6"/>
    <col min="18" max="18" width="11" style="13"/>
    <col min="19" max="23" width="11" style="15"/>
    <col min="24" max="24" width="11.25" style="15" bestFit="1" customWidth="1"/>
    <col min="25" max="25" width="11.25" style="13" bestFit="1" customWidth="1"/>
    <col min="26" max="16384" width="11" style="13"/>
  </cols>
  <sheetData>
    <row r="1" spans="1:25" ht="21" x14ac:dyDescent="0.25">
      <c r="A1" s="52" t="s">
        <v>225</v>
      </c>
      <c r="B1" s="43"/>
      <c r="C1" s="60"/>
      <c r="D1" s="44"/>
      <c r="E1" s="44"/>
      <c r="F1" s="61"/>
    </row>
    <row r="2" spans="1:25" x14ac:dyDescent="0.25">
      <c r="G2" s="71">
        <f>$E$314*G4</f>
        <v>55.515422122173149</v>
      </c>
      <c r="H2" s="71">
        <f>$E$314*H4</f>
        <v>69.39427765271644</v>
      </c>
      <c r="I2" s="71">
        <f>$E$314*I4</f>
        <v>92.525703536955248</v>
      </c>
      <c r="J2" s="71">
        <f>$E$314*J4</f>
        <v>138.78855530543288</v>
      </c>
    </row>
    <row r="3" spans="1:25" ht="60" customHeight="1" x14ac:dyDescent="0.25">
      <c r="A3" s="535" t="s">
        <v>50</v>
      </c>
      <c r="B3" s="535" t="s">
        <v>101</v>
      </c>
      <c r="C3" s="553" t="s">
        <v>311</v>
      </c>
      <c r="D3" s="554"/>
      <c r="E3" s="555"/>
      <c r="F3" s="552" t="s">
        <v>296</v>
      </c>
      <c r="G3" s="68">
        <f>Paramètres!B16</f>
        <v>0.36</v>
      </c>
      <c r="H3" s="68">
        <f>Paramètres!C16</f>
        <v>0.46</v>
      </c>
      <c r="I3" s="68">
        <f>Paramètres!D16</f>
        <v>0.56000000000000005</v>
      </c>
      <c r="J3" s="68">
        <f>Paramètres!E16</f>
        <v>0.66</v>
      </c>
      <c r="K3" s="552" t="s">
        <v>299</v>
      </c>
      <c r="L3" s="552" t="s">
        <v>312</v>
      </c>
      <c r="M3" s="275" t="s">
        <v>73</v>
      </c>
      <c r="N3" s="552" t="s">
        <v>535</v>
      </c>
      <c r="O3" s="552" t="s">
        <v>0</v>
      </c>
    </row>
    <row r="4" spans="1:25" ht="45" x14ac:dyDescent="0.25">
      <c r="A4" s="537"/>
      <c r="B4" s="537"/>
      <c r="C4" s="69" t="s">
        <v>376</v>
      </c>
      <c r="D4" s="69" t="s">
        <v>71</v>
      </c>
      <c r="E4" s="69" t="s">
        <v>72</v>
      </c>
      <c r="F4" s="552"/>
      <c r="G4" s="70">
        <f>Paramètres!B17</f>
        <v>1.2</v>
      </c>
      <c r="H4" s="70">
        <f>Paramètres!C17</f>
        <v>1.5</v>
      </c>
      <c r="I4" s="70">
        <f>Paramètres!D17</f>
        <v>2</v>
      </c>
      <c r="J4" s="70">
        <f>Paramètres!E17</f>
        <v>3</v>
      </c>
      <c r="K4" s="552"/>
      <c r="L4" s="552"/>
      <c r="M4" s="279">
        <f>+Paramètres!B20</f>
        <v>0.5</v>
      </c>
      <c r="N4" s="552"/>
      <c r="O4" s="552"/>
    </row>
    <row r="5" spans="1:25" x14ac:dyDescent="0.25">
      <c r="A5" s="109">
        <f>'A) Base RI'!A7</f>
        <v>5401</v>
      </c>
      <c r="B5" s="307" t="str">
        <f>'A) Base RI'!B7</f>
        <v>Aigle</v>
      </c>
      <c r="C5" s="304">
        <f>'B) D RI'!U7</f>
        <v>276325.40780246921</v>
      </c>
      <c r="D5" s="33">
        <f>'B) D RI'!AR7</f>
        <v>10134</v>
      </c>
      <c r="E5" s="210">
        <f>C5/D5</f>
        <v>27.267160825189382</v>
      </c>
      <c r="F5" s="63">
        <f t="shared" ref="F5" si="0">E5/$E$314</f>
        <v>0.58939645488453352</v>
      </c>
      <c r="G5" s="276">
        <f>IF(E5-$G$2&lt;0,0,E5-$G$2)</f>
        <v>0</v>
      </c>
      <c r="H5" s="276">
        <f>IF(E5-$H$2&lt;0,0,E5-$H$2)</f>
        <v>0</v>
      </c>
      <c r="I5" s="276">
        <f>IF(E5-$I$2&lt;0,0,E5-$I$2)</f>
        <v>0</v>
      </c>
      <c r="J5" s="276">
        <f>IF(E5-$J$2&lt;0,0,E5-$J$2)</f>
        <v>0</v>
      </c>
      <c r="K5" s="277">
        <f t="shared" ref="K5" si="1">(G5-H5)*$G$3+(H5-I5)*$H$3+(I5-J5)*$I$3+(J5*$J$3)</f>
        <v>0</v>
      </c>
      <c r="L5" s="58">
        <f>K5*D5*'B) D RI'!S7</f>
        <v>0</v>
      </c>
      <c r="M5" s="14">
        <f>(('B) D RI'!S7*C5)-(L5*$M$4))/'B) D RI'!S7</f>
        <v>276325.40780246921</v>
      </c>
      <c r="N5" s="266">
        <f t="shared" ref="N5" si="2">M5/D5</f>
        <v>27.267160825189382</v>
      </c>
      <c r="O5" s="63">
        <f t="shared" ref="O5" si="3">N5/N$314</f>
        <v>0.605085962255693</v>
      </c>
      <c r="R5" s="12"/>
    </row>
    <row r="6" spans="1:25" x14ac:dyDescent="0.25">
      <c r="A6" s="306">
        <f>'A) Base RI'!A8</f>
        <v>5402</v>
      </c>
      <c r="B6" s="33" t="str">
        <f>'A) Base RI'!B8</f>
        <v>Bex</v>
      </c>
      <c r="C6" s="304">
        <f>'B) D RI'!U8</f>
        <v>172586.81591549295</v>
      </c>
      <c r="D6" s="33">
        <f>'B) D RI'!AR8</f>
        <v>7757</v>
      </c>
      <c r="E6" s="210">
        <f t="shared" ref="E6:E69" si="4">C6/D6</f>
        <v>22.24917054473288</v>
      </c>
      <c r="F6" s="63">
        <f t="shared" ref="F6:F69" si="5">E6/$E$314</f>
        <v>0.4809295081089861</v>
      </c>
      <c r="G6" s="276">
        <f t="shared" ref="G6:G69" si="6">IF(E6-$G$2&lt;0,0,E6-$G$2)</f>
        <v>0</v>
      </c>
      <c r="H6" s="276">
        <f t="shared" ref="H6:H69" si="7">IF(E6-$H$2&lt;0,0,E6-$H$2)</f>
        <v>0</v>
      </c>
      <c r="I6" s="276">
        <f t="shared" ref="I6:I69" si="8">IF(E6-$I$2&lt;0,0,E6-$I$2)</f>
        <v>0</v>
      </c>
      <c r="J6" s="276">
        <f t="shared" ref="J6:J69" si="9">IF(E6-$J$2&lt;0,0,E6-$J$2)</f>
        <v>0</v>
      </c>
      <c r="K6" s="277">
        <f t="shared" ref="K6:K69" si="10">(G6-H6)*$G$3+(H6-I6)*$H$3+(I6-J6)*$I$3+(J6*$J$3)</f>
        <v>0</v>
      </c>
      <c r="L6" s="58">
        <f>K6*D6*'B) D RI'!S8</f>
        <v>0</v>
      </c>
      <c r="M6" s="472">
        <f>(('B) D RI'!S8*C6)-(L6*$M$4))/'B) D RI'!S8</f>
        <v>172586.81591549295</v>
      </c>
      <c r="N6" s="266">
        <f t="shared" ref="N6:N69" si="11">M6/D6</f>
        <v>22.24917054473288</v>
      </c>
      <c r="O6" s="63">
        <f t="shared" ref="O6:O69" si="12">N6/N$314</f>
        <v>0.49373166699533755</v>
      </c>
      <c r="R6" s="12"/>
    </row>
    <row r="7" spans="1:25" x14ac:dyDescent="0.25">
      <c r="A7" s="306">
        <f>'A) Base RI'!A9</f>
        <v>5403</v>
      </c>
      <c r="B7" s="33" t="str">
        <f>'A) Base RI'!B9</f>
        <v>Chessel</v>
      </c>
      <c r="C7" s="304">
        <f>'B) D RI'!U9</f>
        <v>10175.556621621625</v>
      </c>
      <c r="D7" s="33">
        <f>'B) D RI'!AR9</f>
        <v>426</v>
      </c>
      <c r="E7" s="210">
        <f t="shared" si="4"/>
        <v>23.886283149346536</v>
      </c>
      <c r="F7" s="63">
        <f t="shared" si="5"/>
        <v>0.51631670414278408</v>
      </c>
      <c r="G7" s="276">
        <f t="shared" si="6"/>
        <v>0</v>
      </c>
      <c r="H7" s="276">
        <f t="shared" si="7"/>
        <v>0</v>
      </c>
      <c r="I7" s="276">
        <f t="shared" si="8"/>
        <v>0</v>
      </c>
      <c r="J7" s="276">
        <f t="shared" si="9"/>
        <v>0</v>
      </c>
      <c r="K7" s="277">
        <f t="shared" si="10"/>
        <v>0</v>
      </c>
      <c r="L7" s="58">
        <f>K7*D7*'B) D RI'!S9</f>
        <v>0</v>
      </c>
      <c r="M7" s="472">
        <f>(('B) D RI'!S9*C7)-(L7*$M$4))/'B) D RI'!S9</f>
        <v>10175.556621621625</v>
      </c>
      <c r="N7" s="266">
        <f t="shared" si="11"/>
        <v>23.886283149346536</v>
      </c>
      <c r="O7" s="63">
        <f t="shared" si="12"/>
        <v>0.5300608566030971</v>
      </c>
      <c r="R7" s="12"/>
    </row>
    <row r="8" spans="1:25" x14ac:dyDescent="0.25">
      <c r="A8" s="306">
        <f>'A) Base RI'!A10</f>
        <v>5404</v>
      </c>
      <c r="B8" s="33" t="str">
        <f>'A) Base RI'!B10</f>
        <v>Corbeyrier</v>
      </c>
      <c r="C8" s="304">
        <f>'B) D RI'!U10</f>
        <v>12084.741666666667</v>
      </c>
      <c r="D8" s="33">
        <f>'B) D RI'!AR10</f>
        <v>438</v>
      </c>
      <c r="E8" s="210">
        <f t="shared" si="4"/>
        <v>27.590734398782345</v>
      </c>
      <c r="F8" s="63">
        <f t="shared" si="5"/>
        <v>0.59639069672704437</v>
      </c>
      <c r="G8" s="276">
        <f t="shared" si="6"/>
        <v>0</v>
      </c>
      <c r="H8" s="276">
        <f t="shared" si="7"/>
        <v>0</v>
      </c>
      <c r="I8" s="276">
        <f t="shared" si="8"/>
        <v>0</v>
      </c>
      <c r="J8" s="276">
        <f t="shared" si="9"/>
        <v>0</v>
      </c>
      <c r="K8" s="277">
        <f t="shared" si="10"/>
        <v>0</v>
      </c>
      <c r="L8" s="58">
        <f>K8*D8*'B) D RI'!S10</f>
        <v>0</v>
      </c>
      <c r="M8" s="472">
        <f>(('B) D RI'!S10*C8)-(L8*$M$4))/'B) D RI'!S10</f>
        <v>12084.741666666667</v>
      </c>
      <c r="N8" s="266">
        <f t="shared" si="11"/>
        <v>27.590734398782345</v>
      </c>
      <c r="O8" s="63">
        <f t="shared" si="12"/>
        <v>0.61226638813109779</v>
      </c>
      <c r="R8" s="12"/>
    </row>
    <row r="9" spans="1:25" x14ac:dyDescent="0.25">
      <c r="A9" s="306">
        <f>'A) Base RI'!A11</f>
        <v>5405</v>
      </c>
      <c r="B9" s="33" t="str">
        <f>'A) Base RI'!B11</f>
        <v>Gryon</v>
      </c>
      <c r="C9" s="304">
        <f>'B) D RI'!U11</f>
        <v>67578.882888888897</v>
      </c>
      <c r="D9" s="33">
        <f>'B) D RI'!AR11</f>
        <v>1332</v>
      </c>
      <c r="E9" s="210">
        <f t="shared" si="4"/>
        <v>50.734897063730401</v>
      </c>
      <c r="F9" s="63">
        <f t="shared" si="5"/>
        <v>1.0966660100772239</v>
      </c>
      <c r="G9" s="276">
        <f t="shared" si="6"/>
        <v>0</v>
      </c>
      <c r="H9" s="276">
        <f t="shared" si="7"/>
        <v>0</v>
      </c>
      <c r="I9" s="276">
        <f t="shared" si="8"/>
        <v>0</v>
      </c>
      <c r="J9" s="276">
        <f t="shared" si="9"/>
        <v>0</v>
      </c>
      <c r="K9" s="277">
        <f t="shared" si="10"/>
        <v>0</v>
      </c>
      <c r="L9" s="58">
        <f>K9*D9*'B) D RI'!S11</f>
        <v>0</v>
      </c>
      <c r="M9" s="472">
        <f>(('B) D RI'!S11*C9)-(L9*$M$4))/'B) D RI'!S11</f>
        <v>67578.882888888897</v>
      </c>
      <c r="N9" s="266">
        <f t="shared" si="11"/>
        <v>50.734897063730401</v>
      </c>
      <c r="O9" s="63">
        <f t="shared" si="12"/>
        <v>1.1258588382766701</v>
      </c>
      <c r="R9" s="12"/>
    </row>
    <row r="10" spans="1:25" x14ac:dyDescent="0.25">
      <c r="A10" s="306">
        <f>'A) Base RI'!A12</f>
        <v>5406</v>
      </c>
      <c r="B10" s="33" t="str">
        <f>'A) Base RI'!B12</f>
        <v>Lavey-Morcles</v>
      </c>
      <c r="C10" s="304">
        <f>'B) D RI'!U12</f>
        <v>21586.094615384616</v>
      </c>
      <c r="D10" s="33">
        <f>'B) D RI'!AR12</f>
        <v>946</v>
      </c>
      <c r="E10" s="210">
        <f t="shared" si="4"/>
        <v>22.818281834444626</v>
      </c>
      <c r="F10" s="63">
        <f t="shared" si="5"/>
        <v>0.49323119873021848</v>
      </c>
      <c r="G10" s="276">
        <f t="shared" si="6"/>
        <v>0</v>
      </c>
      <c r="H10" s="276">
        <f t="shared" si="7"/>
        <v>0</v>
      </c>
      <c r="I10" s="276">
        <f t="shared" si="8"/>
        <v>0</v>
      </c>
      <c r="J10" s="276">
        <f t="shared" si="9"/>
        <v>0</v>
      </c>
      <c r="K10" s="277">
        <f t="shared" si="10"/>
        <v>0</v>
      </c>
      <c r="L10" s="58">
        <f>K10*D10*'B) D RI'!S12</f>
        <v>0</v>
      </c>
      <c r="M10" s="472">
        <f>(('B) D RI'!S12*C10)-(L10*$M$4))/'B) D RI'!S12</f>
        <v>21586.094615384616</v>
      </c>
      <c r="N10" s="266">
        <f t="shared" si="11"/>
        <v>22.818281834444626</v>
      </c>
      <c r="O10" s="63">
        <f t="shared" si="12"/>
        <v>0.50636082389852677</v>
      </c>
      <c r="R10" s="12"/>
    </row>
    <row r="11" spans="1:25" x14ac:dyDescent="0.25">
      <c r="A11" s="306">
        <f>'A) Base RI'!A13</f>
        <v>5407</v>
      </c>
      <c r="B11" s="33" t="str">
        <f>'A) Base RI'!B13</f>
        <v>Leysin</v>
      </c>
      <c r="C11" s="304">
        <f>'B) D RI'!U13</f>
        <v>89616.305299145315</v>
      </c>
      <c r="D11" s="33">
        <f>'B) D RI'!AR13</f>
        <v>3939</v>
      </c>
      <c r="E11" s="210">
        <f t="shared" si="4"/>
        <v>22.751029525043236</v>
      </c>
      <c r="F11" s="63">
        <f t="shared" si="5"/>
        <v>0.49177749869162263</v>
      </c>
      <c r="G11" s="276">
        <f t="shared" si="6"/>
        <v>0</v>
      </c>
      <c r="H11" s="276">
        <f t="shared" si="7"/>
        <v>0</v>
      </c>
      <c r="I11" s="276">
        <f t="shared" si="8"/>
        <v>0</v>
      </c>
      <c r="J11" s="276">
        <f t="shared" si="9"/>
        <v>0</v>
      </c>
      <c r="K11" s="277">
        <f t="shared" si="10"/>
        <v>0</v>
      </c>
      <c r="L11" s="58">
        <f>K11*D11*'B) D RI'!S13</f>
        <v>0</v>
      </c>
      <c r="M11" s="472">
        <f>(('B) D RI'!S13*C11)-(L11*$M$4))/'B) D RI'!S13</f>
        <v>89616.305299145315</v>
      </c>
      <c r="N11" s="266">
        <f t="shared" si="11"/>
        <v>22.751029525043236</v>
      </c>
      <c r="O11" s="63">
        <f t="shared" si="12"/>
        <v>0.50486842692295075</v>
      </c>
      <c r="R11" s="12"/>
    </row>
    <row r="12" spans="1:25" x14ac:dyDescent="0.25">
      <c r="A12" s="306">
        <f>'A) Base RI'!A14</f>
        <v>5408</v>
      </c>
      <c r="B12" s="33" t="str">
        <f>'A) Base RI'!B14</f>
        <v>Noville</v>
      </c>
      <c r="C12" s="304">
        <f>'B) D RI'!U14</f>
        <v>38763.706581740975</v>
      </c>
      <c r="D12" s="33">
        <f>'B) D RI'!AR14</f>
        <v>1113</v>
      </c>
      <c r="E12" s="210">
        <f t="shared" si="4"/>
        <v>34.828128105787037</v>
      </c>
      <c r="F12" s="63">
        <f t="shared" si="5"/>
        <v>0.75283141385412977</v>
      </c>
      <c r="G12" s="276">
        <f t="shared" si="6"/>
        <v>0</v>
      </c>
      <c r="H12" s="276">
        <f t="shared" si="7"/>
        <v>0</v>
      </c>
      <c r="I12" s="276">
        <f t="shared" si="8"/>
        <v>0</v>
      </c>
      <c r="J12" s="276">
        <f t="shared" si="9"/>
        <v>0</v>
      </c>
      <c r="K12" s="277">
        <f t="shared" si="10"/>
        <v>0</v>
      </c>
      <c r="L12" s="58">
        <f>K12*D12*'B) D RI'!S14</f>
        <v>0</v>
      </c>
      <c r="M12" s="472">
        <f>(('B) D RI'!S14*C12)-(L12*$M$4))/'B) D RI'!S14</f>
        <v>38763.706581740975</v>
      </c>
      <c r="N12" s="266">
        <f t="shared" si="11"/>
        <v>34.828128105787037</v>
      </c>
      <c r="O12" s="63">
        <f t="shared" si="12"/>
        <v>0.7728714970935493</v>
      </c>
      <c r="R12" s="12"/>
    </row>
    <row r="13" spans="1:25" x14ac:dyDescent="0.25">
      <c r="A13" s="306">
        <f>'A) Base RI'!A15</f>
        <v>5409</v>
      </c>
      <c r="B13" s="33" t="str">
        <f>'A) Base RI'!B15</f>
        <v>Ollon</v>
      </c>
      <c r="C13" s="304">
        <f>'B) D RI'!U15</f>
        <v>369055.23328054306</v>
      </c>
      <c r="D13" s="33">
        <f>'B) D RI'!AR15</f>
        <v>7461</v>
      </c>
      <c r="E13" s="210">
        <f t="shared" si="4"/>
        <v>49.464580254730336</v>
      </c>
      <c r="F13" s="63">
        <f t="shared" si="5"/>
        <v>1.0692073308034653</v>
      </c>
      <c r="G13" s="276">
        <f t="shared" si="6"/>
        <v>0</v>
      </c>
      <c r="H13" s="276">
        <f t="shared" si="7"/>
        <v>0</v>
      </c>
      <c r="I13" s="276">
        <f t="shared" si="8"/>
        <v>0</v>
      </c>
      <c r="J13" s="276">
        <f t="shared" si="9"/>
        <v>0</v>
      </c>
      <c r="K13" s="277">
        <f t="shared" si="10"/>
        <v>0</v>
      </c>
      <c r="L13" s="58">
        <f>K13*D13*'B) D RI'!S15</f>
        <v>0</v>
      </c>
      <c r="M13" s="472">
        <f>(('B) D RI'!S15*C13)-(L13*$M$4))/'B) D RI'!S15</f>
        <v>369055.23328054306</v>
      </c>
      <c r="N13" s="266">
        <f t="shared" si="11"/>
        <v>49.464580254730336</v>
      </c>
      <c r="O13" s="63">
        <f t="shared" si="12"/>
        <v>1.0976692195014983</v>
      </c>
      <c r="R13" s="12"/>
    </row>
    <row r="14" spans="1:25" x14ac:dyDescent="0.25">
      <c r="A14" s="306">
        <f>'A) Base RI'!A16</f>
        <v>5410</v>
      </c>
      <c r="B14" s="33" t="str">
        <f>'A) Base RI'!B16</f>
        <v>Ormont-Dessous</v>
      </c>
      <c r="C14" s="304">
        <f>'B) D RI'!U16</f>
        <v>43491.149554140131</v>
      </c>
      <c r="D14" s="33">
        <f>'B) D RI'!AR16</f>
        <v>1121</v>
      </c>
      <c r="E14" s="210">
        <f t="shared" si="4"/>
        <v>38.796743580856493</v>
      </c>
      <c r="F14" s="63">
        <f t="shared" si="5"/>
        <v>0.83861547867854624</v>
      </c>
      <c r="G14" s="276">
        <f t="shared" si="6"/>
        <v>0</v>
      </c>
      <c r="H14" s="276">
        <f t="shared" si="7"/>
        <v>0</v>
      </c>
      <c r="I14" s="276">
        <f t="shared" si="8"/>
        <v>0</v>
      </c>
      <c r="J14" s="276">
        <f t="shared" si="9"/>
        <v>0</v>
      </c>
      <c r="K14" s="277">
        <f t="shared" si="10"/>
        <v>0</v>
      </c>
      <c r="L14" s="58">
        <f>K14*D14*'B) D RI'!S16</f>
        <v>0</v>
      </c>
      <c r="M14" s="472">
        <f>(('B) D RI'!S16*C14)-(L14*$M$4))/'B) D RI'!S16</f>
        <v>43491.149554140131</v>
      </c>
      <c r="N14" s="266">
        <f t="shared" si="11"/>
        <v>38.796743580856493</v>
      </c>
      <c r="O14" s="63">
        <f t="shared" si="12"/>
        <v>0.86093910079275315</v>
      </c>
      <c r="R14" s="12"/>
      <c r="Y14" s="15"/>
    </row>
    <row r="15" spans="1:25" x14ac:dyDescent="0.25">
      <c r="A15" s="306">
        <f>'A) Base RI'!A17</f>
        <v>5411</v>
      </c>
      <c r="B15" s="33" t="str">
        <f>'A) Base RI'!B17</f>
        <v>Ormont-Dessus</v>
      </c>
      <c r="C15" s="304">
        <f>'B) D RI'!U17</f>
        <v>72912.297236842089</v>
      </c>
      <c r="D15" s="33">
        <f>'B) D RI'!AR17</f>
        <v>1446</v>
      </c>
      <c r="E15" s="210">
        <f t="shared" si="4"/>
        <v>50.423442072504905</v>
      </c>
      <c r="F15" s="63">
        <f t="shared" si="5"/>
        <v>1.0899337188474447</v>
      </c>
      <c r="G15" s="276">
        <f t="shared" si="6"/>
        <v>0</v>
      </c>
      <c r="H15" s="276">
        <f t="shared" si="7"/>
        <v>0</v>
      </c>
      <c r="I15" s="276">
        <f t="shared" si="8"/>
        <v>0</v>
      </c>
      <c r="J15" s="276">
        <f t="shared" si="9"/>
        <v>0</v>
      </c>
      <c r="K15" s="277">
        <f t="shared" si="10"/>
        <v>0</v>
      </c>
      <c r="L15" s="58">
        <f>K15*D15*'B) D RI'!S17</f>
        <v>0</v>
      </c>
      <c r="M15" s="472">
        <f>(('B) D RI'!S17*C15)-(L15*$M$4))/'B) D RI'!S17</f>
        <v>72912.297236842089</v>
      </c>
      <c r="N15" s="266">
        <f t="shared" si="11"/>
        <v>50.423442072504905</v>
      </c>
      <c r="O15" s="63">
        <f t="shared" si="12"/>
        <v>1.1189473360387501</v>
      </c>
      <c r="R15" s="12"/>
      <c r="Y15" s="15"/>
    </row>
    <row r="16" spans="1:25" x14ac:dyDescent="0.25">
      <c r="A16" s="306">
        <f>'A) Base RI'!A18</f>
        <v>5412</v>
      </c>
      <c r="B16" s="33" t="str">
        <f>'A) Base RI'!B18</f>
        <v>Rennaz</v>
      </c>
      <c r="C16" s="304">
        <f>'B) D RI'!U18</f>
        <v>28091.749629629627</v>
      </c>
      <c r="D16" s="33">
        <f>'B) D RI'!AR18</f>
        <v>826</v>
      </c>
      <c r="E16" s="210">
        <f t="shared" si="4"/>
        <v>34.009382118195674</v>
      </c>
      <c r="F16" s="63">
        <f t="shared" si="5"/>
        <v>0.73513371567311891</v>
      </c>
      <c r="G16" s="276">
        <f t="shared" si="6"/>
        <v>0</v>
      </c>
      <c r="H16" s="276">
        <f t="shared" si="7"/>
        <v>0</v>
      </c>
      <c r="I16" s="276">
        <f t="shared" si="8"/>
        <v>0</v>
      </c>
      <c r="J16" s="276">
        <f t="shared" si="9"/>
        <v>0</v>
      </c>
      <c r="K16" s="277">
        <f t="shared" si="10"/>
        <v>0</v>
      </c>
      <c r="L16" s="58">
        <f>K16*D16*'B) D RI'!S18</f>
        <v>0</v>
      </c>
      <c r="M16" s="472">
        <f>(('B) D RI'!S18*C16)-(L16*$M$4))/'B) D RI'!S18</f>
        <v>28091.749629629627</v>
      </c>
      <c r="N16" s="266">
        <f t="shared" si="11"/>
        <v>34.009382118195674</v>
      </c>
      <c r="O16" s="63">
        <f t="shared" si="12"/>
        <v>0.75470269298076298</v>
      </c>
      <c r="R16" s="12"/>
      <c r="Y16" s="15"/>
    </row>
    <row r="17" spans="1:25" x14ac:dyDescent="0.25">
      <c r="A17" s="306">
        <f>'A) Base RI'!A19</f>
        <v>5413</v>
      </c>
      <c r="B17" s="33" t="str">
        <f>'A) Base RI'!B19</f>
        <v>Roche</v>
      </c>
      <c r="C17" s="304">
        <f>'B) D RI'!U19</f>
        <v>39560.237499999996</v>
      </c>
      <c r="D17" s="33">
        <f>'B) D RI'!AR19</f>
        <v>1775</v>
      </c>
      <c r="E17" s="210">
        <f t="shared" si="4"/>
        <v>22.287457746478871</v>
      </c>
      <c r="F17" s="63">
        <f t="shared" si="5"/>
        <v>0.4817571095274546</v>
      </c>
      <c r="G17" s="276">
        <f t="shared" si="6"/>
        <v>0</v>
      </c>
      <c r="H17" s="276">
        <f t="shared" si="7"/>
        <v>0</v>
      </c>
      <c r="I17" s="276">
        <f t="shared" si="8"/>
        <v>0</v>
      </c>
      <c r="J17" s="276">
        <f t="shared" si="9"/>
        <v>0</v>
      </c>
      <c r="K17" s="277">
        <f t="shared" si="10"/>
        <v>0</v>
      </c>
      <c r="L17" s="58">
        <f>K17*D17*'B) D RI'!S19</f>
        <v>0</v>
      </c>
      <c r="M17" s="472">
        <f>(('B) D RI'!S19*C17)-(L17*$M$4))/'B) D RI'!S19</f>
        <v>39560.237499999996</v>
      </c>
      <c r="N17" s="266">
        <f t="shared" si="11"/>
        <v>22.287457746478871</v>
      </c>
      <c r="O17" s="63">
        <f t="shared" si="12"/>
        <v>0.49458129884586555</v>
      </c>
      <c r="R17" s="12"/>
      <c r="Y17" s="15"/>
    </row>
    <row r="18" spans="1:25" x14ac:dyDescent="0.25">
      <c r="A18" s="306">
        <f>'A) Base RI'!A20</f>
        <v>5414</v>
      </c>
      <c r="B18" s="33" t="str">
        <f>'A) Base RI'!B20</f>
        <v>Villeneuve</v>
      </c>
      <c r="C18" s="304">
        <f>'B) D RI'!U20</f>
        <v>165641.09797101447</v>
      </c>
      <c r="D18" s="33">
        <f>'B) D RI'!AR20</f>
        <v>5771</v>
      </c>
      <c r="E18" s="210">
        <f t="shared" si="4"/>
        <v>28.702321603017584</v>
      </c>
      <c r="F18" s="63">
        <f t="shared" si="5"/>
        <v>0.62041833794981582</v>
      </c>
      <c r="G18" s="276">
        <f t="shared" si="6"/>
        <v>0</v>
      </c>
      <c r="H18" s="276">
        <f t="shared" si="7"/>
        <v>0</v>
      </c>
      <c r="I18" s="276">
        <f t="shared" si="8"/>
        <v>0</v>
      </c>
      <c r="J18" s="276">
        <f t="shared" si="9"/>
        <v>0</v>
      </c>
      <c r="K18" s="277">
        <f t="shared" si="10"/>
        <v>0</v>
      </c>
      <c r="L18" s="58">
        <f>K18*D18*'B) D RI'!S20</f>
        <v>0</v>
      </c>
      <c r="M18" s="472">
        <f>(('B) D RI'!S20*C18)-(L18*$M$4))/'B) D RI'!S20</f>
        <v>165641.09797101447</v>
      </c>
      <c r="N18" s="266">
        <f t="shared" si="11"/>
        <v>28.702321603017584</v>
      </c>
      <c r="O18" s="63">
        <f t="shared" si="12"/>
        <v>0.63693363593947394</v>
      </c>
      <c r="R18" s="12"/>
      <c r="Y18" s="15"/>
    </row>
    <row r="19" spans="1:25" x14ac:dyDescent="0.25">
      <c r="A19" s="306">
        <f>'A) Base RI'!A21</f>
        <v>5415</v>
      </c>
      <c r="B19" s="33" t="str">
        <f>'A) Base RI'!B21</f>
        <v>Yvorne</v>
      </c>
      <c r="C19" s="304">
        <f>'B) D RI'!U21</f>
        <v>34590.752587412586</v>
      </c>
      <c r="D19" s="33">
        <f>'B) D RI'!AR21</f>
        <v>1066</v>
      </c>
      <c r="E19" s="210">
        <f t="shared" si="4"/>
        <v>32.449111245227563</v>
      </c>
      <c r="F19" s="63">
        <f t="shared" si="5"/>
        <v>0.7014075009387466</v>
      </c>
      <c r="G19" s="276">
        <f t="shared" si="6"/>
        <v>0</v>
      </c>
      <c r="H19" s="276">
        <f t="shared" si="7"/>
        <v>0</v>
      </c>
      <c r="I19" s="276">
        <f t="shared" si="8"/>
        <v>0</v>
      </c>
      <c r="J19" s="276">
        <f t="shared" si="9"/>
        <v>0</v>
      </c>
      <c r="K19" s="277">
        <f t="shared" si="10"/>
        <v>0</v>
      </c>
      <c r="L19" s="58">
        <f>K19*D19*'B) D RI'!S21</f>
        <v>0</v>
      </c>
      <c r="M19" s="472">
        <f>(('B) D RI'!S21*C19)-(L19*$M$4))/'B) D RI'!S21</f>
        <v>34590.752587412586</v>
      </c>
      <c r="N19" s="266">
        <f t="shared" si="11"/>
        <v>32.449111245227563</v>
      </c>
      <c r="O19" s="63">
        <f t="shared" si="12"/>
        <v>0.72007869935700131</v>
      </c>
      <c r="R19" s="12"/>
      <c r="Y19" s="15"/>
    </row>
    <row r="20" spans="1:25" x14ac:dyDescent="0.25">
      <c r="A20" s="306">
        <f>'A) Base RI'!A22</f>
        <v>5421</v>
      </c>
      <c r="B20" s="33" t="str">
        <f>'A) Base RI'!B22</f>
        <v>Apples</v>
      </c>
      <c r="C20" s="304">
        <f>'B) D RI'!U22</f>
        <v>67631.915526315803</v>
      </c>
      <c r="D20" s="33">
        <f>'B) D RI'!AR22</f>
        <v>1469</v>
      </c>
      <c r="E20" s="210">
        <f t="shared" si="4"/>
        <v>46.039425137042755</v>
      </c>
      <c r="F20" s="63">
        <f t="shared" si="5"/>
        <v>0.99517049591856099</v>
      </c>
      <c r="G20" s="276">
        <f t="shared" si="6"/>
        <v>0</v>
      </c>
      <c r="H20" s="276">
        <f t="shared" si="7"/>
        <v>0</v>
      </c>
      <c r="I20" s="276">
        <f t="shared" si="8"/>
        <v>0</v>
      </c>
      <c r="J20" s="276">
        <f t="shared" si="9"/>
        <v>0</v>
      </c>
      <c r="K20" s="277">
        <f t="shared" si="10"/>
        <v>0</v>
      </c>
      <c r="L20" s="58">
        <f>K20*D20*'B) D RI'!S22</f>
        <v>0</v>
      </c>
      <c r="M20" s="472">
        <f>(('B) D RI'!S22*C20)-(L20*$M$4))/'B) D RI'!S22</f>
        <v>67631.915526315803</v>
      </c>
      <c r="N20" s="266">
        <f t="shared" si="11"/>
        <v>46.039425137042755</v>
      </c>
      <c r="O20" s="63">
        <f t="shared" si="12"/>
        <v>1.0216615524932626</v>
      </c>
      <c r="R20" s="12"/>
      <c r="Y20" s="15"/>
    </row>
    <row r="21" spans="1:25" x14ac:dyDescent="0.25">
      <c r="A21" s="306">
        <f>'A) Base RI'!A23</f>
        <v>5422</v>
      </c>
      <c r="B21" s="33" t="str">
        <f>'A) Base RI'!B23</f>
        <v>Aubonne</v>
      </c>
      <c r="C21" s="304">
        <f>'B) D RI'!U23</f>
        <v>238709.58323529412</v>
      </c>
      <c r="D21" s="33">
        <f>'B) D RI'!AR23</f>
        <v>3242</v>
      </c>
      <c r="E21" s="210">
        <f t="shared" si="4"/>
        <v>73.630346463693442</v>
      </c>
      <c r="F21" s="63">
        <f t="shared" si="5"/>
        <v>1.59156523320647</v>
      </c>
      <c r="G21" s="276">
        <f t="shared" si="6"/>
        <v>18.114924341520293</v>
      </c>
      <c r="H21" s="276">
        <f t="shared" si="7"/>
        <v>4.2360688109770024</v>
      </c>
      <c r="I21" s="276">
        <f t="shared" si="8"/>
        <v>0</v>
      </c>
      <c r="J21" s="276">
        <f t="shared" si="9"/>
        <v>0</v>
      </c>
      <c r="K21" s="277">
        <f t="shared" si="10"/>
        <v>6.9449796440450058</v>
      </c>
      <c r="L21" s="58">
        <f>K21*D21*'B) D RI'!S23</f>
        <v>1531062.4324075857</v>
      </c>
      <c r="M21" s="472">
        <f>(('B) D RI'!S23*C21)-(L21*$M$4))/'B) D RI'!S23</f>
        <v>227451.77123229718</v>
      </c>
      <c r="N21" s="266">
        <f t="shared" si="11"/>
        <v>70.157856641670932</v>
      </c>
      <c r="O21" s="63">
        <f t="shared" si="12"/>
        <v>1.5568740166231654</v>
      </c>
      <c r="R21" s="12"/>
      <c r="Y21" s="15"/>
    </row>
    <row r="22" spans="1:25" x14ac:dyDescent="0.25">
      <c r="A22" s="306">
        <f>'A) Base RI'!A24</f>
        <v>5423</v>
      </c>
      <c r="B22" s="33" t="str">
        <f>'A) Base RI'!B24</f>
        <v>Ballens</v>
      </c>
      <c r="C22" s="304">
        <f>'B) D RI'!U24</f>
        <v>13821.516027397261</v>
      </c>
      <c r="D22" s="33">
        <f>'B) D RI'!AR24</f>
        <v>536</v>
      </c>
      <c r="E22" s="210">
        <f t="shared" si="4"/>
        <v>25.786410498875487</v>
      </c>
      <c r="F22" s="63">
        <f t="shared" si="5"/>
        <v>0.55738912568389731</v>
      </c>
      <c r="G22" s="276">
        <f t="shared" si="6"/>
        <v>0</v>
      </c>
      <c r="H22" s="276">
        <f t="shared" si="7"/>
        <v>0</v>
      </c>
      <c r="I22" s="276">
        <f t="shared" si="8"/>
        <v>0</v>
      </c>
      <c r="J22" s="276">
        <f t="shared" si="9"/>
        <v>0</v>
      </c>
      <c r="K22" s="277">
        <f t="shared" si="10"/>
        <v>0</v>
      </c>
      <c r="L22" s="58">
        <f>K22*D22*'B) D RI'!S24</f>
        <v>0</v>
      </c>
      <c r="M22" s="472">
        <f>(('B) D RI'!S24*C22)-(L22*$M$4))/'B) D RI'!S24</f>
        <v>13821.516027397261</v>
      </c>
      <c r="N22" s="266">
        <f t="shared" si="11"/>
        <v>25.786410498875487</v>
      </c>
      <c r="O22" s="63">
        <f t="shared" si="12"/>
        <v>0.57222661023872878</v>
      </c>
      <c r="R22" s="12"/>
    </row>
    <row r="23" spans="1:25" x14ac:dyDescent="0.25">
      <c r="A23" s="306">
        <f>'A) Base RI'!A25</f>
        <v>5424</v>
      </c>
      <c r="B23" s="33" t="str">
        <f>'A) Base RI'!B25</f>
        <v>Berolle</v>
      </c>
      <c r="C23" s="304">
        <f>'B) D RI'!U25</f>
        <v>9297.6342857142881</v>
      </c>
      <c r="D23" s="33">
        <f>'B) D RI'!AR25</f>
        <v>307</v>
      </c>
      <c r="E23" s="210">
        <f t="shared" si="4"/>
        <v>30.285453699395074</v>
      </c>
      <c r="F23" s="63">
        <f t="shared" si="5"/>
        <v>0.65463871209147639</v>
      </c>
      <c r="G23" s="276">
        <f t="shared" si="6"/>
        <v>0</v>
      </c>
      <c r="H23" s="276">
        <f t="shared" si="7"/>
        <v>0</v>
      </c>
      <c r="I23" s="276">
        <f t="shared" si="8"/>
        <v>0</v>
      </c>
      <c r="J23" s="276">
        <f t="shared" si="9"/>
        <v>0</v>
      </c>
      <c r="K23" s="277">
        <f t="shared" si="10"/>
        <v>0</v>
      </c>
      <c r="L23" s="58">
        <f>K23*D23*'B) D RI'!S25</f>
        <v>0</v>
      </c>
      <c r="M23" s="472">
        <f>(('B) D RI'!S25*C23)-(L23*$M$4))/'B) D RI'!S25</f>
        <v>9297.6342857142881</v>
      </c>
      <c r="N23" s="266">
        <f t="shared" si="11"/>
        <v>30.285453699395074</v>
      </c>
      <c r="O23" s="63">
        <f t="shared" si="12"/>
        <v>0.67206494330424771</v>
      </c>
      <c r="R23" s="12"/>
    </row>
    <row r="24" spans="1:25" x14ac:dyDescent="0.25">
      <c r="A24" s="306">
        <f>'A) Base RI'!A26</f>
        <v>5425</v>
      </c>
      <c r="B24" s="33" t="str">
        <f>'A) Base RI'!B26</f>
        <v>Bière</v>
      </c>
      <c r="C24" s="304">
        <f>'B) D RI'!U26</f>
        <v>39425.527551724139</v>
      </c>
      <c r="D24" s="33">
        <f>'B) D RI'!AR26</f>
        <v>1595</v>
      </c>
      <c r="E24" s="210">
        <f t="shared" si="4"/>
        <v>24.718199091990055</v>
      </c>
      <c r="F24" s="63">
        <f t="shared" si="5"/>
        <v>0.53429907900386786</v>
      </c>
      <c r="G24" s="276">
        <f t="shared" si="6"/>
        <v>0</v>
      </c>
      <c r="H24" s="276">
        <f t="shared" si="7"/>
        <v>0</v>
      </c>
      <c r="I24" s="276">
        <f t="shared" si="8"/>
        <v>0</v>
      </c>
      <c r="J24" s="276">
        <f t="shared" si="9"/>
        <v>0</v>
      </c>
      <c r="K24" s="277">
        <f t="shared" si="10"/>
        <v>0</v>
      </c>
      <c r="L24" s="58">
        <f>K24*D24*'B) D RI'!S26</f>
        <v>0</v>
      </c>
      <c r="M24" s="472">
        <f>(('B) D RI'!S26*C24)-(L24*$M$4))/'B) D RI'!S26</f>
        <v>39425.527551724139</v>
      </c>
      <c r="N24" s="266">
        <f t="shared" si="11"/>
        <v>24.718199091990055</v>
      </c>
      <c r="O24" s="63">
        <f t="shared" si="12"/>
        <v>0.54852191537989803</v>
      </c>
      <c r="R24" s="12"/>
    </row>
    <row r="25" spans="1:25" x14ac:dyDescent="0.25">
      <c r="A25" s="306">
        <f>'A) Base RI'!A27</f>
        <v>5426</v>
      </c>
      <c r="B25" s="33" t="str">
        <f>'A) Base RI'!B27</f>
        <v>Bougy-Villars</v>
      </c>
      <c r="C25" s="304">
        <f>'B) D RI'!U27</f>
        <v>50769.838510101006</v>
      </c>
      <c r="D25" s="33">
        <f>'B) D RI'!AR27</f>
        <v>490</v>
      </c>
      <c r="E25" s="210">
        <f t="shared" si="4"/>
        <v>103.61191532673675</v>
      </c>
      <c r="F25" s="63">
        <f t="shared" si="5"/>
        <v>2.239635287622614</v>
      </c>
      <c r="G25" s="276">
        <f t="shared" si="6"/>
        <v>48.0964932045636</v>
      </c>
      <c r="H25" s="276">
        <f t="shared" si="7"/>
        <v>34.21763767402031</v>
      </c>
      <c r="I25" s="276">
        <f t="shared" si="8"/>
        <v>11.086211789781501</v>
      </c>
      <c r="J25" s="276">
        <f t="shared" si="9"/>
        <v>0</v>
      </c>
      <c r="K25" s="277">
        <f t="shared" si="10"/>
        <v>21.845122500023081</v>
      </c>
      <c r="L25" s="58">
        <f>K25*D25*'B) D RI'!S27</f>
        <v>706471.26165074634</v>
      </c>
      <c r="M25" s="472">
        <f>(('B) D RI'!S27*C25)-(L25*$M$4))/'B) D RI'!S27</f>
        <v>45417.783497595345</v>
      </c>
      <c r="N25" s="266">
        <f t="shared" si="11"/>
        <v>92.689354076725195</v>
      </c>
      <c r="O25" s="63">
        <f t="shared" si="12"/>
        <v>2.0568708037458232</v>
      </c>
      <c r="R25" s="12"/>
    </row>
    <row r="26" spans="1:25" x14ac:dyDescent="0.25">
      <c r="A26" s="306">
        <f>'A) Base RI'!A28</f>
        <v>5427</v>
      </c>
      <c r="B26" s="33" t="str">
        <f>'A) Base RI'!B28</f>
        <v>Féchy</v>
      </c>
      <c r="C26" s="304">
        <f>'B) D RI'!U28</f>
        <v>73025.207608173092</v>
      </c>
      <c r="D26" s="33">
        <f>'B) D RI'!AR28</f>
        <v>860</v>
      </c>
      <c r="E26" s="210">
        <f t="shared" si="4"/>
        <v>84.913032102526856</v>
      </c>
      <c r="F26" s="63">
        <f t="shared" si="5"/>
        <v>1.8354474239390604</v>
      </c>
      <c r="G26" s="276">
        <f t="shared" si="6"/>
        <v>29.397609980353707</v>
      </c>
      <c r="H26" s="276">
        <f t="shared" si="7"/>
        <v>15.518754449810416</v>
      </c>
      <c r="I26" s="276">
        <f t="shared" si="8"/>
        <v>0</v>
      </c>
      <c r="J26" s="276">
        <f t="shared" si="9"/>
        <v>0</v>
      </c>
      <c r="K26" s="277">
        <f t="shared" si="10"/>
        <v>12.135015037908376</v>
      </c>
      <c r="L26" s="58">
        <f>K26*D26*'B) D RI'!S28</f>
        <v>667911.22768647701</v>
      </c>
      <c r="M26" s="472">
        <f>(('B) D RI'!S28*C26)-(L26*$M$4))/'B) D RI'!S28</f>
        <v>67807.151141872484</v>
      </c>
      <c r="N26" s="266">
        <f t="shared" si="11"/>
        <v>78.845524583572654</v>
      </c>
      <c r="O26" s="63">
        <f t="shared" si="12"/>
        <v>1.7496621822149174</v>
      </c>
      <c r="R26" s="12"/>
    </row>
    <row r="27" spans="1:25" x14ac:dyDescent="0.25">
      <c r="A27" s="306">
        <f>'A) Base RI'!A29</f>
        <v>5428</v>
      </c>
      <c r="B27" s="33" t="str">
        <f>'A) Base RI'!B29</f>
        <v>Gimel</v>
      </c>
      <c r="C27" s="304">
        <f>'B) D RI'!U29</f>
        <v>59817.35356643358</v>
      </c>
      <c r="D27" s="33">
        <f>'B) D RI'!AR29</f>
        <v>2186</v>
      </c>
      <c r="E27" s="210">
        <f t="shared" si="4"/>
        <v>27.363839691872634</v>
      </c>
      <c r="F27" s="63">
        <f t="shared" si="5"/>
        <v>0.59148622806079765</v>
      </c>
      <c r="G27" s="276">
        <f t="shared" si="6"/>
        <v>0</v>
      </c>
      <c r="H27" s="276">
        <f t="shared" si="7"/>
        <v>0</v>
      </c>
      <c r="I27" s="276">
        <f t="shared" si="8"/>
        <v>0</v>
      </c>
      <c r="J27" s="276">
        <f t="shared" si="9"/>
        <v>0</v>
      </c>
      <c r="K27" s="277">
        <f t="shared" si="10"/>
        <v>0</v>
      </c>
      <c r="L27" s="58">
        <f>K27*D27*'B) D RI'!S29</f>
        <v>0</v>
      </c>
      <c r="M27" s="472">
        <f>(('B) D RI'!S29*C27)-(L27*$M$4))/'B) D RI'!S29</f>
        <v>59817.35356643358</v>
      </c>
      <c r="N27" s="266">
        <f t="shared" si="11"/>
        <v>27.363839691872634</v>
      </c>
      <c r="O27" s="63">
        <f t="shared" si="12"/>
        <v>0.60723136439168601</v>
      </c>
      <c r="R27" s="12"/>
    </row>
    <row r="28" spans="1:25" x14ac:dyDescent="0.25">
      <c r="A28" s="306">
        <f>'A) Base RI'!A30</f>
        <v>5429</v>
      </c>
      <c r="B28" s="33" t="str">
        <f>'A) Base RI'!B30</f>
        <v>Longirod</v>
      </c>
      <c r="C28" s="304">
        <f>'B) D RI'!U30</f>
        <v>13793.381358024693</v>
      </c>
      <c r="D28" s="33">
        <f>'B) D RI'!AR30</f>
        <v>478</v>
      </c>
      <c r="E28" s="210">
        <f t="shared" si="4"/>
        <v>28.856446355700196</v>
      </c>
      <c r="F28" s="63">
        <f t="shared" si="5"/>
        <v>0.62374983929032823</v>
      </c>
      <c r="G28" s="276">
        <f t="shared" si="6"/>
        <v>0</v>
      </c>
      <c r="H28" s="276">
        <f t="shared" si="7"/>
        <v>0</v>
      </c>
      <c r="I28" s="276">
        <f t="shared" si="8"/>
        <v>0</v>
      </c>
      <c r="J28" s="276">
        <f t="shared" si="9"/>
        <v>0</v>
      </c>
      <c r="K28" s="277">
        <f t="shared" si="10"/>
        <v>0</v>
      </c>
      <c r="L28" s="58">
        <f>K28*D28*'B) D RI'!S30</f>
        <v>0</v>
      </c>
      <c r="M28" s="472">
        <f>(('B) D RI'!S30*C28)-(L28*$M$4))/'B) D RI'!S30</f>
        <v>13793.381358024693</v>
      </c>
      <c r="N28" s="266">
        <f t="shared" si="11"/>
        <v>28.856446355700196</v>
      </c>
      <c r="O28" s="63">
        <f t="shared" si="12"/>
        <v>0.64035382056677215</v>
      </c>
      <c r="R28" s="12"/>
    </row>
    <row r="29" spans="1:25" x14ac:dyDescent="0.25">
      <c r="A29" s="306">
        <f>'A) Base RI'!A31</f>
        <v>5430</v>
      </c>
      <c r="B29" s="33" t="str">
        <f>'A) Base RI'!B31</f>
        <v>Marchissy</v>
      </c>
      <c r="C29" s="304">
        <f>'B) D RI'!U31</f>
        <v>13616.452025316456</v>
      </c>
      <c r="D29" s="33">
        <f>'B) D RI'!AR31</f>
        <v>463</v>
      </c>
      <c r="E29" s="210">
        <f t="shared" si="4"/>
        <v>29.409183639992346</v>
      </c>
      <c r="F29" s="63">
        <f t="shared" si="5"/>
        <v>0.63569759571179407</v>
      </c>
      <c r="G29" s="276">
        <f t="shared" si="6"/>
        <v>0</v>
      </c>
      <c r="H29" s="276">
        <f t="shared" si="7"/>
        <v>0</v>
      </c>
      <c r="I29" s="276">
        <f t="shared" si="8"/>
        <v>0</v>
      </c>
      <c r="J29" s="276">
        <f t="shared" si="9"/>
        <v>0</v>
      </c>
      <c r="K29" s="277">
        <f t="shared" si="10"/>
        <v>0</v>
      </c>
      <c r="L29" s="58">
        <f>K29*D29*'B) D RI'!S31</f>
        <v>0</v>
      </c>
      <c r="M29" s="472">
        <f>(('B) D RI'!S31*C29)-(L29*$M$4))/'B) D RI'!S31</f>
        <v>13616.452025316456</v>
      </c>
      <c r="N29" s="266">
        <f t="shared" si="11"/>
        <v>29.409183639992346</v>
      </c>
      <c r="O29" s="63">
        <f t="shared" si="12"/>
        <v>0.65261962167766541</v>
      </c>
      <c r="R29" s="12"/>
    </row>
    <row r="30" spans="1:25" x14ac:dyDescent="0.25">
      <c r="A30" s="306">
        <f>'A) Base RI'!A32</f>
        <v>5431</v>
      </c>
      <c r="B30" s="33" t="str">
        <f>'A) Base RI'!B32</f>
        <v>Mollens</v>
      </c>
      <c r="C30" s="304">
        <f>'B) D RI'!U32</f>
        <v>8628.4962162162174</v>
      </c>
      <c r="D30" s="33">
        <f>'B) D RI'!AR32</f>
        <v>283</v>
      </c>
      <c r="E30" s="210">
        <f t="shared" si="4"/>
        <v>30.489385923025502</v>
      </c>
      <c r="F30" s="63">
        <f t="shared" si="5"/>
        <v>0.65904683255605578</v>
      </c>
      <c r="G30" s="276">
        <f t="shared" si="6"/>
        <v>0</v>
      </c>
      <c r="H30" s="276">
        <f t="shared" si="7"/>
        <v>0</v>
      </c>
      <c r="I30" s="276">
        <f t="shared" si="8"/>
        <v>0</v>
      </c>
      <c r="J30" s="276">
        <f t="shared" si="9"/>
        <v>0</v>
      </c>
      <c r="K30" s="277">
        <f t="shared" si="10"/>
        <v>0</v>
      </c>
      <c r="L30" s="58">
        <f>K30*D30*'B) D RI'!S32</f>
        <v>0</v>
      </c>
      <c r="M30" s="472">
        <f>(('B) D RI'!S32*C30)-(L30*$M$4))/'B) D RI'!S32</f>
        <v>8628.4962162162174</v>
      </c>
      <c r="N30" s="266">
        <f t="shared" si="11"/>
        <v>30.489385923025502</v>
      </c>
      <c r="O30" s="63">
        <f t="shared" si="12"/>
        <v>0.67659040624340228</v>
      </c>
      <c r="R30" s="12"/>
    </row>
    <row r="31" spans="1:25" x14ac:dyDescent="0.25">
      <c r="A31" s="306">
        <f>'A) Base RI'!A33</f>
        <v>5432</v>
      </c>
      <c r="B31" s="33" t="str">
        <f>'A) Base RI'!B33</f>
        <v>Montherod</v>
      </c>
      <c r="C31" s="304">
        <f>'B) D RI'!U33</f>
        <v>18262.77307692308</v>
      </c>
      <c r="D31" s="33">
        <f>'B) D RI'!AR33</f>
        <v>536</v>
      </c>
      <c r="E31" s="210">
        <f t="shared" si="4"/>
        <v>34.072337830080372</v>
      </c>
      <c r="F31" s="63">
        <f t="shared" si="5"/>
        <v>0.73649454211329946</v>
      </c>
      <c r="G31" s="276">
        <f t="shared" si="6"/>
        <v>0</v>
      </c>
      <c r="H31" s="276">
        <f t="shared" si="7"/>
        <v>0</v>
      </c>
      <c r="I31" s="276">
        <f t="shared" si="8"/>
        <v>0</v>
      </c>
      <c r="J31" s="276">
        <f t="shared" si="9"/>
        <v>0</v>
      </c>
      <c r="K31" s="277">
        <f t="shared" si="10"/>
        <v>0</v>
      </c>
      <c r="L31" s="58">
        <f>K31*D31*'B) D RI'!S33</f>
        <v>0</v>
      </c>
      <c r="M31" s="472">
        <f>(('B) D RI'!S33*C31)-(L31*$M$4))/'B) D RI'!S33</f>
        <v>18262.77307692308</v>
      </c>
      <c r="N31" s="266">
        <f t="shared" si="11"/>
        <v>34.072337830080372</v>
      </c>
      <c r="O31" s="63">
        <f t="shared" si="12"/>
        <v>0.75609974409838621</v>
      </c>
      <c r="R31" s="12"/>
    </row>
    <row r="32" spans="1:25" x14ac:dyDescent="0.25">
      <c r="A32" s="306">
        <f>'A) Base RI'!A34</f>
        <v>5434</v>
      </c>
      <c r="B32" s="33" t="str">
        <f>'A) Base RI'!B34</f>
        <v>Saint-George</v>
      </c>
      <c r="C32" s="304">
        <f>'B) D RI'!U34</f>
        <v>36787.196197183097</v>
      </c>
      <c r="D32" s="33">
        <f>'B) D RI'!AR34</f>
        <v>1031</v>
      </c>
      <c r="E32" s="210">
        <f t="shared" si="4"/>
        <v>35.681082635483122</v>
      </c>
      <c r="F32" s="63">
        <f t="shared" si="5"/>
        <v>0.77126855071643763</v>
      </c>
      <c r="G32" s="276">
        <f t="shared" si="6"/>
        <v>0</v>
      </c>
      <c r="H32" s="276">
        <f t="shared" si="7"/>
        <v>0</v>
      </c>
      <c r="I32" s="276">
        <f t="shared" si="8"/>
        <v>0</v>
      </c>
      <c r="J32" s="276">
        <f t="shared" si="9"/>
        <v>0</v>
      </c>
      <c r="K32" s="277">
        <f t="shared" si="10"/>
        <v>0</v>
      </c>
      <c r="L32" s="58">
        <f>K32*D32*'B) D RI'!S34</f>
        <v>0</v>
      </c>
      <c r="M32" s="472">
        <f>(('B) D RI'!S34*C32)-(L32*$M$4))/'B) D RI'!S34</f>
        <v>36787.196197183097</v>
      </c>
      <c r="N32" s="266">
        <f t="shared" si="11"/>
        <v>35.681082635483122</v>
      </c>
      <c r="O32" s="63">
        <f t="shared" si="12"/>
        <v>0.79179942346147258</v>
      </c>
      <c r="R32" s="12"/>
    </row>
    <row r="33" spans="1:18" x14ac:dyDescent="0.25">
      <c r="A33" s="306">
        <f>'A) Base RI'!A35</f>
        <v>5435</v>
      </c>
      <c r="B33" s="33" t="str">
        <f>'A) Base RI'!B35</f>
        <v>Saint-Livres</v>
      </c>
      <c r="C33" s="304">
        <f>'B) D RI'!U35</f>
        <v>24145.271449275358</v>
      </c>
      <c r="D33" s="33">
        <f>'B) D RI'!AR35</f>
        <v>690</v>
      </c>
      <c r="E33" s="210">
        <f t="shared" si="4"/>
        <v>34.993147027935301</v>
      </c>
      <c r="F33" s="63">
        <f t="shared" si="5"/>
        <v>0.7563983993692921</v>
      </c>
      <c r="G33" s="276">
        <f t="shared" si="6"/>
        <v>0</v>
      </c>
      <c r="H33" s="276">
        <f t="shared" si="7"/>
        <v>0</v>
      </c>
      <c r="I33" s="276">
        <f t="shared" si="8"/>
        <v>0</v>
      </c>
      <c r="J33" s="276">
        <f t="shared" si="9"/>
        <v>0</v>
      </c>
      <c r="K33" s="277">
        <f t="shared" si="10"/>
        <v>0</v>
      </c>
      <c r="L33" s="58">
        <f>K33*D33*'B) D RI'!S35</f>
        <v>0</v>
      </c>
      <c r="M33" s="472">
        <f>(('B) D RI'!S35*C33)-(L33*$M$4))/'B) D RI'!S35</f>
        <v>24145.271449275358</v>
      </c>
      <c r="N33" s="266">
        <f t="shared" si="11"/>
        <v>34.993147027935301</v>
      </c>
      <c r="O33" s="63">
        <f t="shared" si="12"/>
        <v>0.77653343439382871</v>
      </c>
      <c r="R33" s="12"/>
    </row>
    <row r="34" spans="1:18" x14ac:dyDescent="0.25">
      <c r="A34" s="306">
        <f>'A) Base RI'!A36</f>
        <v>5436</v>
      </c>
      <c r="B34" s="33" t="str">
        <f>'A) Base RI'!B36</f>
        <v>Saint-Oyens</v>
      </c>
      <c r="C34" s="304">
        <f>'B) D RI'!U36</f>
        <v>15077.325709876546</v>
      </c>
      <c r="D34" s="33">
        <f>'B) D RI'!AR36</f>
        <v>448</v>
      </c>
      <c r="E34" s="210">
        <f t="shared" si="4"/>
        <v>33.654744888117293</v>
      </c>
      <c r="F34" s="63">
        <f t="shared" si="5"/>
        <v>0.72746801378657799</v>
      </c>
      <c r="G34" s="276">
        <f t="shared" si="6"/>
        <v>0</v>
      </c>
      <c r="H34" s="276">
        <f t="shared" si="7"/>
        <v>0</v>
      </c>
      <c r="I34" s="276">
        <f t="shared" si="8"/>
        <v>0</v>
      </c>
      <c r="J34" s="276">
        <f t="shared" si="9"/>
        <v>0</v>
      </c>
      <c r="K34" s="277">
        <f t="shared" si="10"/>
        <v>0</v>
      </c>
      <c r="L34" s="58">
        <f>K34*D34*'B) D RI'!S36</f>
        <v>0</v>
      </c>
      <c r="M34" s="472">
        <f>(('B) D RI'!S36*C34)-(L34*$M$4))/'B) D RI'!S36</f>
        <v>15077.325709876546</v>
      </c>
      <c r="N34" s="266">
        <f t="shared" si="11"/>
        <v>33.654744888117293</v>
      </c>
      <c r="O34" s="63">
        <f t="shared" si="12"/>
        <v>0.74683293305271659</v>
      </c>
      <c r="R34" s="12"/>
    </row>
    <row r="35" spans="1:18" x14ac:dyDescent="0.25">
      <c r="A35" s="306">
        <f>'A) Base RI'!A37</f>
        <v>5437</v>
      </c>
      <c r="B35" s="33" t="str">
        <f>'A) Base RI'!B37</f>
        <v>Saubraz</v>
      </c>
      <c r="C35" s="304">
        <f>'B) D RI'!U37</f>
        <v>11422.239624999998</v>
      </c>
      <c r="D35" s="33">
        <f>'B) D RI'!AR37</f>
        <v>418</v>
      </c>
      <c r="E35" s="210">
        <f t="shared" si="4"/>
        <v>27.325932117224877</v>
      </c>
      <c r="F35" s="63">
        <f t="shared" si="5"/>
        <v>0.5906668325155886</v>
      </c>
      <c r="G35" s="276">
        <f t="shared" si="6"/>
        <v>0</v>
      </c>
      <c r="H35" s="276">
        <f t="shared" si="7"/>
        <v>0</v>
      </c>
      <c r="I35" s="276">
        <f t="shared" si="8"/>
        <v>0</v>
      </c>
      <c r="J35" s="276">
        <f t="shared" si="9"/>
        <v>0</v>
      </c>
      <c r="K35" s="277">
        <f t="shared" si="10"/>
        <v>0</v>
      </c>
      <c r="L35" s="58">
        <f>K35*D35*'B) D RI'!S37</f>
        <v>0</v>
      </c>
      <c r="M35" s="472">
        <f>(('B) D RI'!S37*C35)-(L35*$M$4))/'B) D RI'!S37</f>
        <v>11422.239624999998</v>
      </c>
      <c r="N35" s="266">
        <f t="shared" si="11"/>
        <v>27.325932117224877</v>
      </c>
      <c r="O35" s="63">
        <f t="shared" si="12"/>
        <v>0.60639015685161357</v>
      </c>
      <c r="R35" s="12"/>
    </row>
    <row r="36" spans="1:18" x14ac:dyDescent="0.25">
      <c r="A36" s="306">
        <f>'A) Base RI'!A38</f>
        <v>5451</v>
      </c>
      <c r="B36" s="33" t="str">
        <f>'A) Base RI'!B38</f>
        <v>Avenches</v>
      </c>
      <c r="C36" s="304">
        <f>'B) D RI'!U38</f>
        <v>150757.73362745097</v>
      </c>
      <c r="D36" s="33">
        <f>'B) D RI'!AR38</f>
        <v>4282</v>
      </c>
      <c r="E36" s="210">
        <f t="shared" si="4"/>
        <v>35.207317521590603</v>
      </c>
      <c r="F36" s="63">
        <f t="shared" si="5"/>
        <v>0.76102782633862642</v>
      </c>
      <c r="G36" s="276">
        <f t="shared" si="6"/>
        <v>0</v>
      </c>
      <c r="H36" s="276">
        <f t="shared" si="7"/>
        <v>0</v>
      </c>
      <c r="I36" s="276">
        <f t="shared" si="8"/>
        <v>0</v>
      </c>
      <c r="J36" s="276">
        <f t="shared" si="9"/>
        <v>0</v>
      </c>
      <c r="K36" s="277">
        <f t="shared" si="10"/>
        <v>0</v>
      </c>
      <c r="L36" s="58">
        <f>K36*D36*'B) D RI'!S38</f>
        <v>0</v>
      </c>
      <c r="M36" s="472">
        <f>(('B) D RI'!S38*C36)-(L36*$M$4))/'B) D RI'!S38</f>
        <v>150757.73362745097</v>
      </c>
      <c r="N36" s="266">
        <f t="shared" si="11"/>
        <v>35.207317521590603</v>
      </c>
      <c r="O36" s="63">
        <f t="shared" si="12"/>
        <v>0.78128609493193946</v>
      </c>
      <c r="R36" s="12"/>
    </row>
    <row r="37" spans="1:18" x14ac:dyDescent="0.25">
      <c r="A37" s="306">
        <f>'A) Base RI'!A39</f>
        <v>5456</v>
      </c>
      <c r="B37" s="33" t="str">
        <f>'A) Base RI'!B39</f>
        <v>Cudrefin</v>
      </c>
      <c r="C37" s="304">
        <f>'B) D RI'!U39</f>
        <v>59376.955254237291</v>
      </c>
      <c r="D37" s="33">
        <f>'B) D RI'!AR39</f>
        <v>1633</v>
      </c>
      <c r="E37" s="210">
        <f t="shared" si="4"/>
        <v>36.360658453299017</v>
      </c>
      <c r="F37" s="63">
        <f t="shared" si="5"/>
        <v>0.78595800006592509</v>
      </c>
      <c r="G37" s="276">
        <f t="shared" si="6"/>
        <v>0</v>
      </c>
      <c r="H37" s="276">
        <f t="shared" si="7"/>
        <v>0</v>
      </c>
      <c r="I37" s="276">
        <f t="shared" si="8"/>
        <v>0</v>
      </c>
      <c r="J37" s="276">
        <f t="shared" si="9"/>
        <v>0</v>
      </c>
      <c r="K37" s="277">
        <f t="shared" si="10"/>
        <v>0</v>
      </c>
      <c r="L37" s="58">
        <f>K37*D37*'B) D RI'!S39</f>
        <v>0</v>
      </c>
      <c r="M37" s="472">
        <f>(('B) D RI'!S39*C37)-(L37*$M$4))/'B) D RI'!S39</f>
        <v>59376.955254237291</v>
      </c>
      <c r="N37" s="266">
        <f t="shared" si="11"/>
        <v>36.360658453299017</v>
      </c>
      <c r="O37" s="63">
        <f t="shared" si="12"/>
        <v>0.80687990031364865</v>
      </c>
      <c r="R37" s="12"/>
    </row>
    <row r="38" spans="1:18" x14ac:dyDescent="0.25">
      <c r="A38" s="306">
        <f>'A) Base RI'!A40</f>
        <v>5458</v>
      </c>
      <c r="B38" s="33" t="str">
        <f>'A) Base RI'!B40</f>
        <v>Faoug</v>
      </c>
      <c r="C38" s="304">
        <f>'B) D RI'!U40</f>
        <v>30529.72296875</v>
      </c>
      <c r="D38" s="33">
        <f>'B) D RI'!AR40</f>
        <v>904</v>
      </c>
      <c r="E38" s="210">
        <f t="shared" si="4"/>
        <v>33.771817443307519</v>
      </c>
      <c r="F38" s="63">
        <f t="shared" si="5"/>
        <v>0.72999860908528791</v>
      </c>
      <c r="G38" s="276">
        <f t="shared" si="6"/>
        <v>0</v>
      </c>
      <c r="H38" s="276">
        <f t="shared" si="7"/>
        <v>0</v>
      </c>
      <c r="I38" s="276">
        <f t="shared" si="8"/>
        <v>0</v>
      </c>
      <c r="J38" s="276">
        <f t="shared" si="9"/>
        <v>0</v>
      </c>
      <c r="K38" s="277">
        <f t="shared" si="10"/>
        <v>0</v>
      </c>
      <c r="L38" s="58">
        <f>K38*D38*'B) D RI'!S40</f>
        <v>0</v>
      </c>
      <c r="M38" s="472">
        <f>(('B) D RI'!S40*C38)-(L38*$M$4))/'B) D RI'!S40</f>
        <v>30529.72296875</v>
      </c>
      <c r="N38" s="266">
        <f t="shared" si="11"/>
        <v>33.771817443307519</v>
      </c>
      <c r="O38" s="63">
        <f t="shared" si="12"/>
        <v>0.74943089182683176</v>
      </c>
      <c r="R38" s="12"/>
    </row>
    <row r="39" spans="1:18" x14ac:dyDescent="0.25">
      <c r="A39" s="306">
        <f>'A) Base RI'!A41</f>
        <v>5464</v>
      </c>
      <c r="B39" s="33" t="str">
        <f>'A) Base RI'!B41</f>
        <v>Vully-les-Lacs</v>
      </c>
      <c r="C39" s="304">
        <f>'B) D RI'!U41</f>
        <v>103962.98910447762</v>
      </c>
      <c r="D39" s="33">
        <f>'B) D RI'!AR41</f>
        <v>3163</v>
      </c>
      <c r="E39" s="210">
        <f t="shared" si="4"/>
        <v>32.868475847131712</v>
      </c>
      <c r="F39" s="63">
        <f t="shared" si="5"/>
        <v>0.71047232478494737</v>
      </c>
      <c r="G39" s="276">
        <f t="shared" si="6"/>
        <v>0</v>
      </c>
      <c r="H39" s="276">
        <f t="shared" si="7"/>
        <v>0</v>
      </c>
      <c r="I39" s="276">
        <f t="shared" si="8"/>
        <v>0</v>
      </c>
      <c r="J39" s="276">
        <f t="shared" si="9"/>
        <v>0</v>
      </c>
      <c r="K39" s="277">
        <f t="shared" si="10"/>
        <v>0</v>
      </c>
      <c r="L39" s="58">
        <f>K39*D39*'B) D RI'!S41</f>
        <v>0</v>
      </c>
      <c r="M39" s="472">
        <f>(('B) D RI'!S41*C39)-(L39*$M$4))/'B) D RI'!S41</f>
        <v>103962.98910447762</v>
      </c>
      <c r="N39" s="266">
        <f t="shared" si="11"/>
        <v>32.868475847131712</v>
      </c>
      <c r="O39" s="63">
        <f t="shared" si="12"/>
        <v>0.72938482533417792</v>
      </c>
      <c r="R39" s="12"/>
    </row>
    <row r="40" spans="1:18" x14ac:dyDescent="0.25">
      <c r="A40" s="306">
        <f>'A) Base RI'!A42</f>
        <v>5471</v>
      </c>
      <c r="B40" s="33" t="str">
        <f>'A) Base RI'!B42</f>
        <v>Bettens</v>
      </c>
      <c r="C40" s="304">
        <f>'B) D RI'!U42</f>
        <v>18585.086968253971</v>
      </c>
      <c r="D40" s="33">
        <f>'B) D RI'!AR42</f>
        <v>592</v>
      </c>
      <c r="E40" s="210">
        <f t="shared" si="4"/>
        <v>31.39372798691549</v>
      </c>
      <c r="F40" s="63">
        <f t="shared" si="5"/>
        <v>0.67859474258148544</v>
      </c>
      <c r="G40" s="276">
        <f t="shared" si="6"/>
        <v>0</v>
      </c>
      <c r="H40" s="276">
        <f t="shared" si="7"/>
        <v>0</v>
      </c>
      <c r="I40" s="276">
        <f t="shared" si="8"/>
        <v>0</v>
      </c>
      <c r="J40" s="276">
        <f t="shared" si="9"/>
        <v>0</v>
      </c>
      <c r="K40" s="277">
        <f t="shared" si="10"/>
        <v>0</v>
      </c>
      <c r="L40" s="58">
        <f>K40*D40*'B) D RI'!S42</f>
        <v>0</v>
      </c>
      <c r="M40" s="472">
        <f>(('B) D RI'!S42*C40)-(L40*$M$4))/'B) D RI'!S42</f>
        <v>18585.086968253971</v>
      </c>
      <c r="N40" s="266">
        <f t="shared" si="11"/>
        <v>31.39372798691549</v>
      </c>
      <c r="O40" s="63">
        <f t="shared" si="12"/>
        <v>0.69665867412964533</v>
      </c>
      <c r="R40" s="12"/>
    </row>
    <row r="41" spans="1:18" x14ac:dyDescent="0.25">
      <c r="A41" s="306">
        <f>'A) Base RI'!A43</f>
        <v>5472</v>
      </c>
      <c r="B41" s="33" t="str">
        <f>'A) Base RI'!B43</f>
        <v>Bournens</v>
      </c>
      <c r="C41" s="304">
        <f>'B) D RI'!U43</f>
        <v>16542.658815789473</v>
      </c>
      <c r="D41" s="33">
        <f>'B) D RI'!AR43</f>
        <v>404</v>
      </c>
      <c r="E41" s="210">
        <f t="shared" si="4"/>
        <v>40.947175286607603</v>
      </c>
      <c r="F41" s="63">
        <f t="shared" si="5"/>
        <v>0.8850983828564587</v>
      </c>
      <c r="G41" s="276">
        <f t="shared" si="6"/>
        <v>0</v>
      </c>
      <c r="H41" s="276">
        <f t="shared" si="7"/>
        <v>0</v>
      </c>
      <c r="I41" s="276">
        <f t="shared" si="8"/>
        <v>0</v>
      </c>
      <c r="J41" s="276">
        <f t="shared" si="9"/>
        <v>0</v>
      </c>
      <c r="K41" s="277">
        <f t="shared" si="10"/>
        <v>0</v>
      </c>
      <c r="L41" s="58">
        <f>K41*D41*'B) D RI'!S43</f>
        <v>0</v>
      </c>
      <c r="M41" s="472">
        <f>(('B) D RI'!S43*C41)-(L41*$M$4))/'B) D RI'!S43</f>
        <v>16542.658815789473</v>
      </c>
      <c r="N41" s="266">
        <f t="shared" si="11"/>
        <v>40.947175286607603</v>
      </c>
      <c r="O41" s="63">
        <f t="shared" si="12"/>
        <v>0.90865936203599629</v>
      </c>
      <c r="R41" s="12"/>
    </row>
    <row r="42" spans="1:18" x14ac:dyDescent="0.25">
      <c r="A42" s="306">
        <f>'A) Base RI'!A44</f>
        <v>5473</v>
      </c>
      <c r="B42" s="33" t="str">
        <f>'A) Base RI'!B44</f>
        <v>Boussens</v>
      </c>
      <c r="C42" s="304">
        <f>'B) D RI'!U44</f>
        <v>36720.844927536244</v>
      </c>
      <c r="D42" s="33">
        <f>'B) D RI'!AR44</f>
        <v>968</v>
      </c>
      <c r="E42" s="210">
        <f t="shared" si="4"/>
        <v>37.934757156545707</v>
      </c>
      <c r="F42" s="63">
        <f t="shared" si="5"/>
        <v>0.81998311185808748</v>
      </c>
      <c r="G42" s="276">
        <f t="shared" si="6"/>
        <v>0</v>
      </c>
      <c r="H42" s="276">
        <f t="shared" si="7"/>
        <v>0</v>
      </c>
      <c r="I42" s="276">
        <f t="shared" si="8"/>
        <v>0</v>
      </c>
      <c r="J42" s="276">
        <f t="shared" si="9"/>
        <v>0</v>
      </c>
      <c r="K42" s="277">
        <f t="shared" si="10"/>
        <v>0</v>
      </c>
      <c r="L42" s="58">
        <f>K42*D42*'B) D RI'!S44</f>
        <v>0</v>
      </c>
      <c r="M42" s="472">
        <f>(('B) D RI'!S44*C42)-(L42*$M$4))/'B) D RI'!S44</f>
        <v>36720.844927536244</v>
      </c>
      <c r="N42" s="266">
        <f t="shared" si="11"/>
        <v>37.934757156545707</v>
      </c>
      <c r="O42" s="63">
        <f t="shared" si="12"/>
        <v>0.84181074752013807</v>
      </c>
      <c r="R42" s="12"/>
    </row>
    <row r="43" spans="1:18" x14ac:dyDescent="0.25">
      <c r="A43" s="306">
        <f>'A) Base RI'!A45</f>
        <v>5474</v>
      </c>
      <c r="B43" s="33" t="str">
        <f>'A) Base RI'!B45</f>
        <v>La Chaux (Cossonay)</v>
      </c>
      <c r="C43" s="304">
        <f>'B) D RI'!U45</f>
        <v>12985.393549783552</v>
      </c>
      <c r="D43" s="33">
        <f>'B) D RI'!AR45</f>
        <v>410</v>
      </c>
      <c r="E43" s="210">
        <f t="shared" si="4"/>
        <v>31.67169158483793</v>
      </c>
      <c r="F43" s="63">
        <f t="shared" si="5"/>
        <v>0.68460309674247632</v>
      </c>
      <c r="G43" s="276">
        <f t="shared" si="6"/>
        <v>0</v>
      </c>
      <c r="H43" s="276">
        <f t="shared" si="7"/>
        <v>0</v>
      </c>
      <c r="I43" s="276">
        <f t="shared" si="8"/>
        <v>0</v>
      </c>
      <c r="J43" s="276">
        <f t="shared" si="9"/>
        <v>0</v>
      </c>
      <c r="K43" s="277">
        <f t="shared" si="10"/>
        <v>0</v>
      </c>
      <c r="L43" s="58">
        <f>K43*D43*'B) D RI'!S45</f>
        <v>0</v>
      </c>
      <c r="M43" s="472">
        <f>(('B) D RI'!S45*C43)-(L43*$M$4))/'B) D RI'!S45</f>
        <v>12985.393549783552</v>
      </c>
      <c r="N43" s="266">
        <f t="shared" si="11"/>
        <v>31.67169158483793</v>
      </c>
      <c r="O43" s="63">
        <f t="shared" si="12"/>
        <v>0.70282696837191128</v>
      </c>
      <c r="R43" s="12"/>
    </row>
    <row r="44" spans="1:18" x14ac:dyDescent="0.25">
      <c r="A44" s="306">
        <f>'A) Base RI'!A46</f>
        <v>5475</v>
      </c>
      <c r="B44" s="33" t="str">
        <f>'A) Base RI'!B46</f>
        <v>Chavannes-le-Veyron</v>
      </c>
      <c r="C44" s="304">
        <f>'B) D RI'!U46</f>
        <v>4956.4012987012984</v>
      </c>
      <c r="D44" s="33">
        <f>'B) D RI'!AR46</f>
        <v>142</v>
      </c>
      <c r="E44" s="210">
        <f t="shared" si="4"/>
        <v>34.904234497896468</v>
      </c>
      <c r="F44" s="63">
        <f t="shared" si="5"/>
        <v>0.75447650033713143</v>
      </c>
      <c r="G44" s="276">
        <f t="shared" si="6"/>
        <v>0</v>
      </c>
      <c r="H44" s="276">
        <f t="shared" si="7"/>
        <v>0</v>
      </c>
      <c r="I44" s="276">
        <f t="shared" si="8"/>
        <v>0</v>
      </c>
      <c r="J44" s="276">
        <f t="shared" si="9"/>
        <v>0</v>
      </c>
      <c r="K44" s="277">
        <f t="shared" si="10"/>
        <v>0</v>
      </c>
      <c r="L44" s="58">
        <f>K44*D44*'B) D RI'!S46</f>
        <v>0</v>
      </c>
      <c r="M44" s="472">
        <f>(('B) D RI'!S46*C44)-(L44*$M$4))/'B) D RI'!S46</f>
        <v>4956.4012987012984</v>
      </c>
      <c r="N44" s="266">
        <f t="shared" si="11"/>
        <v>34.904234497896468</v>
      </c>
      <c r="O44" s="63">
        <f t="shared" si="12"/>
        <v>0.77456037514721165</v>
      </c>
      <c r="R44" s="12"/>
    </row>
    <row r="45" spans="1:18" x14ac:dyDescent="0.25">
      <c r="A45" s="306">
        <f>'A) Base RI'!A47</f>
        <v>5476</v>
      </c>
      <c r="B45" s="33" t="str">
        <f>'A) Base RI'!B47</f>
        <v>Chevilly</v>
      </c>
      <c r="C45" s="304">
        <f>'B) D RI'!U47</f>
        <v>10630.648108108109</v>
      </c>
      <c r="D45" s="33">
        <f>'B) D RI'!AR47</f>
        <v>314</v>
      </c>
      <c r="E45" s="210">
        <f t="shared" si="4"/>
        <v>33.855567223274235</v>
      </c>
      <c r="F45" s="63">
        <f t="shared" si="5"/>
        <v>0.73180891209872612</v>
      </c>
      <c r="G45" s="276">
        <f t="shared" si="6"/>
        <v>0</v>
      </c>
      <c r="H45" s="276">
        <f t="shared" si="7"/>
        <v>0</v>
      </c>
      <c r="I45" s="276">
        <f t="shared" si="8"/>
        <v>0</v>
      </c>
      <c r="J45" s="276">
        <f t="shared" si="9"/>
        <v>0</v>
      </c>
      <c r="K45" s="277">
        <f t="shared" si="10"/>
        <v>0</v>
      </c>
      <c r="L45" s="58">
        <f>K45*D45*'B) D RI'!S47</f>
        <v>0</v>
      </c>
      <c r="M45" s="472">
        <f>(('B) D RI'!S47*C45)-(L45*$M$4))/'B) D RI'!S47</f>
        <v>10630.648108108109</v>
      </c>
      <c r="N45" s="266">
        <f t="shared" si="11"/>
        <v>33.855567223274235</v>
      </c>
      <c r="O45" s="63">
        <f t="shared" si="12"/>
        <v>0.75128938441154747</v>
      </c>
      <c r="R45" s="12"/>
    </row>
    <row r="46" spans="1:18" x14ac:dyDescent="0.25">
      <c r="A46" s="306">
        <f>'A) Base RI'!A48</f>
        <v>5477</v>
      </c>
      <c r="B46" s="33" t="str">
        <f>'A) Base RI'!B48</f>
        <v>Cossonay</v>
      </c>
      <c r="C46" s="304">
        <f>'B) D RI'!U48</f>
        <v>133477.09521126762</v>
      </c>
      <c r="D46" s="33">
        <f>'B) D RI'!AR48</f>
        <v>3871</v>
      </c>
      <c r="E46" s="210">
        <f t="shared" si="4"/>
        <v>34.48129558544759</v>
      </c>
      <c r="F46" s="63">
        <f t="shared" si="5"/>
        <v>0.74533441556973579</v>
      </c>
      <c r="G46" s="276">
        <f t="shared" si="6"/>
        <v>0</v>
      </c>
      <c r="H46" s="276">
        <f t="shared" si="7"/>
        <v>0</v>
      </c>
      <c r="I46" s="276">
        <f t="shared" si="8"/>
        <v>0</v>
      </c>
      <c r="J46" s="276">
        <f t="shared" si="9"/>
        <v>0</v>
      </c>
      <c r="K46" s="277">
        <f t="shared" si="10"/>
        <v>0</v>
      </c>
      <c r="L46" s="58">
        <f>K46*D46*'B) D RI'!S48</f>
        <v>0</v>
      </c>
      <c r="M46" s="472">
        <f>(('B) D RI'!S48*C46)-(L46*$M$4))/'B) D RI'!S48</f>
        <v>133477.09521126762</v>
      </c>
      <c r="N46" s="266">
        <f t="shared" si="11"/>
        <v>34.48129558544759</v>
      </c>
      <c r="O46" s="63">
        <f t="shared" si="12"/>
        <v>0.76517493159277705</v>
      </c>
      <c r="R46" s="12"/>
    </row>
    <row r="47" spans="1:18" x14ac:dyDescent="0.25">
      <c r="A47" s="306">
        <f>'A) Base RI'!A49</f>
        <v>5478</v>
      </c>
      <c r="B47" s="33" t="str">
        <f>'A) Base RI'!B49</f>
        <v>Cottens</v>
      </c>
      <c r="C47" s="304">
        <f>'B) D RI'!U49</f>
        <v>14377.418378378377</v>
      </c>
      <c r="D47" s="33">
        <f>'B) D RI'!AR49</f>
        <v>486</v>
      </c>
      <c r="E47" s="210">
        <f t="shared" si="4"/>
        <v>29.583165387609831</v>
      </c>
      <c r="F47" s="63">
        <f t="shared" si="5"/>
        <v>0.63945831821303922</v>
      </c>
      <c r="G47" s="276">
        <f t="shared" si="6"/>
        <v>0</v>
      </c>
      <c r="H47" s="276">
        <f t="shared" si="7"/>
        <v>0</v>
      </c>
      <c r="I47" s="276">
        <f t="shared" si="8"/>
        <v>0</v>
      </c>
      <c r="J47" s="276">
        <f t="shared" si="9"/>
        <v>0</v>
      </c>
      <c r="K47" s="277">
        <f t="shared" si="10"/>
        <v>0</v>
      </c>
      <c r="L47" s="58">
        <f>K47*D47*'B) D RI'!S49</f>
        <v>0</v>
      </c>
      <c r="M47" s="472">
        <f>(('B) D RI'!S49*C47)-(L47*$M$4))/'B) D RI'!S49</f>
        <v>14377.418378378377</v>
      </c>
      <c r="N47" s="266">
        <f t="shared" si="11"/>
        <v>29.583165387609831</v>
      </c>
      <c r="O47" s="63">
        <f t="shared" si="12"/>
        <v>0.65648045316822534</v>
      </c>
      <c r="R47" s="12"/>
    </row>
    <row r="48" spans="1:18" x14ac:dyDescent="0.25">
      <c r="A48" s="306">
        <f>'A) Base RI'!A50</f>
        <v>5479</v>
      </c>
      <c r="B48" s="33" t="str">
        <f>'A) Base RI'!B50</f>
        <v>Cuarnens</v>
      </c>
      <c r="C48" s="304">
        <f>'B) D RI'!U50</f>
        <v>16455.372077922078</v>
      </c>
      <c r="D48" s="33">
        <f>'B) D RI'!AR50</f>
        <v>479</v>
      </c>
      <c r="E48" s="210">
        <f t="shared" si="4"/>
        <v>34.353595152238157</v>
      </c>
      <c r="F48" s="63">
        <f t="shared" si="5"/>
        <v>0.74257409214980252</v>
      </c>
      <c r="G48" s="276">
        <f t="shared" si="6"/>
        <v>0</v>
      </c>
      <c r="H48" s="276">
        <f t="shared" si="7"/>
        <v>0</v>
      </c>
      <c r="I48" s="276">
        <f t="shared" si="8"/>
        <v>0</v>
      </c>
      <c r="J48" s="276">
        <f t="shared" si="9"/>
        <v>0</v>
      </c>
      <c r="K48" s="277">
        <f t="shared" si="10"/>
        <v>0</v>
      </c>
      <c r="L48" s="58">
        <f>K48*D48*'B) D RI'!S50</f>
        <v>0</v>
      </c>
      <c r="M48" s="472">
        <f>(('B) D RI'!S50*C48)-(L48*$M$4))/'B) D RI'!S50</f>
        <v>16455.372077922078</v>
      </c>
      <c r="N48" s="266">
        <f t="shared" si="11"/>
        <v>34.353595152238157</v>
      </c>
      <c r="O48" s="63">
        <f t="shared" si="12"/>
        <v>0.76234112942303967</v>
      </c>
      <c r="R48" s="12"/>
    </row>
    <row r="49" spans="1:18" x14ac:dyDescent="0.25">
      <c r="A49" s="306">
        <f>'A) Base RI'!A51</f>
        <v>5480</v>
      </c>
      <c r="B49" s="33" t="str">
        <f>'A) Base RI'!B51</f>
        <v>Daillens</v>
      </c>
      <c r="C49" s="304">
        <f>'B) D RI'!U51</f>
        <v>41472.794507042257</v>
      </c>
      <c r="D49" s="33">
        <f>'B) D RI'!AR51</f>
        <v>1027</v>
      </c>
      <c r="E49" s="210">
        <f t="shared" si="4"/>
        <v>40.382467874432578</v>
      </c>
      <c r="F49" s="63">
        <f t="shared" si="5"/>
        <v>0.87289188475726875</v>
      </c>
      <c r="G49" s="276">
        <f t="shared" si="6"/>
        <v>0</v>
      </c>
      <c r="H49" s="276">
        <f t="shared" si="7"/>
        <v>0</v>
      </c>
      <c r="I49" s="276">
        <f t="shared" si="8"/>
        <v>0</v>
      </c>
      <c r="J49" s="276">
        <f t="shared" si="9"/>
        <v>0</v>
      </c>
      <c r="K49" s="277">
        <f t="shared" si="10"/>
        <v>0</v>
      </c>
      <c r="L49" s="58">
        <f>K49*D49*'B) D RI'!S51</f>
        <v>0</v>
      </c>
      <c r="M49" s="472">
        <f>(('B) D RI'!S51*C49)-(L49*$M$4))/'B) D RI'!S51</f>
        <v>41472.794507042257</v>
      </c>
      <c r="N49" s="266">
        <f t="shared" si="11"/>
        <v>40.382467874432578</v>
      </c>
      <c r="O49" s="63">
        <f t="shared" si="12"/>
        <v>0.89612793164324389</v>
      </c>
      <c r="R49" s="12"/>
    </row>
    <row r="50" spans="1:18" x14ac:dyDescent="0.25">
      <c r="A50" s="306">
        <f>'A) Base RI'!A52</f>
        <v>5481</v>
      </c>
      <c r="B50" s="33" t="str">
        <f>'A) Base RI'!B52</f>
        <v>Dizy</v>
      </c>
      <c r="C50" s="304">
        <f>'B) D RI'!U52</f>
        <v>11087.272784810126</v>
      </c>
      <c r="D50" s="33">
        <f>'B) D RI'!AR52</f>
        <v>223</v>
      </c>
      <c r="E50" s="210">
        <f t="shared" si="4"/>
        <v>49.718712039507288</v>
      </c>
      <c r="F50" s="63">
        <f t="shared" si="5"/>
        <v>1.0747005456629546</v>
      </c>
      <c r="G50" s="276">
        <f t="shared" si="6"/>
        <v>0</v>
      </c>
      <c r="H50" s="276">
        <f t="shared" si="7"/>
        <v>0</v>
      </c>
      <c r="I50" s="276">
        <f t="shared" si="8"/>
        <v>0</v>
      </c>
      <c r="J50" s="276">
        <f t="shared" si="9"/>
        <v>0</v>
      </c>
      <c r="K50" s="277">
        <f t="shared" si="10"/>
        <v>0</v>
      </c>
      <c r="L50" s="58">
        <f>K50*D50*'B) D RI'!S52</f>
        <v>0</v>
      </c>
      <c r="M50" s="472">
        <f>(('B) D RI'!S52*C50)-(L50*$M$4))/'B) D RI'!S52</f>
        <v>11087.272784810126</v>
      </c>
      <c r="N50" s="266">
        <f t="shared" si="11"/>
        <v>49.718712039507288</v>
      </c>
      <c r="O50" s="63">
        <f t="shared" si="12"/>
        <v>1.1033086616318086</v>
      </c>
      <c r="R50" s="12"/>
    </row>
    <row r="51" spans="1:18" x14ac:dyDescent="0.25">
      <c r="A51" s="306">
        <f>'A) Base RI'!A53</f>
        <v>5482</v>
      </c>
      <c r="B51" s="33" t="str">
        <f>'A) Base RI'!B53</f>
        <v>Eclépens</v>
      </c>
      <c r="C51" s="304">
        <f>'B) D RI'!U53</f>
        <v>49011.702173913051</v>
      </c>
      <c r="D51" s="33">
        <f>'B) D RI'!AR53</f>
        <v>1211</v>
      </c>
      <c r="E51" s="210">
        <f t="shared" si="4"/>
        <v>40.472090977632575</v>
      </c>
      <c r="F51" s="63">
        <f t="shared" si="5"/>
        <v>0.87482914326542383</v>
      </c>
      <c r="G51" s="276">
        <f t="shared" si="6"/>
        <v>0</v>
      </c>
      <c r="H51" s="276">
        <f t="shared" si="7"/>
        <v>0</v>
      </c>
      <c r="I51" s="276">
        <f t="shared" si="8"/>
        <v>0</v>
      </c>
      <c r="J51" s="276">
        <f t="shared" si="9"/>
        <v>0</v>
      </c>
      <c r="K51" s="277">
        <f t="shared" si="10"/>
        <v>0</v>
      </c>
      <c r="L51" s="58">
        <f>K51*D51*'B) D RI'!S53</f>
        <v>0</v>
      </c>
      <c r="M51" s="472">
        <f>(('B) D RI'!S53*C51)-(L51*$M$4))/'B) D RI'!S53</f>
        <v>49011.702173913051</v>
      </c>
      <c r="N51" s="266">
        <f t="shared" si="11"/>
        <v>40.472090977632575</v>
      </c>
      <c r="O51" s="63">
        <f t="shared" si="12"/>
        <v>0.89811675922920997</v>
      </c>
      <c r="R51" s="12"/>
    </row>
    <row r="52" spans="1:18" x14ac:dyDescent="0.25">
      <c r="A52" s="306">
        <f>'A) Base RI'!A54</f>
        <v>5483</v>
      </c>
      <c r="B52" s="33" t="str">
        <f>'A) Base RI'!B54</f>
        <v>Ferreyres</v>
      </c>
      <c r="C52" s="304">
        <f>'B) D RI'!U54</f>
        <v>8858.2019736842121</v>
      </c>
      <c r="D52" s="33">
        <f>'B) D RI'!AR54</f>
        <v>310</v>
      </c>
      <c r="E52" s="210">
        <f t="shared" si="4"/>
        <v>28.574845076400685</v>
      </c>
      <c r="F52" s="63">
        <f t="shared" si="5"/>
        <v>0.61766285440861834</v>
      </c>
      <c r="G52" s="276">
        <f t="shared" si="6"/>
        <v>0</v>
      </c>
      <c r="H52" s="276">
        <f t="shared" si="7"/>
        <v>0</v>
      </c>
      <c r="I52" s="276">
        <f t="shared" si="8"/>
        <v>0</v>
      </c>
      <c r="J52" s="276">
        <f t="shared" si="9"/>
        <v>0</v>
      </c>
      <c r="K52" s="277">
        <f t="shared" si="10"/>
        <v>0</v>
      </c>
      <c r="L52" s="58">
        <f>K52*D52*'B) D RI'!S54</f>
        <v>0</v>
      </c>
      <c r="M52" s="472">
        <f>(('B) D RI'!S54*C52)-(L52*$M$4))/'B) D RI'!S54</f>
        <v>8858.2019736842121</v>
      </c>
      <c r="N52" s="266">
        <f t="shared" si="11"/>
        <v>28.574845076400685</v>
      </c>
      <c r="O52" s="63">
        <f t="shared" si="12"/>
        <v>0.63410480248418655</v>
      </c>
      <c r="R52" s="12"/>
    </row>
    <row r="53" spans="1:18" x14ac:dyDescent="0.25">
      <c r="A53" s="306">
        <f>'A) Base RI'!A55</f>
        <v>5484</v>
      </c>
      <c r="B53" s="33" t="str">
        <f>'A) Base RI'!B55</f>
        <v>Gollion</v>
      </c>
      <c r="C53" s="304">
        <f>'B) D RI'!U55</f>
        <v>32194.381081081083</v>
      </c>
      <c r="D53" s="33">
        <f>'B) D RI'!AR55</f>
        <v>939</v>
      </c>
      <c r="E53" s="210">
        <f t="shared" si="4"/>
        <v>34.285815847796677</v>
      </c>
      <c r="F53" s="63">
        <f t="shared" si="5"/>
        <v>0.74110900078922914</v>
      </c>
      <c r="G53" s="276">
        <f t="shared" si="6"/>
        <v>0</v>
      </c>
      <c r="H53" s="276">
        <f t="shared" si="7"/>
        <v>0</v>
      </c>
      <c r="I53" s="276">
        <f t="shared" si="8"/>
        <v>0</v>
      </c>
      <c r="J53" s="276">
        <f t="shared" si="9"/>
        <v>0</v>
      </c>
      <c r="K53" s="277">
        <f t="shared" si="10"/>
        <v>0</v>
      </c>
      <c r="L53" s="58">
        <f>K53*D53*'B) D RI'!S55</f>
        <v>0</v>
      </c>
      <c r="M53" s="472">
        <f>(('B) D RI'!S55*C53)-(L53*$M$4))/'B) D RI'!S55</f>
        <v>32194.381081081083</v>
      </c>
      <c r="N53" s="266">
        <f t="shared" si="11"/>
        <v>34.285815847796677</v>
      </c>
      <c r="O53" s="63">
        <f t="shared" si="12"/>
        <v>0.76083703789286805</v>
      </c>
      <c r="R53" s="12"/>
    </row>
    <row r="54" spans="1:18" x14ac:dyDescent="0.25">
      <c r="A54" s="306">
        <f>'A) Base RI'!A56</f>
        <v>5485</v>
      </c>
      <c r="B54" s="33" t="str">
        <f>'A) Base RI'!B56</f>
        <v>Grancy</v>
      </c>
      <c r="C54" s="304">
        <f>'B) D RI'!U56</f>
        <v>18697.252714285714</v>
      </c>
      <c r="D54" s="33">
        <f>'B) D RI'!AR56</f>
        <v>398</v>
      </c>
      <c r="E54" s="210">
        <f t="shared" si="4"/>
        <v>46.978021895190238</v>
      </c>
      <c r="F54" s="63">
        <f t="shared" si="5"/>
        <v>1.0154588422324609</v>
      </c>
      <c r="G54" s="276">
        <f t="shared" si="6"/>
        <v>0</v>
      </c>
      <c r="H54" s="276">
        <f t="shared" si="7"/>
        <v>0</v>
      </c>
      <c r="I54" s="276">
        <f t="shared" si="8"/>
        <v>0</v>
      </c>
      <c r="J54" s="276">
        <f t="shared" si="9"/>
        <v>0</v>
      </c>
      <c r="K54" s="277">
        <f t="shared" si="10"/>
        <v>0</v>
      </c>
      <c r="L54" s="58">
        <f>K54*D54*'B) D RI'!S56</f>
        <v>0</v>
      </c>
      <c r="M54" s="472">
        <f>(('B) D RI'!S56*C54)-(L54*$M$4))/'B) D RI'!S56</f>
        <v>18697.252714285714</v>
      </c>
      <c r="N54" s="266">
        <f t="shared" si="11"/>
        <v>46.978021895190238</v>
      </c>
      <c r="O54" s="63">
        <f t="shared" si="12"/>
        <v>1.0424899667977359</v>
      </c>
      <c r="R54" s="12"/>
    </row>
    <row r="55" spans="1:18" x14ac:dyDescent="0.25">
      <c r="A55" s="306">
        <f>'A) Base RI'!A57</f>
        <v>5486</v>
      </c>
      <c r="B55" s="33" t="str">
        <f>'A) Base RI'!B57</f>
        <v>L'Isle</v>
      </c>
      <c r="C55" s="304">
        <f>'B) D RI'!U57</f>
        <v>31254.420526315782</v>
      </c>
      <c r="D55" s="33">
        <f>'B) D RI'!AR57</f>
        <v>1005</v>
      </c>
      <c r="E55" s="210">
        <f t="shared" si="4"/>
        <v>31.098925896831624</v>
      </c>
      <c r="F55" s="63">
        <f t="shared" si="5"/>
        <v>0.67222241405406991</v>
      </c>
      <c r="G55" s="276">
        <f t="shared" si="6"/>
        <v>0</v>
      </c>
      <c r="H55" s="276">
        <f t="shared" si="7"/>
        <v>0</v>
      </c>
      <c r="I55" s="276">
        <f t="shared" si="8"/>
        <v>0</v>
      </c>
      <c r="J55" s="276">
        <f t="shared" si="9"/>
        <v>0</v>
      </c>
      <c r="K55" s="277">
        <f t="shared" si="10"/>
        <v>0</v>
      </c>
      <c r="L55" s="58">
        <f>K55*D55*'B) D RI'!S57</f>
        <v>0</v>
      </c>
      <c r="M55" s="472">
        <f>(('B) D RI'!S57*C55)-(L55*$M$4))/'B) D RI'!S57</f>
        <v>31254.420526315782</v>
      </c>
      <c r="N55" s="266">
        <f t="shared" si="11"/>
        <v>31.098925896831624</v>
      </c>
      <c r="O55" s="63">
        <f t="shared" si="12"/>
        <v>0.69011671666304331</v>
      </c>
      <c r="R55" s="12"/>
    </row>
    <row r="56" spans="1:18" x14ac:dyDescent="0.25">
      <c r="A56" s="306">
        <f>'A) Base RI'!A58</f>
        <v>5487</v>
      </c>
      <c r="B56" s="33" t="str">
        <f>'A) Base RI'!B58</f>
        <v>Lussery-Villars</v>
      </c>
      <c r="C56" s="304">
        <f>'B) D RI'!U58</f>
        <v>14791.264800000001</v>
      </c>
      <c r="D56" s="33">
        <f>'B) D RI'!AR58</f>
        <v>462</v>
      </c>
      <c r="E56" s="210">
        <f t="shared" si="4"/>
        <v>32.015724675324677</v>
      </c>
      <c r="F56" s="63">
        <f t="shared" si="5"/>
        <v>0.69203958362850881</v>
      </c>
      <c r="G56" s="276">
        <f t="shared" si="6"/>
        <v>0</v>
      </c>
      <c r="H56" s="276">
        <f t="shared" si="7"/>
        <v>0</v>
      </c>
      <c r="I56" s="276">
        <f t="shared" si="8"/>
        <v>0</v>
      </c>
      <c r="J56" s="276">
        <f t="shared" si="9"/>
        <v>0</v>
      </c>
      <c r="K56" s="277">
        <f t="shared" si="10"/>
        <v>0</v>
      </c>
      <c r="L56" s="58">
        <f>K56*D56*'B) D RI'!S58</f>
        <v>0</v>
      </c>
      <c r="M56" s="472">
        <f>(('B) D RI'!S58*C56)-(L56*$M$4))/'B) D RI'!S58</f>
        <v>14791.264800000001</v>
      </c>
      <c r="N56" s="266">
        <f t="shared" si="11"/>
        <v>32.015724675324677</v>
      </c>
      <c r="O56" s="63">
        <f t="shared" si="12"/>
        <v>0.7104614116841268</v>
      </c>
      <c r="R56" s="12"/>
    </row>
    <row r="57" spans="1:18" x14ac:dyDescent="0.25">
      <c r="A57" s="306">
        <f>'A) Base RI'!A59</f>
        <v>5488</v>
      </c>
      <c r="B57" s="33" t="str">
        <f>'A) Base RI'!B59</f>
        <v>Mauraz</v>
      </c>
      <c r="C57" s="304">
        <f>'B) D RI'!U59</f>
        <v>1908.9349999999995</v>
      </c>
      <c r="D57" s="33">
        <f>'B) D RI'!AR59</f>
        <v>59</v>
      </c>
      <c r="E57" s="210">
        <f t="shared" si="4"/>
        <v>32.354830508474571</v>
      </c>
      <c r="F57" s="63">
        <f t="shared" si="5"/>
        <v>0.69936956481615686</v>
      </c>
      <c r="G57" s="276">
        <f t="shared" si="6"/>
        <v>0</v>
      </c>
      <c r="H57" s="276">
        <f t="shared" si="7"/>
        <v>0</v>
      </c>
      <c r="I57" s="276">
        <f t="shared" si="8"/>
        <v>0</v>
      </c>
      <c r="J57" s="276">
        <f t="shared" si="9"/>
        <v>0</v>
      </c>
      <c r="K57" s="277">
        <f t="shared" si="10"/>
        <v>0</v>
      </c>
      <c r="L57" s="58">
        <f>K57*D57*'B) D RI'!S59</f>
        <v>0</v>
      </c>
      <c r="M57" s="472">
        <f>(('B) D RI'!S59*C57)-(L57*$M$4))/'B) D RI'!S59</f>
        <v>1908.9349999999995</v>
      </c>
      <c r="N57" s="266">
        <f t="shared" si="11"/>
        <v>32.354830508474571</v>
      </c>
      <c r="O57" s="63">
        <f t="shared" si="12"/>
        <v>0.71798651415715242</v>
      </c>
      <c r="R57" s="12"/>
    </row>
    <row r="58" spans="1:18" x14ac:dyDescent="0.25">
      <c r="A58" s="306">
        <f>'A) Base RI'!A60</f>
        <v>5489</v>
      </c>
      <c r="B58" s="33" t="str">
        <f>'A) Base RI'!B60</f>
        <v>Mex</v>
      </c>
      <c r="C58" s="304">
        <f>'B) D RI'!U60</f>
        <v>70574.798032786901</v>
      </c>
      <c r="D58" s="33">
        <f>'B) D RI'!AR60</f>
        <v>725</v>
      </c>
      <c r="E58" s="210">
        <f t="shared" si="4"/>
        <v>97.34454901074055</v>
      </c>
      <c r="F58" s="63">
        <f t="shared" si="5"/>
        <v>2.104162309273566</v>
      </c>
      <c r="G58" s="276">
        <f t="shared" si="6"/>
        <v>41.829126888567401</v>
      </c>
      <c r="H58" s="276">
        <f t="shared" si="7"/>
        <v>27.950271358024111</v>
      </c>
      <c r="I58" s="276">
        <f t="shared" si="8"/>
        <v>4.8188454737853021</v>
      </c>
      <c r="J58" s="276">
        <f t="shared" si="9"/>
        <v>0</v>
      </c>
      <c r="K58" s="277">
        <f t="shared" si="10"/>
        <v>18.335397363065209</v>
      </c>
      <c r="L58" s="58">
        <f>K58*D58*'B) D RI'!S60</f>
        <v>810882.94838155888</v>
      </c>
      <c r="M58" s="472">
        <f>(('B) D RI'!S60*C58)-(L58*$M$4))/'B) D RI'!S60</f>
        <v>63928.216488675753</v>
      </c>
      <c r="N58" s="266">
        <f t="shared" si="11"/>
        <v>88.176850329207937</v>
      </c>
      <c r="O58" s="63">
        <f t="shared" si="12"/>
        <v>1.9567337674862024</v>
      </c>
      <c r="R58" s="12"/>
    </row>
    <row r="59" spans="1:18" x14ac:dyDescent="0.25">
      <c r="A59" s="306">
        <f>'A) Base RI'!A61</f>
        <v>5490</v>
      </c>
      <c r="B59" s="33" t="str">
        <f>'A) Base RI'!B61</f>
        <v>Moiry</v>
      </c>
      <c r="C59" s="304">
        <f>'B) D RI'!U61</f>
        <v>9296.4079999999994</v>
      </c>
      <c r="D59" s="33">
        <f>'B) D RI'!AR61</f>
        <v>310</v>
      </c>
      <c r="E59" s="210">
        <f t="shared" si="4"/>
        <v>29.988412903225804</v>
      </c>
      <c r="F59" s="63">
        <f t="shared" si="5"/>
        <v>0.64821799255486401</v>
      </c>
      <c r="G59" s="276">
        <f t="shared" si="6"/>
        <v>0</v>
      </c>
      <c r="H59" s="276">
        <f t="shared" si="7"/>
        <v>0</v>
      </c>
      <c r="I59" s="276">
        <f t="shared" si="8"/>
        <v>0</v>
      </c>
      <c r="J59" s="276">
        <f t="shared" si="9"/>
        <v>0</v>
      </c>
      <c r="K59" s="277">
        <f t="shared" si="10"/>
        <v>0</v>
      </c>
      <c r="L59" s="58">
        <f>K59*D59*'B) D RI'!S61</f>
        <v>0</v>
      </c>
      <c r="M59" s="472">
        <f>(('B) D RI'!S61*C59)-(L59*$M$4))/'B) D RI'!S61</f>
        <v>9296.4079999999994</v>
      </c>
      <c r="N59" s="266">
        <f t="shared" si="11"/>
        <v>29.988412903225804</v>
      </c>
      <c r="O59" s="63">
        <f t="shared" si="12"/>
        <v>0.66547330667836035</v>
      </c>
      <c r="R59" s="12"/>
    </row>
    <row r="60" spans="1:18" x14ac:dyDescent="0.25">
      <c r="A60" s="306">
        <f>'A) Base RI'!A62</f>
        <v>5491</v>
      </c>
      <c r="B60" s="33" t="str">
        <f>'A) Base RI'!B62</f>
        <v>Mont-la-Ville</v>
      </c>
      <c r="C60" s="304">
        <f>'B) D RI'!U62</f>
        <v>12324.548552631581</v>
      </c>
      <c r="D60" s="33">
        <f>'B) D RI'!AR62</f>
        <v>466</v>
      </c>
      <c r="E60" s="210">
        <f t="shared" si="4"/>
        <v>26.447529082900388</v>
      </c>
      <c r="F60" s="63">
        <f t="shared" si="5"/>
        <v>0.57167961057085304</v>
      </c>
      <c r="G60" s="276">
        <f t="shared" si="6"/>
        <v>0</v>
      </c>
      <c r="H60" s="276">
        <f t="shared" si="7"/>
        <v>0</v>
      </c>
      <c r="I60" s="276">
        <f t="shared" si="8"/>
        <v>0</v>
      </c>
      <c r="J60" s="276">
        <f t="shared" si="9"/>
        <v>0</v>
      </c>
      <c r="K60" s="277">
        <f t="shared" si="10"/>
        <v>0</v>
      </c>
      <c r="L60" s="58">
        <f>K60*D60*'B) D RI'!S62</f>
        <v>0</v>
      </c>
      <c r="M60" s="472">
        <f>(('B) D RI'!S62*C60)-(L60*$M$4))/'B) D RI'!S62</f>
        <v>12324.548552631581</v>
      </c>
      <c r="N60" s="266">
        <f t="shared" si="11"/>
        <v>26.447529082900388</v>
      </c>
      <c r="O60" s="63">
        <f t="shared" si="12"/>
        <v>0.58689750234753535</v>
      </c>
      <c r="R60" s="12"/>
    </row>
    <row r="61" spans="1:18" x14ac:dyDescent="0.25">
      <c r="A61" s="306">
        <f>'A) Base RI'!A63</f>
        <v>5492</v>
      </c>
      <c r="B61" s="33" t="str">
        <f>'A) Base RI'!B63</f>
        <v>Montricher</v>
      </c>
      <c r="C61" s="304">
        <f>'B) D RI'!U63</f>
        <v>236409.63453124999</v>
      </c>
      <c r="D61" s="33">
        <f>'B) D RI'!AR63</f>
        <v>940</v>
      </c>
      <c r="E61" s="210">
        <f t="shared" si="4"/>
        <v>251.49961120345745</v>
      </c>
      <c r="F61" s="63">
        <f t="shared" si="5"/>
        <v>5.4363188084921115</v>
      </c>
      <c r="G61" s="276">
        <f t="shared" si="6"/>
        <v>195.98418908128428</v>
      </c>
      <c r="H61" s="276">
        <f t="shared" si="7"/>
        <v>182.10533355074102</v>
      </c>
      <c r="I61" s="276">
        <f t="shared" si="8"/>
        <v>158.97390766650221</v>
      </c>
      <c r="J61" s="276">
        <f t="shared" si="9"/>
        <v>112.71105589802457</v>
      </c>
      <c r="K61" s="277">
        <f t="shared" si="10"/>
        <v>115.93333778078913</v>
      </c>
      <c r="L61" s="58">
        <f>K61*D61*'B) D RI'!S63</f>
        <v>6974549.6008922737</v>
      </c>
      <c r="M61" s="472">
        <f>(('B) D RI'!S63*C61)-(L61*$M$4))/'B) D RI'!S63</f>
        <v>181920.96577427909</v>
      </c>
      <c r="N61" s="266">
        <f t="shared" si="11"/>
        <v>193.53294231306285</v>
      </c>
      <c r="O61" s="63">
        <f t="shared" si="12"/>
        <v>4.2946923362660669</v>
      </c>
      <c r="R61" s="12"/>
    </row>
    <row r="62" spans="1:18" x14ac:dyDescent="0.25">
      <c r="A62" s="306">
        <f>'A) Base RI'!A64</f>
        <v>5493</v>
      </c>
      <c r="B62" s="33" t="str">
        <f>'A) Base RI'!B64</f>
        <v>Orny</v>
      </c>
      <c r="C62" s="304">
        <f>'B) D RI'!U64</f>
        <v>10717.748314014751</v>
      </c>
      <c r="D62" s="33">
        <f>'B) D RI'!AR64</f>
        <v>368</v>
      </c>
      <c r="E62" s="210">
        <f t="shared" si="4"/>
        <v>29.124316070692256</v>
      </c>
      <c r="F62" s="63">
        <f t="shared" si="5"/>
        <v>0.62954000796243292</v>
      </c>
      <c r="G62" s="276">
        <f t="shared" si="6"/>
        <v>0</v>
      </c>
      <c r="H62" s="276">
        <f t="shared" si="7"/>
        <v>0</v>
      </c>
      <c r="I62" s="276">
        <f t="shared" si="8"/>
        <v>0</v>
      </c>
      <c r="J62" s="276">
        <f t="shared" si="9"/>
        <v>0</v>
      </c>
      <c r="K62" s="277">
        <f t="shared" si="10"/>
        <v>0</v>
      </c>
      <c r="L62" s="58">
        <f>K62*D62*'B) D RI'!S64</f>
        <v>0</v>
      </c>
      <c r="M62" s="472">
        <f>(('B) D RI'!S64*C62)-(L62*$M$4))/'B) D RI'!S64</f>
        <v>10717.748314014751</v>
      </c>
      <c r="N62" s="266">
        <f t="shared" si="11"/>
        <v>29.124316070692256</v>
      </c>
      <c r="O62" s="63">
        <f t="shared" si="12"/>
        <v>0.64629812130619479</v>
      </c>
      <c r="R62" s="12"/>
    </row>
    <row r="63" spans="1:18" x14ac:dyDescent="0.25">
      <c r="A63" s="306">
        <f>'A) Base RI'!A65</f>
        <v>5494</v>
      </c>
      <c r="B63" s="33" t="str">
        <f>'A) Base RI'!B65</f>
        <v>Pampigny</v>
      </c>
      <c r="C63" s="304">
        <f>'B) D RI'!U65</f>
        <v>37813.321536507938</v>
      </c>
      <c r="D63" s="33">
        <f>'B) D RI'!AR65</f>
        <v>1113</v>
      </c>
      <c r="E63" s="210">
        <f t="shared" si="4"/>
        <v>33.974233186440195</v>
      </c>
      <c r="F63" s="63">
        <f t="shared" si="5"/>
        <v>0.73437394989103133</v>
      </c>
      <c r="G63" s="276">
        <f t="shared" si="6"/>
        <v>0</v>
      </c>
      <c r="H63" s="276">
        <f t="shared" si="7"/>
        <v>0</v>
      </c>
      <c r="I63" s="276">
        <f t="shared" si="8"/>
        <v>0</v>
      </c>
      <c r="J63" s="276">
        <f t="shared" si="9"/>
        <v>0</v>
      </c>
      <c r="K63" s="277">
        <f t="shared" si="10"/>
        <v>0</v>
      </c>
      <c r="L63" s="58">
        <f>K63*D63*'B) D RI'!S65</f>
        <v>0</v>
      </c>
      <c r="M63" s="472">
        <f>(('B) D RI'!S65*C63)-(L63*$M$4))/'B) D RI'!S65</f>
        <v>37813.321536507938</v>
      </c>
      <c r="N63" s="266">
        <f t="shared" si="11"/>
        <v>33.974233186440195</v>
      </c>
      <c r="O63" s="63">
        <f t="shared" si="12"/>
        <v>0.75392270252521554</v>
      </c>
      <c r="R63" s="12"/>
    </row>
    <row r="64" spans="1:18" x14ac:dyDescent="0.25">
      <c r="A64" s="306">
        <f>'A) Base RI'!A66</f>
        <v>5495</v>
      </c>
      <c r="B64" s="33" t="str">
        <f>'A) Base RI'!B66</f>
        <v>Penthalaz</v>
      </c>
      <c r="C64" s="304">
        <f>'B) D RI'!U66</f>
        <v>92917.674594594588</v>
      </c>
      <c r="D64" s="33">
        <f>'B) D RI'!AR66</f>
        <v>3283</v>
      </c>
      <c r="E64" s="210">
        <f t="shared" si="4"/>
        <v>28.302672736702586</v>
      </c>
      <c r="F64" s="63">
        <f t="shared" si="5"/>
        <v>0.61177968185669296</v>
      </c>
      <c r="G64" s="276">
        <f t="shared" si="6"/>
        <v>0</v>
      </c>
      <c r="H64" s="276">
        <f t="shared" si="7"/>
        <v>0</v>
      </c>
      <c r="I64" s="276">
        <f t="shared" si="8"/>
        <v>0</v>
      </c>
      <c r="J64" s="276">
        <f t="shared" si="9"/>
        <v>0</v>
      </c>
      <c r="K64" s="277">
        <f t="shared" si="10"/>
        <v>0</v>
      </c>
      <c r="L64" s="58">
        <f>K64*D64*'B) D RI'!S66</f>
        <v>0</v>
      </c>
      <c r="M64" s="472">
        <f>(('B) D RI'!S66*C64)-(L64*$M$4))/'B) D RI'!S66</f>
        <v>92917.674594594588</v>
      </c>
      <c r="N64" s="266">
        <f t="shared" si="11"/>
        <v>28.302672736702586</v>
      </c>
      <c r="O64" s="63">
        <f t="shared" si="12"/>
        <v>0.6280650221373647</v>
      </c>
      <c r="R64" s="12"/>
    </row>
    <row r="65" spans="1:18" x14ac:dyDescent="0.25">
      <c r="A65" s="306">
        <f>'A) Base RI'!A67</f>
        <v>5496</v>
      </c>
      <c r="B65" s="33" t="str">
        <f>'A) Base RI'!B67</f>
        <v>Penthaz</v>
      </c>
      <c r="C65" s="304">
        <f>'B) D RI'!U67</f>
        <v>57442.135633802813</v>
      </c>
      <c r="D65" s="33">
        <f>'B) D RI'!AR67</f>
        <v>1747</v>
      </c>
      <c r="E65" s="210">
        <f t="shared" si="4"/>
        <v>32.880443980425191</v>
      </c>
      <c r="F65" s="63">
        <f t="shared" si="5"/>
        <v>0.71073102334839466</v>
      </c>
      <c r="G65" s="276">
        <f t="shared" si="6"/>
        <v>0</v>
      </c>
      <c r="H65" s="276">
        <f t="shared" si="7"/>
        <v>0</v>
      </c>
      <c r="I65" s="276">
        <f t="shared" si="8"/>
        <v>0</v>
      </c>
      <c r="J65" s="276">
        <f t="shared" si="9"/>
        <v>0</v>
      </c>
      <c r="K65" s="277">
        <f t="shared" si="10"/>
        <v>0</v>
      </c>
      <c r="L65" s="58">
        <f>K65*D65*'B) D RI'!S67</f>
        <v>0</v>
      </c>
      <c r="M65" s="472">
        <f>(('B) D RI'!S67*C65)-(L65*$M$4))/'B) D RI'!S67</f>
        <v>57442.135633802813</v>
      </c>
      <c r="N65" s="266">
        <f t="shared" si="11"/>
        <v>32.880443980425191</v>
      </c>
      <c r="O65" s="63">
        <f t="shared" si="12"/>
        <v>0.72965041035407485</v>
      </c>
      <c r="R65" s="12"/>
    </row>
    <row r="66" spans="1:18" x14ac:dyDescent="0.25">
      <c r="A66" s="306">
        <f>'A) Base RI'!A68</f>
        <v>5497</v>
      </c>
      <c r="B66" s="33" t="str">
        <f>'A) Base RI'!B68</f>
        <v>Pompaples</v>
      </c>
      <c r="C66" s="304">
        <f>'B) D RI'!U68</f>
        <v>22516.582121212119</v>
      </c>
      <c r="D66" s="33">
        <f>'B) D RI'!AR68</f>
        <v>847</v>
      </c>
      <c r="E66" s="210">
        <f t="shared" si="4"/>
        <v>26.583922221029656</v>
      </c>
      <c r="F66" s="63">
        <f t="shared" si="5"/>
        <v>0.574627832155027</v>
      </c>
      <c r="G66" s="276">
        <f t="shared" si="6"/>
        <v>0</v>
      </c>
      <c r="H66" s="276">
        <f t="shared" si="7"/>
        <v>0</v>
      </c>
      <c r="I66" s="276">
        <f t="shared" si="8"/>
        <v>0</v>
      </c>
      <c r="J66" s="276">
        <f t="shared" si="9"/>
        <v>0</v>
      </c>
      <c r="K66" s="277">
        <f t="shared" si="10"/>
        <v>0</v>
      </c>
      <c r="L66" s="58">
        <f>K66*D66*'B) D RI'!S68</f>
        <v>0</v>
      </c>
      <c r="M66" s="472">
        <f>(('B) D RI'!S68*C66)-(L66*$M$4))/'B) D RI'!S68</f>
        <v>22516.582121212119</v>
      </c>
      <c r="N66" s="266">
        <f t="shared" si="11"/>
        <v>26.583922221029656</v>
      </c>
      <c r="O66" s="63">
        <f t="shared" si="12"/>
        <v>0.5899242044585149</v>
      </c>
      <c r="R66" s="12"/>
    </row>
    <row r="67" spans="1:18" x14ac:dyDescent="0.25">
      <c r="A67" s="306">
        <f>'A) Base RI'!A69</f>
        <v>5498</v>
      </c>
      <c r="B67" s="33" t="str">
        <f>'A) Base RI'!B69</f>
        <v>La Sarraz</v>
      </c>
      <c r="C67" s="304">
        <f>'B) D RI'!U69</f>
        <v>78201.916969696991</v>
      </c>
      <c r="D67" s="33">
        <f>'B) D RI'!AR69</f>
        <v>2596</v>
      </c>
      <c r="E67" s="210">
        <f t="shared" si="4"/>
        <v>30.1240049960312</v>
      </c>
      <c r="F67" s="63">
        <f t="shared" si="5"/>
        <v>0.65114889905159201</v>
      </c>
      <c r="G67" s="276">
        <f t="shared" si="6"/>
        <v>0</v>
      </c>
      <c r="H67" s="276">
        <f t="shared" si="7"/>
        <v>0</v>
      </c>
      <c r="I67" s="276">
        <f t="shared" si="8"/>
        <v>0</v>
      </c>
      <c r="J67" s="276">
        <f t="shared" si="9"/>
        <v>0</v>
      </c>
      <c r="K67" s="277">
        <f t="shared" si="10"/>
        <v>0</v>
      </c>
      <c r="L67" s="58">
        <f>K67*D67*'B) D RI'!S69</f>
        <v>0</v>
      </c>
      <c r="M67" s="472">
        <f>(('B) D RI'!S69*C67)-(L67*$M$4))/'B) D RI'!S69</f>
        <v>78201.916969696991</v>
      </c>
      <c r="N67" s="266">
        <f t="shared" si="11"/>
        <v>30.1240049960312</v>
      </c>
      <c r="O67" s="63">
        <f t="shared" si="12"/>
        <v>0.66848223278091312</v>
      </c>
      <c r="R67" s="12"/>
    </row>
    <row r="68" spans="1:18" x14ac:dyDescent="0.25">
      <c r="A68" s="306">
        <f>'A) Base RI'!A70</f>
        <v>5499</v>
      </c>
      <c r="B68" s="33" t="str">
        <f>'A) Base RI'!B70</f>
        <v>Senarclens</v>
      </c>
      <c r="C68" s="304">
        <f>'B) D RI'!U70</f>
        <v>23886.663649635037</v>
      </c>
      <c r="D68" s="33">
        <f>'B) D RI'!AR70</f>
        <v>488</v>
      </c>
      <c r="E68" s="210">
        <f t="shared" si="4"/>
        <v>48.948081249252127</v>
      </c>
      <c r="F68" s="63">
        <f t="shared" si="5"/>
        <v>1.0580428870708778</v>
      </c>
      <c r="G68" s="276">
        <f t="shared" si="6"/>
        <v>0</v>
      </c>
      <c r="H68" s="276">
        <f t="shared" si="7"/>
        <v>0</v>
      </c>
      <c r="I68" s="276">
        <f t="shared" si="8"/>
        <v>0</v>
      </c>
      <c r="J68" s="276">
        <f t="shared" si="9"/>
        <v>0</v>
      </c>
      <c r="K68" s="277">
        <f t="shared" si="10"/>
        <v>0</v>
      </c>
      <c r="L68" s="58">
        <f>K68*D68*'B) D RI'!S70</f>
        <v>0</v>
      </c>
      <c r="M68" s="472">
        <f>(('B) D RI'!S70*C68)-(L68*$M$4))/'B) D RI'!S70</f>
        <v>23886.663649635037</v>
      </c>
      <c r="N68" s="266">
        <f t="shared" si="11"/>
        <v>48.948081249252127</v>
      </c>
      <c r="O68" s="63">
        <f t="shared" si="12"/>
        <v>1.0862075825625626</v>
      </c>
      <c r="R68" s="12"/>
    </row>
    <row r="69" spans="1:18" x14ac:dyDescent="0.25">
      <c r="A69" s="306">
        <f>'A) Base RI'!A71</f>
        <v>5500</v>
      </c>
      <c r="B69" s="33" t="str">
        <f>'A) Base RI'!B71</f>
        <v>Sévery</v>
      </c>
      <c r="C69" s="304">
        <f>'B) D RI'!U71</f>
        <v>6331.5331555555558</v>
      </c>
      <c r="D69" s="33">
        <f>'B) D RI'!AR71</f>
        <v>225</v>
      </c>
      <c r="E69" s="210">
        <f t="shared" si="4"/>
        <v>28.140147358024691</v>
      </c>
      <c r="F69" s="63">
        <f t="shared" si="5"/>
        <v>0.60826659581756914</v>
      </c>
      <c r="G69" s="276">
        <f t="shared" si="6"/>
        <v>0</v>
      </c>
      <c r="H69" s="276">
        <f t="shared" si="7"/>
        <v>0</v>
      </c>
      <c r="I69" s="276">
        <f t="shared" si="8"/>
        <v>0</v>
      </c>
      <c r="J69" s="276">
        <f t="shared" si="9"/>
        <v>0</v>
      </c>
      <c r="K69" s="277">
        <f t="shared" si="10"/>
        <v>0</v>
      </c>
      <c r="L69" s="58">
        <f>K69*D69*'B) D RI'!S71</f>
        <v>0</v>
      </c>
      <c r="M69" s="472">
        <f>(('B) D RI'!S71*C69)-(L69*$M$4))/'B) D RI'!S71</f>
        <v>6331.5331555555558</v>
      </c>
      <c r="N69" s="266">
        <f t="shared" si="11"/>
        <v>28.140147358024691</v>
      </c>
      <c r="O69" s="63">
        <f t="shared" si="12"/>
        <v>0.62445841909648503</v>
      </c>
      <c r="R69" s="12"/>
    </row>
    <row r="70" spans="1:18" x14ac:dyDescent="0.25">
      <c r="A70" s="306">
        <f>'A) Base RI'!A72</f>
        <v>5501</v>
      </c>
      <c r="B70" s="33" t="str">
        <f>'A) Base RI'!B72</f>
        <v>Sullens</v>
      </c>
      <c r="C70" s="304">
        <f>'B) D RI'!U72</f>
        <v>37812.339142857141</v>
      </c>
      <c r="D70" s="33">
        <f>'B) D RI'!AR72</f>
        <v>1036</v>
      </c>
      <c r="E70" s="210">
        <f t="shared" ref="E70:E133" si="13">C70/D70</f>
        <v>36.498396856039712</v>
      </c>
      <c r="F70" s="63">
        <f t="shared" ref="F70:F133" si="14">E70/$E$314</f>
        <v>0.78893530037222714</v>
      </c>
      <c r="G70" s="276">
        <f t="shared" ref="G70:G133" si="15">IF(E70-$G$2&lt;0,0,E70-$G$2)</f>
        <v>0</v>
      </c>
      <c r="H70" s="276">
        <f t="shared" ref="H70:H133" si="16">IF(E70-$H$2&lt;0,0,E70-$H$2)</f>
        <v>0</v>
      </c>
      <c r="I70" s="276">
        <f t="shared" ref="I70:I133" si="17">IF(E70-$I$2&lt;0,0,E70-$I$2)</f>
        <v>0</v>
      </c>
      <c r="J70" s="276">
        <f t="shared" ref="J70:J133" si="18">IF(E70-$J$2&lt;0,0,E70-$J$2)</f>
        <v>0</v>
      </c>
      <c r="K70" s="277">
        <f t="shared" ref="K70:K133" si="19">(G70-H70)*$G$3+(H70-I70)*$H$3+(I70-J70)*$I$3+(J70*$J$3)</f>
        <v>0</v>
      </c>
      <c r="L70" s="58">
        <f>K70*D70*'B) D RI'!S72</f>
        <v>0</v>
      </c>
      <c r="M70" s="472">
        <f>(('B) D RI'!S72*C70)-(L70*$M$4))/'B) D RI'!S72</f>
        <v>37812.339142857141</v>
      </c>
      <c r="N70" s="266">
        <f t="shared" ref="N70:N133" si="20">M70/D70</f>
        <v>36.498396856039712</v>
      </c>
      <c r="O70" s="63">
        <f t="shared" ref="O70:O133" si="21">N70/N$314</f>
        <v>0.80993645521117663</v>
      </c>
      <c r="R70" s="12"/>
    </row>
    <row r="71" spans="1:18" x14ac:dyDescent="0.25">
      <c r="A71" s="306">
        <f>'A) Base RI'!A73</f>
        <v>5503</v>
      </c>
      <c r="B71" s="33" t="str">
        <f>'A) Base RI'!B73</f>
        <v>Vufflens-la-Ville</v>
      </c>
      <c r="C71" s="304">
        <f>'B) D RI'!U73</f>
        <v>77893.035572139299</v>
      </c>
      <c r="D71" s="33">
        <f>'B) D RI'!AR73</f>
        <v>1298</v>
      </c>
      <c r="E71" s="210">
        <f t="shared" si="13"/>
        <v>60.010042813666637</v>
      </c>
      <c r="F71" s="63">
        <f t="shared" si="14"/>
        <v>1.2971539911544323</v>
      </c>
      <c r="G71" s="276">
        <f t="shared" si="15"/>
        <v>4.4946206914934876</v>
      </c>
      <c r="H71" s="276">
        <f t="shared" si="16"/>
        <v>0</v>
      </c>
      <c r="I71" s="276">
        <f t="shared" si="17"/>
        <v>0</v>
      </c>
      <c r="J71" s="276">
        <f t="shared" si="18"/>
        <v>0</v>
      </c>
      <c r="K71" s="277">
        <f t="shared" si="19"/>
        <v>1.6180634489376555</v>
      </c>
      <c r="L71" s="58">
        <f>K71*D71*'B) D RI'!S73</f>
        <v>140716.50590031216</v>
      </c>
      <c r="M71" s="472">
        <f>(('B) D RI'!S73*C71)-(L71*$M$4))/'B) D RI'!S73</f>
        <v>76842.912393778752</v>
      </c>
      <c r="N71" s="266">
        <f t="shared" si="20"/>
        <v>59.201011089197806</v>
      </c>
      <c r="O71" s="63">
        <f t="shared" si="21"/>
        <v>1.313730497688089</v>
      </c>
      <c r="R71" s="12"/>
    </row>
    <row r="72" spans="1:18" x14ac:dyDescent="0.25">
      <c r="A72" s="306">
        <f>'A) Base RI'!A74</f>
        <v>5511</v>
      </c>
      <c r="B72" s="33" t="str">
        <f>'A) Base RI'!B74</f>
        <v>Assens</v>
      </c>
      <c r="C72" s="304">
        <f>'B) D RI'!U74</f>
        <v>45641.470857142856</v>
      </c>
      <c r="D72" s="33">
        <f>'B) D RI'!AR74</f>
        <v>1077</v>
      </c>
      <c r="E72" s="210">
        <f t="shared" si="13"/>
        <v>42.378338771720387</v>
      </c>
      <c r="F72" s="63">
        <f t="shared" si="14"/>
        <v>0.91603386198072534</v>
      </c>
      <c r="G72" s="276">
        <f t="shared" si="15"/>
        <v>0</v>
      </c>
      <c r="H72" s="276">
        <f t="shared" si="16"/>
        <v>0</v>
      </c>
      <c r="I72" s="276">
        <f t="shared" si="17"/>
        <v>0</v>
      </c>
      <c r="J72" s="276">
        <f t="shared" si="18"/>
        <v>0</v>
      </c>
      <c r="K72" s="277">
        <f t="shared" si="19"/>
        <v>0</v>
      </c>
      <c r="L72" s="58">
        <f>K72*D72*'B) D RI'!S74</f>
        <v>0</v>
      </c>
      <c r="M72" s="472">
        <f>(('B) D RI'!S74*C72)-(L72*$M$4))/'B) D RI'!S74</f>
        <v>45641.470857142856</v>
      </c>
      <c r="N72" s="266">
        <f t="shared" si="20"/>
        <v>42.378338771720387</v>
      </c>
      <c r="O72" s="63">
        <f t="shared" si="21"/>
        <v>0.94041833173902056</v>
      </c>
      <c r="R72" s="12"/>
    </row>
    <row r="73" spans="1:18" x14ac:dyDescent="0.25">
      <c r="A73" s="306">
        <f>'A) Base RI'!A75</f>
        <v>5512</v>
      </c>
      <c r="B73" s="33" t="str">
        <f>'A) Base RI'!B75</f>
        <v>Bercher</v>
      </c>
      <c r="C73" s="304">
        <f>'B) D RI'!U75</f>
        <v>37783.595443037979</v>
      </c>
      <c r="D73" s="33">
        <f>'B) D RI'!AR75</f>
        <v>1239</v>
      </c>
      <c r="E73" s="210">
        <f t="shared" si="13"/>
        <v>30.495234417302648</v>
      </c>
      <c r="F73" s="63">
        <f t="shared" si="14"/>
        <v>0.65917325135761207</v>
      </c>
      <c r="G73" s="276">
        <f t="shared" si="15"/>
        <v>0</v>
      </c>
      <c r="H73" s="276">
        <f t="shared" si="16"/>
        <v>0</v>
      </c>
      <c r="I73" s="276">
        <f t="shared" si="17"/>
        <v>0</v>
      </c>
      <c r="J73" s="276">
        <f t="shared" si="18"/>
        <v>0</v>
      </c>
      <c r="K73" s="277">
        <f t="shared" si="19"/>
        <v>0</v>
      </c>
      <c r="L73" s="58">
        <f>K73*D73*'B) D RI'!S75</f>
        <v>0</v>
      </c>
      <c r="M73" s="472">
        <f>(('B) D RI'!S75*C73)-(L73*$M$4))/'B) D RI'!S75</f>
        <v>37783.595443037979</v>
      </c>
      <c r="N73" s="266">
        <f t="shared" si="20"/>
        <v>30.495234417302648</v>
      </c>
      <c r="O73" s="63">
        <f t="shared" si="21"/>
        <v>0.67672019026492625</v>
      </c>
      <c r="R73" s="12"/>
    </row>
    <row r="74" spans="1:18" x14ac:dyDescent="0.25">
      <c r="A74" s="306">
        <f>'A) Base RI'!A76</f>
        <v>5513</v>
      </c>
      <c r="B74" s="33" t="str">
        <f>'A) Base RI'!B76</f>
        <v>Bioley-Orjulaz</v>
      </c>
      <c r="C74" s="304">
        <f>'B) D RI'!U76</f>
        <v>23108.127499999999</v>
      </c>
      <c r="D74" s="33">
        <f>'B) D RI'!AR76</f>
        <v>516</v>
      </c>
      <c r="E74" s="210">
        <f t="shared" si="13"/>
        <v>44.783192829457363</v>
      </c>
      <c r="F74" s="63">
        <f t="shared" si="14"/>
        <v>0.96801626180709277</v>
      </c>
      <c r="G74" s="276">
        <f t="shared" si="15"/>
        <v>0</v>
      </c>
      <c r="H74" s="276">
        <f t="shared" si="16"/>
        <v>0</v>
      </c>
      <c r="I74" s="276">
        <f t="shared" si="17"/>
        <v>0</v>
      </c>
      <c r="J74" s="276">
        <f t="shared" si="18"/>
        <v>0</v>
      </c>
      <c r="K74" s="277">
        <f t="shared" si="19"/>
        <v>0</v>
      </c>
      <c r="L74" s="58">
        <f>K74*D74*'B) D RI'!S76</f>
        <v>0</v>
      </c>
      <c r="M74" s="472">
        <f>(('B) D RI'!S76*C74)-(L74*$M$4))/'B) D RI'!S76</f>
        <v>23108.127499999999</v>
      </c>
      <c r="N74" s="266">
        <f t="shared" si="20"/>
        <v>44.783192829457363</v>
      </c>
      <c r="O74" s="63">
        <f t="shared" si="21"/>
        <v>0.99378448309373102</v>
      </c>
      <c r="R74" s="12"/>
    </row>
    <row r="75" spans="1:18" x14ac:dyDescent="0.25">
      <c r="A75" s="306">
        <f>'A) Base RI'!A77</f>
        <v>5514</v>
      </c>
      <c r="B75" s="33" t="str">
        <f>'A) Base RI'!B77</f>
        <v>Bottens</v>
      </c>
      <c r="C75" s="304">
        <f>'B) D RI'!U77</f>
        <v>44799.851014492742</v>
      </c>
      <c r="D75" s="33">
        <f>'B) D RI'!AR77</f>
        <v>1298</v>
      </c>
      <c r="E75" s="210">
        <f t="shared" si="13"/>
        <v>34.514523123646178</v>
      </c>
      <c r="F75" s="63">
        <f t="shared" si="14"/>
        <v>0.74605264924812809</v>
      </c>
      <c r="G75" s="276">
        <f t="shared" si="15"/>
        <v>0</v>
      </c>
      <c r="H75" s="276">
        <f t="shared" si="16"/>
        <v>0</v>
      </c>
      <c r="I75" s="276">
        <f t="shared" si="17"/>
        <v>0</v>
      </c>
      <c r="J75" s="276">
        <f t="shared" si="18"/>
        <v>0</v>
      </c>
      <c r="K75" s="277">
        <f t="shared" si="19"/>
        <v>0</v>
      </c>
      <c r="L75" s="58">
        <f>K75*D75*'B) D RI'!S77</f>
        <v>0</v>
      </c>
      <c r="M75" s="472">
        <f>(('B) D RI'!S77*C75)-(L75*$M$4))/'B) D RI'!S77</f>
        <v>44799.851014492742</v>
      </c>
      <c r="N75" s="266">
        <f t="shared" si="20"/>
        <v>34.514523123646178</v>
      </c>
      <c r="O75" s="63">
        <f t="shared" si="21"/>
        <v>0.76591228437597214</v>
      </c>
      <c r="R75" s="12"/>
    </row>
    <row r="76" spans="1:18" x14ac:dyDescent="0.25">
      <c r="A76" s="306">
        <f>'A) Base RI'!A78</f>
        <v>5515</v>
      </c>
      <c r="B76" s="33" t="str">
        <f>'A) Base RI'!B78</f>
        <v>Bretigny-sur-Morrens</v>
      </c>
      <c r="C76" s="304">
        <f>'B) D RI'!U78</f>
        <v>28902.998888888895</v>
      </c>
      <c r="D76" s="33">
        <f>'B) D RI'!AR78</f>
        <v>843</v>
      </c>
      <c r="E76" s="210">
        <f t="shared" si="13"/>
        <v>34.285882430473187</v>
      </c>
      <c r="F76" s="63">
        <f t="shared" si="14"/>
        <v>0.74111044001474091</v>
      </c>
      <c r="G76" s="276">
        <f t="shared" si="15"/>
        <v>0</v>
      </c>
      <c r="H76" s="276">
        <f t="shared" si="16"/>
        <v>0</v>
      </c>
      <c r="I76" s="276">
        <f t="shared" si="17"/>
        <v>0</v>
      </c>
      <c r="J76" s="276">
        <f t="shared" si="18"/>
        <v>0</v>
      </c>
      <c r="K76" s="277">
        <f t="shared" si="19"/>
        <v>0</v>
      </c>
      <c r="L76" s="58">
        <f>K76*D76*'B) D RI'!S78</f>
        <v>0</v>
      </c>
      <c r="M76" s="472">
        <f>(('B) D RI'!S78*C76)-(L76*$M$4))/'B) D RI'!S78</f>
        <v>28902.998888888895</v>
      </c>
      <c r="N76" s="266">
        <f t="shared" si="20"/>
        <v>34.285882430473187</v>
      </c>
      <c r="O76" s="63">
        <f t="shared" si="21"/>
        <v>0.76083851543001046</v>
      </c>
      <c r="R76" s="12"/>
    </row>
    <row r="77" spans="1:18" x14ac:dyDescent="0.25">
      <c r="A77" s="306">
        <f>'A) Base RI'!A79</f>
        <v>5516</v>
      </c>
      <c r="B77" s="33" t="str">
        <f>'A) Base RI'!B79</f>
        <v>Cugy</v>
      </c>
      <c r="C77" s="304">
        <f>'B) D RI'!U79</f>
        <v>111854.58641025641</v>
      </c>
      <c r="D77" s="33">
        <f>'B) D RI'!AR79</f>
        <v>2742</v>
      </c>
      <c r="E77" s="210">
        <f t="shared" si="13"/>
        <v>40.793065795133629</v>
      </c>
      <c r="F77" s="63">
        <f t="shared" si="14"/>
        <v>0.88176721139635894</v>
      </c>
      <c r="G77" s="276">
        <f t="shared" si="15"/>
        <v>0</v>
      </c>
      <c r="H77" s="276">
        <f t="shared" si="16"/>
        <v>0</v>
      </c>
      <c r="I77" s="276">
        <f t="shared" si="17"/>
        <v>0</v>
      </c>
      <c r="J77" s="276">
        <f t="shared" si="18"/>
        <v>0</v>
      </c>
      <c r="K77" s="277">
        <f t="shared" si="19"/>
        <v>0</v>
      </c>
      <c r="L77" s="58">
        <f>K77*D77*'B) D RI'!S79</f>
        <v>0</v>
      </c>
      <c r="M77" s="472">
        <f>(('B) D RI'!S79*C77)-(L77*$M$4))/'B) D RI'!S79</f>
        <v>111854.58641025641</v>
      </c>
      <c r="N77" s="266">
        <f t="shared" si="20"/>
        <v>40.793065795133629</v>
      </c>
      <c r="O77" s="63">
        <f t="shared" si="21"/>
        <v>0.90523951607040087</v>
      </c>
      <c r="R77" s="12"/>
    </row>
    <row r="78" spans="1:18" x14ac:dyDescent="0.25">
      <c r="A78" s="306">
        <f>'A) Base RI'!A80</f>
        <v>5518</v>
      </c>
      <c r="B78" s="33" t="str">
        <f>'A) Base RI'!B80</f>
        <v>Echallens</v>
      </c>
      <c r="C78" s="304">
        <f>'B) D RI'!U80</f>
        <v>188362.16891891891</v>
      </c>
      <c r="D78" s="33">
        <f>'B) D RI'!AR80</f>
        <v>5742</v>
      </c>
      <c r="E78" s="210">
        <f t="shared" si="13"/>
        <v>32.804278808589153</v>
      </c>
      <c r="F78" s="63">
        <f t="shared" si="14"/>
        <v>0.70908466630544353</v>
      </c>
      <c r="G78" s="276">
        <f t="shared" si="15"/>
        <v>0</v>
      </c>
      <c r="H78" s="276">
        <f t="shared" si="16"/>
        <v>0</v>
      </c>
      <c r="I78" s="276">
        <f t="shared" si="17"/>
        <v>0</v>
      </c>
      <c r="J78" s="276">
        <f t="shared" si="18"/>
        <v>0</v>
      </c>
      <c r="K78" s="277">
        <f t="shared" si="19"/>
        <v>0</v>
      </c>
      <c r="L78" s="58">
        <f>K78*D78*'B) D RI'!S80</f>
        <v>0</v>
      </c>
      <c r="M78" s="472">
        <f>(('B) D RI'!S80*C78)-(L78*$M$4))/'B) D RI'!S80</f>
        <v>188362.16891891891</v>
      </c>
      <c r="N78" s="266">
        <f t="shared" si="20"/>
        <v>32.804278808589153</v>
      </c>
      <c r="O78" s="63">
        <f t="shared" si="21"/>
        <v>0.7279602279186449</v>
      </c>
      <c r="R78" s="12"/>
    </row>
    <row r="79" spans="1:18" x14ac:dyDescent="0.25">
      <c r="A79" s="306">
        <f>'A) Base RI'!A81</f>
        <v>5520</v>
      </c>
      <c r="B79" s="33" t="str">
        <f>'A) Base RI'!B81</f>
        <v>Essertines-sur-Yverdon</v>
      </c>
      <c r="C79" s="304">
        <f>'B) D RI'!U81</f>
        <v>31866.674520547935</v>
      </c>
      <c r="D79" s="33">
        <f>'B) D RI'!AR81</f>
        <v>1024</v>
      </c>
      <c r="E79" s="210">
        <f t="shared" si="13"/>
        <v>31.119799336472592</v>
      </c>
      <c r="F79" s="63">
        <f t="shared" si="14"/>
        <v>0.67267360629240025</v>
      </c>
      <c r="G79" s="276">
        <f t="shared" si="15"/>
        <v>0</v>
      </c>
      <c r="H79" s="276">
        <f t="shared" si="16"/>
        <v>0</v>
      </c>
      <c r="I79" s="276">
        <f t="shared" si="17"/>
        <v>0</v>
      </c>
      <c r="J79" s="276">
        <f t="shared" si="18"/>
        <v>0</v>
      </c>
      <c r="K79" s="277">
        <f t="shared" si="19"/>
        <v>0</v>
      </c>
      <c r="L79" s="58">
        <f>K79*D79*'B) D RI'!S81</f>
        <v>0</v>
      </c>
      <c r="M79" s="472">
        <f>(('B) D RI'!S81*C79)-(L79*$M$4))/'B) D RI'!S81</f>
        <v>31866.674520547935</v>
      </c>
      <c r="N79" s="266">
        <f t="shared" si="20"/>
        <v>31.119799336472592</v>
      </c>
      <c r="O79" s="63">
        <f t="shared" si="21"/>
        <v>0.69057991946555419</v>
      </c>
      <c r="R79" s="12"/>
    </row>
    <row r="80" spans="1:18" x14ac:dyDescent="0.25">
      <c r="A80" s="306">
        <f>'A) Base RI'!A82</f>
        <v>5521</v>
      </c>
      <c r="B80" s="33" t="str">
        <f>'A) Base RI'!B82</f>
        <v>Etagnières</v>
      </c>
      <c r="C80" s="304">
        <f>'B) D RI'!U82</f>
        <v>42985.528493150683</v>
      </c>
      <c r="D80" s="33">
        <f>'B) D RI'!AR82</f>
        <v>1118</v>
      </c>
      <c r="E80" s="210">
        <f t="shared" si="13"/>
        <v>38.448594358810986</v>
      </c>
      <c r="F80" s="63">
        <f t="shared" si="14"/>
        <v>0.83109001907679458</v>
      </c>
      <c r="G80" s="276">
        <f t="shared" si="15"/>
        <v>0</v>
      </c>
      <c r="H80" s="276">
        <f t="shared" si="16"/>
        <v>0</v>
      </c>
      <c r="I80" s="276">
        <f t="shared" si="17"/>
        <v>0</v>
      </c>
      <c r="J80" s="276">
        <f t="shared" si="18"/>
        <v>0</v>
      </c>
      <c r="K80" s="277">
        <f t="shared" si="19"/>
        <v>0</v>
      </c>
      <c r="L80" s="58">
        <f>K80*D80*'B) D RI'!S82</f>
        <v>0</v>
      </c>
      <c r="M80" s="472">
        <f>(('B) D RI'!S82*C80)-(L80*$M$4))/'B) D RI'!S82</f>
        <v>42985.528493150683</v>
      </c>
      <c r="N80" s="266">
        <f t="shared" si="20"/>
        <v>38.448594358810986</v>
      </c>
      <c r="O80" s="63">
        <f t="shared" si="21"/>
        <v>0.85321331634528086</v>
      </c>
      <c r="R80" s="12"/>
    </row>
    <row r="81" spans="1:18" x14ac:dyDescent="0.25">
      <c r="A81" s="306">
        <f>'A) Base RI'!A83</f>
        <v>5522</v>
      </c>
      <c r="B81" s="33" t="str">
        <f>'A) Base RI'!B83</f>
        <v>Fey</v>
      </c>
      <c r="C81" s="304">
        <f>'B) D RI'!U83</f>
        <v>21913.487866666663</v>
      </c>
      <c r="D81" s="33">
        <f>'B) D RI'!AR83</f>
        <v>734</v>
      </c>
      <c r="E81" s="210">
        <f t="shared" si="13"/>
        <v>29.854888101725699</v>
      </c>
      <c r="F81" s="63">
        <f t="shared" si="14"/>
        <v>0.64533177183141333</v>
      </c>
      <c r="G81" s="276">
        <f t="shared" si="15"/>
        <v>0</v>
      </c>
      <c r="H81" s="276">
        <f t="shared" si="16"/>
        <v>0</v>
      </c>
      <c r="I81" s="276">
        <f t="shared" si="17"/>
        <v>0</v>
      </c>
      <c r="J81" s="276">
        <f t="shared" si="18"/>
        <v>0</v>
      </c>
      <c r="K81" s="277">
        <f t="shared" si="19"/>
        <v>0</v>
      </c>
      <c r="L81" s="58">
        <f>K81*D81*'B) D RI'!S83</f>
        <v>0</v>
      </c>
      <c r="M81" s="472">
        <f>(('B) D RI'!S83*C81)-(L81*$M$4))/'B) D RI'!S83</f>
        <v>21913.487866666663</v>
      </c>
      <c r="N81" s="266">
        <f t="shared" si="20"/>
        <v>29.854888101725699</v>
      </c>
      <c r="O81" s="63">
        <f t="shared" si="21"/>
        <v>0.66251025586721557</v>
      </c>
      <c r="R81" s="12"/>
    </row>
    <row r="82" spans="1:18" x14ac:dyDescent="0.25">
      <c r="A82" s="306">
        <f>'A) Base RI'!A84</f>
        <v>5523</v>
      </c>
      <c r="B82" s="33" t="str">
        <f>'A) Base RI'!B84</f>
        <v>Froideville</v>
      </c>
      <c r="C82" s="304">
        <f>'B) D RI'!U84</f>
        <v>83191.459210526315</v>
      </c>
      <c r="D82" s="33">
        <f>'B) D RI'!AR84</f>
        <v>2576</v>
      </c>
      <c r="E82" s="210">
        <f t="shared" si="13"/>
        <v>32.294821122098725</v>
      </c>
      <c r="F82" s="63">
        <f t="shared" si="14"/>
        <v>0.69807242501430977</v>
      </c>
      <c r="G82" s="276">
        <f t="shared" si="15"/>
        <v>0</v>
      </c>
      <c r="H82" s="276">
        <f t="shared" si="16"/>
        <v>0</v>
      </c>
      <c r="I82" s="276">
        <f t="shared" si="17"/>
        <v>0</v>
      </c>
      <c r="J82" s="276">
        <f t="shared" si="18"/>
        <v>0</v>
      </c>
      <c r="K82" s="277">
        <f t="shared" si="19"/>
        <v>0</v>
      </c>
      <c r="L82" s="58">
        <f>K82*D82*'B) D RI'!S84</f>
        <v>0</v>
      </c>
      <c r="M82" s="472">
        <f>(('B) D RI'!S84*C82)-(L82*$M$4))/'B) D RI'!S84</f>
        <v>83191.459210526315</v>
      </c>
      <c r="N82" s="266">
        <f t="shared" si="20"/>
        <v>32.294821122098725</v>
      </c>
      <c r="O82" s="63">
        <f t="shared" si="21"/>
        <v>0.71665484499172694</v>
      </c>
      <c r="R82" s="12"/>
    </row>
    <row r="83" spans="1:18" x14ac:dyDescent="0.25">
      <c r="A83" s="306">
        <f>'A) Base RI'!A85</f>
        <v>5527</v>
      </c>
      <c r="B83" s="33" t="str">
        <f>'A) Base RI'!B85</f>
        <v>Morrens</v>
      </c>
      <c r="C83" s="304">
        <f>'B) D RI'!U85</f>
        <v>37832.854189189195</v>
      </c>
      <c r="D83" s="33">
        <f>'B) D RI'!AR85</f>
        <v>1077</v>
      </c>
      <c r="E83" s="210">
        <f t="shared" si="13"/>
        <v>35.127998318652921</v>
      </c>
      <c r="F83" s="63">
        <f t="shared" si="14"/>
        <v>0.75931329297318151</v>
      </c>
      <c r="G83" s="276">
        <f t="shared" si="15"/>
        <v>0</v>
      </c>
      <c r="H83" s="276">
        <f t="shared" si="16"/>
        <v>0</v>
      </c>
      <c r="I83" s="276">
        <f t="shared" si="17"/>
        <v>0</v>
      </c>
      <c r="J83" s="276">
        <f t="shared" si="18"/>
        <v>0</v>
      </c>
      <c r="K83" s="277">
        <f t="shared" si="19"/>
        <v>0</v>
      </c>
      <c r="L83" s="58">
        <f>K83*D83*'B) D RI'!S85</f>
        <v>0</v>
      </c>
      <c r="M83" s="472">
        <f>(('B) D RI'!S85*C83)-(L83*$M$4))/'B) D RI'!S85</f>
        <v>37832.854189189195</v>
      </c>
      <c r="N83" s="266">
        <f t="shared" si="20"/>
        <v>35.127998318652921</v>
      </c>
      <c r="O83" s="63">
        <f t="shared" si="21"/>
        <v>0.77952592134648258</v>
      </c>
      <c r="R83" s="12"/>
    </row>
    <row r="84" spans="1:18" x14ac:dyDescent="0.25">
      <c r="A84" s="306">
        <f>'A) Base RI'!A86</f>
        <v>5529</v>
      </c>
      <c r="B84" s="33" t="str">
        <f>'A) Base RI'!B86</f>
        <v>Oulens-sous-Echallens</v>
      </c>
      <c r="C84" s="304">
        <f>'B) D RI'!U86</f>
        <v>21358.649436619718</v>
      </c>
      <c r="D84" s="33">
        <f>'B) D RI'!AR86</f>
        <v>611</v>
      </c>
      <c r="E84" s="210">
        <f t="shared" si="13"/>
        <v>34.95687305502409</v>
      </c>
      <c r="F84" s="63">
        <f t="shared" si="14"/>
        <v>0.75561431513054389</v>
      </c>
      <c r="G84" s="276">
        <f t="shared" si="15"/>
        <v>0</v>
      </c>
      <c r="H84" s="276">
        <f t="shared" si="16"/>
        <v>0</v>
      </c>
      <c r="I84" s="276">
        <f t="shared" si="17"/>
        <v>0</v>
      </c>
      <c r="J84" s="276">
        <f t="shared" si="18"/>
        <v>0</v>
      </c>
      <c r="K84" s="277">
        <f t="shared" si="19"/>
        <v>0</v>
      </c>
      <c r="L84" s="58">
        <f>K84*D84*'B) D RI'!S86</f>
        <v>0</v>
      </c>
      <c r="M84" s="472">
        <f>(('B) D RI'!S86*C84)-(L84*$M$4))/'B) D RI'!S86</f>
        <v>21358.649436619718</v>
      </c>
      <c r="N84" s="266">
        <f t="shared" si="20"/>
        <v>34.95687305502409</v>
      </c>
      <c r="O84" s="63">
        <f t="shared" si="21"/>
        <v>0.77572847813363976</v>
      </c>
      <c r="R84" s="12"/>
    </row>
    <row r="85" spans="1:18" x14ac:dyDescent="0.25">
      <c r="A85" s="306">
        <f>'A) Base RI'!A87</f>
        <v>5530</v>
      </c>
      <c r="B85" s="33" t="str">
        <f>'A) Base RI'!B87</f>
        <v>Pailly</v>
      </c>
      <c r="C85" s="304">
        <f>'B) D RI'!U87</f>
        <v>17215.63182795699</v>
      </c>
      <c r="D85" s="33">
        <f>'B) D RI'!AR87</f>
        <v>561</v>
      </c>
      <c r="E85" s="210">
        <f t="shared" si="13"/>
        <v>30.687400762846682</v>
      </c>
      <c r="F85" s="63">
        <f t="shared" si="14"/>
        <v>0.6633270451294645</v>
      </c>
      <c r="G85" s="276">
        <f t="shared" si="15"/>
        <v>0</v>
      </c>
      <c r="H85" s="276">
        <f t="shared" si="16"/>
        <v>0</v>
      </c>
      <c r="I85" s="276">
        <f t="shared" si="17"/>
        <v>0</v>
      </c>
      <c r="J85" s="276">
        <f t="shared" si="18"/>
        <v>0</v>
      </c>
      <c r="K85" s="277">
        <f t="shared" si="19"/>
        <v>0</v>
      </c>
      <c r="L85" s="58">
        <f>K85*D85*'B) D RI'!S87</f>
        <v>0</v>
      </c>
      <c r="M85" s="472">
        <f>(('B) D RI'!S87*C85)-(L85*$M$4))/'B) D RI'!S87</f>
        <v>17215.63182795699</v>
      </c>
      <c r="N85" s="266">
        <f t="shared" si="20"/>
        <v>30.687400762846682</v>
      </c>
      <c r="O85" s="63">
        <f t="shared" si="21"/>
        <v>0.6809845564324245</v>
      </c>
      <c r="R85" s="12"/>
    </row>
    <row r="86" spans="1:18" x14ac:dyDescent="0.25">
      <c r="A86" s="306">
        <f>'A) Base RI'!A88</f>
        <v>5531</v>
      </c>
      <c r="B86" s="33" t="str">
        <f>'A) Base RI'!B88</f>
        <v>Penthéréaz</v>
      </c>
      <c r="C86" s="304">
        <f>'B) D RI'!U88</f>
        <v>14983.10512820513</v>
      </c>
      <c r="D86" s="33">
        <f>'B) D RI'!AR88</f>
        <v>421</v>
      </c>
      <c r="E86" s="210">
        <f t="shared" si="13"/>
        <v>35.589323344905296</v>
      </c>
      <c r="F86" s="63">
        <f t="shared" si="14"/>
        <v>0.76928511720401527</v>
      </c>
      <c r="G86" s="276">
        <f t="shared" si="15"/>
        <v>0</v>
      </c>
      <c r="H86" s="276">
        <f t="shared" si="16"/>
        <v>0</v>
      </c>
      <c r="I86" s="276">
        <f t="shared" si="17"/>
        <v>0</v>
      </c>
      <c r="J86" s="276">
        <f t="shared" si="18"/>
        <v>0</v>
      </c>
      <c r="K86" s="277">
        <f t="shared" si="19"/>
        <v>0</v>
      </c>
      <c r="L86" s="58">
        <f>K86*D86*'B) D RI'!S88</f>
        <v>0</v>
      </c>
      <c r="M86" s="472">
        <f>(('B) D RI'!S88*C86)-(L86*$M$4))/'B) D RI'!S88</f>
        <v>14983.10512820513</v>
      </c>
      <c r="N86" s="266">
        <f t="shared" si="20"/>
        <v>35.589323344905296</v>
      </c>
      <c r="O86" s="63">
        <f t="shared" si="21"/>
        <v>0.78976319171035125</v>
      </c>
      <c r="R86" s="12"/>
    </row>
    <row r="87" spans="1:18" x14ac:dyDescent="0.25">
      <c r="A87" s="306">
        <f>'A) Base RI'!A89</f>
        <v>5533</v>
      </c>
      <c r="B87" s="33" t="str">
        <f>'A) Base RI'!B89</f>
        <v>Poliez-Pittet</v>
      </c>
      <c r="C87" s="304">
        <f>'B) D RI'!U89</f>
        <v>25749.220563380281</v>
      </c>
      <c r="D87" s="33">
        <f>'B) D RI'!AR89</f>
        <v>846</v>
      </c>
      <c r="E87" s="210">
        <f t="shared" si="13"/>
        <v>30.436430925981419</v>
      </c>
      <c r="F87" s="63">
        <f t="shared" si="14"/>
        <v>0.65790217771918802</v>
      </c>
      <c r="G87" s="276">
        <f t="shared" si="15"/>
        <v>0</v>
      </c>
      <c r="H87" s="276">
        <f t="shared" si="16"/>
        <v>0</v>
      </c>
      <c r="I87" s="276">
        <f t="shared" si="17"/>
        <v>0</v>
      </c>
      <c r="J87" s="276">
        <f t="shared" si="18"/>
        <v>0</v>
      </c>
      <c r="K87" s="277">
        <f t="shared" si="19"/>
        <v>0</v>
      </c>
      <c r="L87" s="58">
        <f>K87*D87*'B) D RI'!S89</f>
        <v>0</v>
      </c>
      <c r="M87" s="472">
        <f>(('B) D RI'!S89*C87)-(L87*$M$4))/'B) D RI'!S89</f>
        <v>25749.220563380281</v>
      </c>
      <c r="N87" s="266">
        <f t="shared" si="20"/>
        <v>30.436430925981419</v>
      </c>
      <c r="O87" s="63">
        <f t="shared" si="21"/>
        <v>0.67541528113418792</v>
      </c>
      <c r="R87" s="12"/>
    </row>
    <row r="88" spans="1:18" x14ac:dyDescent="0.25">
      <c r="A88" s="306">
        <f>'A) Base RI'!A90</f>
        <v>5534</v>
      </c>
      <c r="B88" s="33" t="str">
        <f>'A) Base RI'!B90</f>
        <v>Rueyres</v>
      </c>
      <c r="C88" s="304">
        <f>'B) D RI'!U90</f>
        <v>9061.5212328767138</v>
      </c>
      <c r="D88" s="33">
        <f>'B) D RI'!AR90</f>
        <v>255</v>
      </c>
      <c r="E88" s="210">
        <f t="shared" si="13"/>
        <v>35.535377383830252</v>
      </c>
      <c r="F88" s="63">
        <f t="shared" si="14"/>
        <v>0.76811904207001758</v>
      </c>
      <c r="G88" s="276">
        <f t="shared" si="15"/>
        <v>0</v>
      </c>
      <c r="H88" s="276">
        <f t="shared" si="16"/>
        <v>0</v>
      </c>
      <c r="I88" s="276">
        <f t="shared" si="17"/>
        <v>0</v>
      </c>
      <c r="J88" s="276">
        <f t="shared" si="18"/>
        <v>0</v>
      </c>
      <c r="K88" s="277">
        <f t="shared" si="19"/>
        <v>0</v>
      </c>
      <c r="L88" s="58">
        <f>K88*D88*'B) D RI'!S90</f>
        <v>0</v>
      </c>
      <c r="M88" s="472">
        <f>(('B) D RI'!S90*C88)-(L88*$M$4))/'B) D RI'!S90</f>
        <v>9061.5212328767138</v>
      </c>
      <c r="N88" s="266">
        <f t="shared" si="20"/>
        <v>35.535377383830252</v>
      </c>
      <c r="O88" s="63">
        <f t="shared" si="21"/>
        <v>0.78856607610392015</v>
      </c>
      <c r="R88" s="12"/>
    </row>
    <row r="89" spans="1:18" x14ac:dyDescent="0.25">
      <c r="A89" s="306">
        <f>'A) Base RI'!A91</f>
        <v>5535</v>
      </c>
      <c r="B89" s="33" t="str">
        <f>'A) Base RI'!B91</f>
        <v>Saint-Barthélemy</v>
      </c>
      <c r="C89" s="304">
        <f>'B) D RI'!U91</f>
        <v>21992.865064935064</v>
      </c>
      <c r="D89" s="33">
        <f>'B) D RI'!AR91</f>
        <v>778</v>
      </c>
      <c r="E89" s="210">
        <f t="shared" si="13"/>
        <v>28.268464093746868</v>
      </c>
      <c r="F89" s="63">
        <f t="shared" si="14"/>
        <v>0.61104024099543963</v>
      </c>
      <c r="G89" s="276">
        <f t="shared" si="15"/>
        <v>0</v>
      </c>
      <c r="H89" s="276">
        <f t="shared" si="16"/>
        <v>0</v>
      </c>
      <c r="I89" s="276">
        <f t="shared" si="17"/>
        <v>0</v>
      </c>
      <c r="J89" s="276">
        <f t="shared" si="18"/>
        <v>0</v>
      </c>
      <c r="K89" s="277">
        <f t="shared" si="19"/>
        <v>0</v>
      </c>
      <c r="L89" s="58">
        <f>K89*D89*'B) D RI'!S91</f>
        <v>0</v>
      </c>
      <c r="M89" s="472">
        <f>(('B) D RI'!S91*C89)-(L89*$M$4))/'B) D RI'!S91</f>
        <v>21992.865064935064</v>
      </c>
      <c r="N89" s="266">
        <f t="shared" si="20"/>
        <v>28.268464093746868</v>
      </c>
      <c r="O89" s="63">
        <f t="shared" si="21"/>
        <v>0.62730589764424183</v>
      </c>
      <c r="R89" s="12"/>
    </row>
    <row r="90" spans="1:18" x14ac:dyDescent="0.25">
      <c r="A90" s="306">
        <f>'A) Base RI'!A92</f>
        <v>5537</v>
      </c>
      <c r="B90" s="33" t="str">
        <f>'A) Base RI'!B92</f>
        <v>Villars-le-Terroir</v>
      </c>
      <c r="C90" s="304">
        <f>'B) D RI'!U92</f>
        <v>37425.853630136982</v>
      </c>
      <c r="D90" s="33">
        <f>'B) D RI'!AR92</f>
        <v>1213</v>
      </c>
      <c r="E90" s="210">
        <f t="shared" si="13"/>
        <v>30.853960123773273</v>
      </c>
      <c r="F90" s="63">
        <f t="shared" si="14"/>
        <v>0.66692732817643563</v>
      </c>
      <c r="G90" s="276">
        <f t="shared" si="15"/>
        <v>0</v>
      </c>
      <c r="H90" s="276">
        <f t="shared" si="16"/>
        <v>0</v>
      </c>
      <c r="I90" s="276">
        <f t="shared" si="17"/>
        <v>0</v>
      </c>
      <c r="J90" s="276">
        <f t="shared" si="18"/>
        <v>0</v>
      </c>
      <c r="K90" s="277">
        <f t="shared" si="19"/>
        <v>0</v>
      </c>
      <c r="L90" s="58">
        <f>K90*D90*'B) D RI'!S92</f>
        <v>0</v>
      </c>
      <c r="M90" s="472">
        <f>(('B) D RI'!S92*C90)-(L90*$M$4))/'B) D RI'!S92</f>
        <v>37425.853630136982</v>
      </c>
      <c r="N90" s="266">
        <f t="shared" si="20"/>
        <v>30.853960123773273</v>
      </c>
      <c r="O90" s="63">
        <f t="shared" si="21"/>
        <v>0.68468067763202722</v>
      </c>
      <c r="R90" s="12"/>
    </row>
    <row r="91" spans="1:18" x14ac:dyDescent="0.25">
      <c r="A91" s="306">
        <f>'A) Base RI'!A93</f>
        <v>5539</v>
      </c>
      <c r="B91" s="33" t="str">
        <f>'A) Base RI'!B93</f>
        <v>Vuarrens</v>
      </c>
      <c r="C91" s="304">
        <f>'B) D RI'!U93</f>
        <v>28895.172466666667</v>
      </c>
      <c r="D91" s="33">
        <f>'B) D RI'!AR93</f>
        <v>1001</v>
      </c>
      <c r="E91" s="210">
        <f t="shared" si="13"/>
        <v>28.866306160506159</v>
      </c>
      <c r="F91" s="63">
        <f t="shared" si="14"/>
        <v>0.6239629650365599</v>
      </c>
      <c r="G91" s="276">
        <f t="shared" si="15"/>
        <v>0</v>
      </c>
      <c r="H91" s="276">
        <f t="shared" si="16"/>
        <v>0</v>
      </c>
      <c r="I91" s="276">
        <f t="shared" si="17"/>
        <v>0</v>
      </c>
      <c r="J91" s="276">
        <f t="shared" si="18"/>
        <v>0</v>
      </c>
      <c r="K91" s="277">
        <f t="shared" si="19"/>
        <v>0</v>
      </c>
      <c r="L91" s="58">
        <f>K91*D91*'B) D RI'!S93</f>
        <v>0</v>
      </c>
      <c r="M91" s="472">
        <f>(('B) D RI'!S93*C91)-(L91*$M$4))/'B) D RI'!S93</f>
        <v>28895.172466666667</v>
      </c>
      <c r="N91" s="266">
        <f t="shared" si="20"/>
        <v>28.866306160506159</v>
      </c>
      <c r="O91" s="63">
        <f t="shared" si="21"/>
        <v>0.64057261963855372</v>
      </c>
      <c r="R91" s="12"/>
    </row>
    <row r="92" spans="1:18" x14ac:dyDescent="0.25">
      <c r="A92" s="306">
        <f>'A) Base RI'!A94</f>
        <v>5540</v>
      </c>
      <c r="B92" s="33" t="str">
        <f>'A) Base RI'!B94</f>
        <v>Montilliez</v>
      </c>
      <c r="C92" s="304">
        <f>'B) D RI'!U94</f>
        <v>59583.392972972964</v>
      </c>
      <c r="D92" s="33">
        <f>'B) D RI'!AR94</f>
        <v>1781</v>
      </c>
      <c r="E92" s="210">
        <f t="shared" si="13"/>
        <v>33.455021321152707</v>
      </c>
      <c r="F92" s="63">
        <f t="shared" si="14"/>
        <v>0.72315086602482515</v>
      </c>
      <c r="G92" s="276">
        <f t="shared" si="15"/>
        <v>0</v>
      </c>
      <c r="H92" s="276">
        <f t="shared" si="16"/>
        <v>0</v>
      </c>
      <c r="I92" s="276">
        <f t="shared" si="17"/>
        <v>0</v>
      </c>
      <c r="J92" s="276">
        <f t="shared" si="18"/>
        <v>0</v>
      </c>
      <c r="K92" s="277">
        <f t="shared" si="19"/>
        <v>0</v>
      </c>
      <c r="L92" s="58">
        <f>K92*D92*'B) D RI'!S94</f>
        <v>0</v>
      </c>
      <c r="M92" s="472">
        <f>(('B) D RI'!S94*C92)-(L92*$M$4))/'B) D RI'!S94</f>
        <v>59583.392972972964</v>
      </c>
      <c r="N92" s="266">
        <f t="shared" si="20"/>
        <v>33.455021321152707</v>
      </c>
      <c r="O92" s="63">
        <f t="shared" si="21"/>
        <v>0.74240086447481524</v>
      </c>
      <c r="R92" s="12"/>
    </row>
    <row r="93" spans="1:18" x14ac:dyDescent="0.25">
      <c r="A93" s="306">
        <f>'A) Base RI'!A95</f>
        <v>5541</v>
      </c>
      <c r="B93" s="33" t="str">
        <f>'A) Base RI'!B95</f>
        <v>Goumoëns</v>
      </c>
      <c r="C93" s="304">
        <f>'B) D RI'!U95</f>
        <v>36064.061558441557</v>
      </c>
      <c r="D93" s="33">
        <f>'B) D RI'!AR95</f>
        <v>1119</v>
      </c>
      <c r="E93" s="210">
        <f t="shared" si="13"/>
        <v>32.228830704594778</v>
      </c>
      <c r="F93" s="63">
        <f t="shared" si="14"/>
        <v>0.69664600154534173</v>
      </c>
      <c r="G93" s="276">
        <f t="shared" si="15"/>
        <v>0</v>
      </c>
      <c r="H93" s="276">
        <f t="shared" si="16"/>
        <v>0</v>
      </c>
      <c r="I93" s="276">
        <f t="shared" si="17"/>
        <v>0</v>
      </c>
      <c r="J93" s="276">
        <f t="shared" si="18"/>
        <v>0</v>
      </c>
      <c r="K93" s="277">
        <f t="shared" si="19"/>
        <v>0</v>
      </c>
      <c r="L93" s="58">
        <f>K93*D93*'B) D RI'!S95</f>
        <v>0</v>
      </c>
      <c r="M93" s="472">
        <f>(('B) D RI'!S95*C93)-(L93*$M$4))/'B) D RI'!S95</f>
        <v>36064.061558441557</v>
      </c>
      <c r="N93" s="266">
        <f t="shared" si="20"/>
        <v>32.228830704594778</v>
      </c>
      <c r="O93" s="63">
        <f t="shared" si="21"/>
        <v>0.71519045067759135</v>
      </c>
      <c r="R93" s="12"/>
    </row>
    <row r="94" spans="1:18" x14ac:dyDescent="0.25">
      <c r="A94" s="306">
        <f>'A) Base RI'!A96</f>
        <v>5551</v>
      </c>
      <c r="B94" s="33" t="str">
        <f>'A) Base RI'!B96</f>
        <v>Bonvillars</v>
      </c>
      <c r="C94" s="304">
        <f>'B) D RI'!U96</f>
        <v>23195.066545454545</v>
      </c>
      <c r="D94" s="33">
        <f>'B) D RI'!AR96</f>
        <v>505</v>
      </c>
      <c r="E94" s="210">
        <f t="shared" si="13"/>
        <v>45.930824842484249</v>
      </c>
      <c r="F94" s="63">
        <f t="shared" si="14"/>
        <v>0.99282303374519576</v>
      </c>
      <c r="G94" s="276">
        <f t="shared" si="15"/>
        <v>0</v>
      </c>
      <c r="H94" s="276">
        <f t="shared" si="16"/>
        <v>0</v>
      </c>
      <c r="I94" s="276">
        <f t="shared" si="17"/>
        <v>0</v>
      </c>
      <c r="J94" s="276">
        <f t="shared" si="18"/>
        <v>0</v>
      </c>
      <c r="K94" s="277">
        <f t="shared" si="19"/>
        <v>0</v>
      </c>
      <c r="L94" s="58">
        <f>K94*D94*'B) D RI'!S96</f>
        <v>0</v>
      </c>
      <c r="M94" s="472">
        <f>(('B) D RI'!S96*C94)-(L94*$M$4))/'B) D RI'!S96</f>
        <v>23195.066545454545</v>
      </c>
      <c r="N94" s="266">
        <f t="shared" si="20"/>
        <v>45.930824842484249</v>
      </c>
      <c r="O94" s="63">
        <f t="shared" si="21"/>
        <v>1.0192516017779876</v>
      </c>
      <c r="R94" s="12"/>
    </row>
    <row r="95" spans="1:18" x14ac:dyDescent="0.25">
      <c r="A95" s="306">
        <f>'A) Base RI'!A97</f>
        <v>5552</v>
      </c>
      <c r="B95" s="33" t="str">
        <f>'A) Base RI'!B97</f>
        <v>Bullet</v>
      </c>
      <c r="C95" s="304">
        <f>'B) D RI'!U97</f>
        <v>17788.954109589042</v>
      </c>
      <c r="D95" s="33">
        <f>'B) D RI'!AR97</f>
        <v>655</v>
      </c>
      <c r="E95" s="210">
        <f t="shared" si="13"/>
        <v>27.158708564258077</v>
      </c>
      <c r="F95" s="63">
        <f t="shared" si="14"/>
        <v>0.58705219254908447</v>
      </c>
      <c r="G95" s="276">
        <f t="shared" si="15"/>
        <v>0</v>
      </c>
      <c r="H95" s="276">
        <f t="shared" si="16"/>
        <v>0</v>
      </c>
      <c r="I95" s="276">
        <f t="shared" si="17"/>
        <v>0</v>
      </c>
      <c r="J95" s="276">
        <f t="shared" si="18"/>
        <v>0</v>
      </c>
      <c r="K95" s="277">
        <f t="shared" si="19"/>
        <v>0</v>
      </c>
      <c r="L95" s="58">
        <f>K95*D95*'B) D RI'!S97</f>
        <v>0</v>
      </c>
      <c r="M95" s="472">
        <f>(('B) D RI'!S97*C95)-(L95*$M$4))/'B) D RI'!S97</f>
        <v>17788.954109589042</v>
      </c>
      <c r="N95" s="266">
        <f t="shared" si="20"/>
        <v>27.158708564258077</v>
      </c>
      <c r="O95" s="63">
        <f t="shared" si="21"/>
        <v>0.6026792965567912</v>
      </c>
      <c r="R95" s="12"/>
    </row>
    <row r="96" spans="1:18" x14ac:dyDescent="0.25">
      <c r="A96" s="306">
        <f>'A) Base RI'!A98</f>
        <v>5553</v>
      </c>
      <c r="B96" s="33" t="str">
        <f>'A) Base RI'!B98</f>
        <v>Champagne</v>
      </c>
      <c r="C96" s="304">
        <f>'B) D RI'!U98</f>
        <v>38605.988461538451</v>
      </c>
      <c r="D96" s="33">
        <f>'B) D RI'!AR98</f>
        <v>1034</v>
      </c>
      <c r="E96" s="210">
        <f t="shared" si="13"/>
        <v>37.336545900907595</v>
      </c>
      <c r="F96" s="63">
        <f t="shared" si="14"/>
        <v>0.8070524075722415</v>
      </c>
      <c r="G96" s="276">
        <f t="shared" si="15"/>
        <v>0</v>
      </c>
      <c r="H96" s="276">
        <f t="shared" si="16"/>
        <v>0</v>
      </c>
      <c r="I96" s="276">
        <f t="shared" si="17"/>
        <v>0</v>
      </c>
      <c r="J96" s="276">
        <f t="shared" si="18"/>
        <v>0</v>
      </c>
      <c r="K96" s="277">
        <f t="shared" si="19"/>
        <v>0</v>
      </c>
      <c r="L96" s="58">
        <f>K96*D96*'B) D RI'!S98</f>
        <v>0</v>
      </c>
      <c r="M96" s="472">
        <f>(('B) D RI'!S98*C96)-(L96*$M$4))/'B) D RI'!S98</f>
        <v>38605.988461538451</v>
      </c>
      <c r="N96" s="266">
        <f t="shared" si="20"/>
        <v>37.336545900907595</v>
      </c>
      <c r="O96" s="63">
        <f t="shared" si="21"/>
        <v>0.82853583285004939</v>
      </c>
      <c r="R96" s="12"/>
    </row>
    <row r="97" spans="1:18" x14ac:dyDescent="0.25">
      <c r="A97" s="306">
        <f>'A) Base RI'!A99</f>
        <v>5554</v>
      </c>
      <c r="B97" s="33" t="str">
        <f>'A) Base RI'!B99</f>
        <v>Concise</v>
      </c>
      <c r="C97" s="304">
        <f>'B) D RI'!U99</f>
        <v>29879.816133333334</v>
      </c>
      <c r="D97" s="33">
        <f>'B) D RI'!AR99</f>
        <v>995</v>
      </c>
      <c r="E97" s="210">
        <f t="shared" si="13"/>
        <v>30.029965963149078</v>
      </c>
      <c r="F97" s="63">
        <f t="shared" si="14"/>
        <v>0.64911618750685751</v>
      </c>
      <c r="G97" s="276">
        <f t="shared" si="15"/>
        <v>0</v>
      </c>
      <c r="H97" s="276">
        <f t="shared" si="16"/>
        <v>0</v>
      </c>
      <c r="I97" s="276">
        <f t="shared" si="17"/>
        <v>0</v>
      </c>
      <c r="J97" s="276">
        <f t="shared" si="18"/>
        <v>0</v>
      </c>
      <c r="K97" s="277">
        <f t="shared" si="19"/>
        <v>0</v>
      </c>
      <c r="L97" s="58">
        <f>K97*D97*'B) D RI'!S99</f>
        <v>0</v>
      </c>
      <c r="M97" s="472">
        <f>(('B) D RI'!S99*C97)-(L97*$M$4))/'B) D RI'!S99</f>
        <v>29879.816133333334</v>
      </c>
      <c r="N97" s="266">
        <f t="shared" si="20"/>
        <v>30.029965963149078</v>
      </c>
      <c r="O97" s="63">
        <f t="shared" si="21"/>
        <v>0.66639541123517643</v>
      </c>
      <c r="R97" s="12"/>
    </row>
    <row r="98" spans="1:18" x14ac:dyDescent="0.25">
      <c r="A98" s="306">
        <f>'A) Base RI'!A100</f>
        <v>5555</v>
      </c>
      <c r="B98" s="33" t="str">
        <f>'A) Base RI'!B100</f>
        <v>Corcelles-près-Concise</v>
      </c>
      <c r="C98" s="304">
        <f>'B) D RI'!U100</f>
        <v>13019.29676056338</v>
      </c>
      <c r="D98" s="33">
        <f>'B) D RI'!AR100</f>
        <v>401</v>
      </c>
      <c r="E98" s="210">
        <f t="shared" si="13"/>
        <v>32.467074215868777</v>
      </c>
      <c r="F98" s="63">
        <f t="shared" si="14"/>
        <v>0.70179578159924516</v>
      </c>
      <c r="G98" s="276">
        <f t="shared" si="15"/>
        <v>0</v>
      </c>
      <c r="H98" s="276">
        <f t="shared" si="16"/>
        <v>0</v>
      </c>
      <c r="I98" s="276">
        <f t="shared" si="17"/>
        <v>0</v>
      </c>
      <c r="J98" s="276">
        <f t="shared" si="18"/>
        <v>0</v>
      </c>
      <c r="K98" s="277">
        <f t="shared" si="19"/>
        <v>0</v>
      </c>
      <c r="L98" s="58">
        <f>K98*D98*'B) D RI'!S100</f>
        <v>0</v>
      </c>
      <c r="M98" s="472">
        <f>(('B) D RI'!S100*C98)-(L98*$M$4))/'B) D RI'!S100</f>
        <v>13019.29676056338</v>
      </c>
      <c r="N98" s="266">
        <f t="shared" si="20"/>
        <v>32.467074215868777</v>
      </c>
      <c r="O98" s="63">
        <f t="shared" si="21"/>
        <v>0.72047731589962904</v>
      </c>
      <c r="R98" s="12"/>
    </row>
    <row r="99" spans="1:18" x14ac:dyDescent="0.25">
      <c r="A99" s="306">
        <f>'A) Base RI'!A101</f>
        <v>5556</v>
      </c>
      <c r="B99" s="33" t="str">
        <f>'A) Base RI'!B101</f>
        <v>Fiez</v>
      </c>
      <c r="C99" s="304">
        <f>'B) D RI'!U101</f>
        <v>12683.231642512079</v>
      </c>
      <c r="D99" s="33">
        <f>'B) D RI'!AR101</f>
        <v>447</v>
      </c>
      <c r="E99" s="210">
        <f t="shared" si="13"/>
        <v>28.374120005619865</v>
      </c>
      <c r="F99" s="63">
        <f t="shared" si="14"/>
        <v>0.61332405852579319</v>
      </c>
      <c r="G99" s="276">
        <f t="shared" si="15"/>
        <v>0</v>
      </c>
      <c r="H99" s="276">
        <f t="shared" si="16"/>
        <v>0</v>
      </c>
      <c r="I99" s="276">
        <f t="shared" si="17"/>
        <v>0</v>
      </c>
      <c r="J99" s="276">
        <f t="shared" si="18"/>
        <v>0</v>
      </c>
      <c r="K99" s="277">
        <f t="shared" si="19"/>
        <v>0</v>
      </c>
      <c r="L99" s="58">
        <f>K99*D99*'B) D RI'!S101</f>
        <v>0</v>
      </c>
      <c r="M99" s="472">
        <f>(('B) D RI'!S101*C99)-(L99*$M$4))/'B) D RI'!S101</f>
        <v>12683.231642512079</v>
      </c>
      <c r="N99" s="266">
        <f t="shared" si="20"/>
        <v>28.374120005619865</v>
      </c>
      <c r="O99" s="63">
        <f t="shared" si="21"/>
        <v>0.62965050952054014</v>
      </c>
      <c r="R99" s="12"/>
    </row>
    <row r="100" spans="1:18" x14ac:dyDescent="0.25">
      <c r="A100" s="306">
        <f>'A) Base RI'!A102</f>
        <v>5557</v>
      </c>
      <c r="B100" s="33" t="str">
        <f>'A) Base RI'!B102</f>
        <v>Fontaines-sur-Grandson</v>
      </c>
      <c r="C100" s="304">
        <f>'B) D RI'!U102</f>
        <v>5551.0404347826088</v>
      </c>
      <c r="D100" s="33">
        <f>'B) D RI'!AR102</f>
        <v>218</v>
      </c>
      <c r="E100" s="210">
        <f t="shared" si="13"/>
        <v>25.463488232947746</v>
      </c>
      <c r="F100" s="63">
        <f t="shared" si="14"/>
        <v>0.55040896225722824</v>
      </c>
      <c r="G100" s="276">
        <f t="shared" si="15"/>
        <v>0</v>
      </c>
      <c r="H100" s="276">
        <f t="shared" si="16"/>
        <v>0</v>
      </c>
      <c r="I100" s="276">
        <f t="shared" si="17"/>
        <v>0</v>
      </c>
      <c r="J100" s="276">
        <f t="shared" si="18"/>
        <v>0</v>
      </c>
      <c r="K100" s="277">
        <f t="shared" si="19"/>
        <v>0</v>
      </c>
      <c r="L100" s="58">
        <f>K100*D100*'B) D RI'!S102</f>
        <v>0</v>
      </c>
      <c r="M100" s="472">
        <f>(('B) D RI'!S102*C100)-(L100*$M$4))/'B) D RI'!S102</f>
        <v>5551.0404347826088</v>
      </c>
      <c r="N100" s="266">
        <f t="shared" si="20"/>
        <v>25.463488232947746</v>
      </c>
      <c r="O100" s="63">
        <f t="shared" si="21"/>
        <v>0.56506063754119118</v>
      </c>
      <c r="R100" s="12"/>
    </row>
    <row r="101" spans="1:18" x14ac:dyDescent="0.25">
      <c r="A101" s="306">
        <f>'A) Base RI'!A103</f>
        <v>5559</v>
      </c>
      <c r="B101" s="33" t="str">
        <f>'A) Base RI'!B103</f>
        <v>Giez</v>
      </c>
      <c r="C101" s="304">
        <f>'B) D RI'!U103</f>
        <v>20477.299090909091</v>
      </c>
      <c r="D101" s="33">
        <f>'B) D RI'!AR103</f>
        <v>412</v>
      </c>
      <c r="E101" s="210">
        <f t="shared" si="13"/>
        <v>49.702182259488083</v>
      </c>
      <c r="F101" s="63">
        <f t="shared" si="14"/>
        <v>1.0743432442993912</v>
      </c>
      <c r="G101" s="276">
        <f t="shared" si="15"/>
        <v>0</v>
      </c>
      <c r="H101" s="276">
        <f t="shared" si="16"/>
        <v>0</v>
      </c>
      <c r="I101" s="276">
        <f t="shared" si="17"/>
        <v>0</v>
      </c>
      <c r="J101" s="276">
        <f t="shared" si="18"/>
        <v>0</v>
      </c>
      <c r="K101" s="277">
        <f t="shared" si="19"/>
        <v>0</v>
      </c>
      <c r="L101" s="58">
        <f>K101*D101*'B) D RI'!S103</f>
        <v>0</v>
      </c>
      <c r="M101" s="472">
        <f>(('B) D RI'!S103*C101)-(L101*$M$4))/'B) D RI'!S103</f>
        <v>20477.299090909091</v>
      </c>
      <c r="N101" s="266">
        <f t="shared" si="20"/>
        <v>49.702182259488083</v>
      </c>
      <c r="O101" s="63">
        <f t="shared" si="21"/>
        <v>1.1029418490431082</v>
      </c>
      <c r="R101" s="12"/>
    </row>
    <row r="102" spans="1:18" x14ac:dyDescent="0.25">
      <c r="A102" s="306">
        <f>'A) Base RI'!A104</f>
        <v>5560</v>
      </c>
      <c r="B102" s="33" t="str">
        <f>'A) Base RI'!B104</f>
        <v>Grandevent</v>
      </c>
      <c r="C102" s="304">
        <f>'B) D RI'!U104</f>
        <v>7465.4854411764709</v>
      </c>
      <c r="D102" s="33">
        <f>'B) D RI'!AR104</f>
        <v>238</v>
      </c>
      <c r="E102" s="210">
        <f t="shared" si="13"/>
        <v>31.367585887296094</v>
      </c>
      <c r="F102" s="63">
        <f t="shared" si="14"/>
        <v>0.67802966501665596</v>
      </c>
      <c r="G102" s="276">
        <f t="shared" si="15"/>
        <v>0</v>
      </c>
      <c r="H102" s="276">
        <f t="shared" si="16"/>
        <v>0</v>
      </c>
      <c r="I102" s="276">
        <f t="shared" si="17"/>
        <v>0</v>
      </c>
      <c r="J102" s="276">
        <f t="shared" si="18"/>
        <v>0</v>
      </c>
      <c r="K102" s="277">
        <f t="shared" si="19"/>
        <v>0</v>
      </c>
      <c r="L102" s="58">
        <f>K102*D102*'B) D RI'!S104</f>
        <v>0</v>
      </c>
      <c r="M102" s="472">
        <f>(('B) D RI'!S104*C102)-(L102*$M$4))/'B) D RI'!S104</f>
        <v>7465.4854411764709</v>
      </c>
      <c r="N102" s="266">
        <f t="shared" si="20"/>
        <v>31.367585887296094</v>
      </c>
      <c r="O102" s="63">
        <f t="shared" si="21"/>
        <v>0.69607855441696243</v>
      </c>
      <c r="R102" s="12"/>
    </row>
    <row r="103" spans="1:18" x14ac:dyDescent="0.25">
      <c r="A103" s="306">
        <f>'A) Base RI'!A105</f>
        <v>5561</v>
      </c>
      <c r="B103" s="33" t="str">
        <f>'A) Base RI'!B105</f>
        <v>Grandson</v>
      </c>
      <c r="C103" s="304">
        <f>'B) D RI'!U105</f>
        <v>124296.34985507248</v>
      </c>
      <c r="D103" s="33">
        <f>'B) D RI'!AR105</f>
        <v>3360</v>
      </c>
      <c r="E103" s="210">
        <f t="shared" si="13"/>
        <v>36.992961266390616</v>
      </c>
      <c r="F103" s="63">
        <f t="shared" si="14"/>
        <v>0.79962561433786739</v>
      </c>
      <c r="G103" s="276">
        <f t="shared" si="15"/>
        <v>0</v>
      </c>
      <c r="H103" s="276">
        <f t="shared" si="16"/>
        <v>0</v>
      </c>
      <c r="I103" s="276">
        <f t="shared" si="17"/>
        <v>0</v>
      </c>
      <c r="J103" s="276">
        <f t="shared" si="18"/>
        <v>0</v>
      </c>
      <c r="K103" s="277">
        <f t="shared" si="19"/>
        <v>0</v>
      </c>
      <c r="L103" s="58">
        <f>K103*D103*'B) D RI'!S105</f>
        <v>0</v>
      </c>
      <c r="M103" s="472">
        <f>(('B) D RI'!S105*C103)-(L103*$M$4))/'B) D RI'!S105</f>
        <v>124296.34985507248</v>
      </c>
      <c r="N103" s="266">
        <f t="shared" si="20"/>
        <v>36.992961266390616</v>
      </c>
      <c r="O103" s="63">
        <f t="shared" si="21"/>
        <v>0.82091134123077814</v>
      </c>
      <c r="R103" s="12"/>
    </row>
    <row r="104" spans="1:18" x14ac:dyDescent="0.25">
      <c r="A104" s="306">
        <f>'A) Base RI'!A106</f>
        <v>5562</v>
      </c>
      <c r="B104" s="33" t="str">
        <f>'A) Base RI'!B106</f>
        <v>Mauborget</v>
      </c>
      <c r="C104" s="304">
        <f>'B) D RI'!U106</f>
        <v>5288.8125476190471</v>
      </c>
      <c r="D104" s="33">
        <f>'B) D RI'!AR106</f>
        <v>122</v>
      </c>
      <c r="E104" s="210">
        <f t="shared" si="13"/>
        <v>43.350922521467602</v>
      </c>
      <c r="F104" s="63">
        <f t="shared" si="14"/>
        <v>0.9370568580254679</v>
      </c>
      <c r="G104" s="276">
        <f t="shared" si="15"/>
        <v>0</v>
      </c>
      <c r="H104" s="276">
        <f t="shared" si="16"/>
        <v>0</v>
      </c>
      <c r="I104" s="276">
        <f t="shared" si="17"/>
        <v>0</v>
      </c>
      <c r="J104" s="276">
        <f t="shared" si="18"/>
        <v>0</v>
      </c>
      <c r="K104" s="277">
        <f t="shared" si="19"/>
        <v>0</v>
      </c>
      <c r="L104" s="58">
        <f>K104*D104*'B) D RI'!S106</f>
        <v>0</v>
      </c>
      <c r="M104" s="472">
        <f>(('B) D RI'!S106*C104)-(L104*$M$4))/'B) D RI'!S106</f>
        <v>5288.8125476190471</v>
      </c>
      <c r="N104" s="266">
        <f t="shared" si="20"/>
        <v>43.350922521467602</v>
      </c>
      <c r="O104" s="63">
        <f t="shared" si="21"/>
        <v>0.96200095186815382</v>
      </c>
      <c r="R104" s="12"/>
    </row>
    <row r="105" spans="1:18" x14ac:dyDescent="0.25">
      <c r="A105" s="306">
        <f>'A) Base RI'!A107</f>
        <v>5563</v>
      </c>
      <c r="B105" s="33" t="str">
        <f>'A) Base RI'!B107</f>
        <v>Mutrux</v>
      </c>
      <c r="C105" s="304">
        <f>'B) D RI'!U107</f>
        <v>3325.060127388535</v>
      </c>
      <c r="D105" s="33">
        <f>'B) D RI'!AR107</f>
        <v>158</v>
      </c>
      <c r="E105" s="210">
        <f t="shared" si="13"/>
        <v>21.044684350560349</v>
      </c>
      <c r="F105" s="63">
        <f t="shared" si="14"/>
        <v>0.45489379807104069</v>
      </c>
      <c r="G105" s="276">
        <f t="shared" si="15"/>
        <v>0</v>
      </c>
      <c r="H105" s="276">
        <f t="shared" si="16"/>
        <v>0</v>
      </c>
      <c r="I105" s="276">
        <f t="shared" si="17"/>
        <v>0</v>
      </c>
      <c r="J105" s="276">
        <f t="shared" si="18"/>
        <v>0</v>
      </c>
      <c r="K105" s="277">
        <f t="shared" si="19"/>
        <v>0</v>
      </c>
      <c r="L105" s="58">
        <f>K105*D105*'B) D RI'!S107</f>
        <v>0</v>
      </c>
      <c r="M105" s="472">
        <f>(('B) D RI'!S107*C105)-(L105*$M$4))/'B) D RI'!S107</f>
        <v>3325.060127388535</v>
      </c>
      <c r="N105" s="266">
        <f t="shared" si="20"/>
        <v>21.044684350560349</v>
      </c>
      <c r="O105" s="63">
        <f t="shared" si="21"/>
        <v>0.46700289635078612</v>
      </c>
      <c r="R105" s="12"/>
    </row>
    <row r="106" spans="1:18" x14ac:dyDescent="0.25">
      <c r="A106" s="306">
        <f>'A) Base RI'!A108</f>
        <v>5564</v>
      </c>
      <c r="B106" s="33" t="str">
        <f>'A) Base RI'!B108</f>
        <v>Novalles</v>
      </c>
      <c r="C106" s="304">
        <f>'B) D RI'!U108</f>
        <v>2879.4712828947363</v>
      </c>
      <c r="D106" s="33">
        <f>'B) D RI'!AR108</f>
        <v>101</v>
      </c>
      <c r="E106" s="210">
        <f t="shared" si="13"/>
        <v>28.50961666232412</v>
      </c>
      <c r="F106" s="63">
        <f t="shared" si="14"/>
        <v>0.61625290211248662</v>
      </c>
      <c r="G106" s="276">
        <f t="shared" si="15"/>
        <v>0</v>
      </c>
      <c r="H106" s="276">
        <f t="shared" si="16"/>
        <v>0</v>
      </c>
      <c r="I106" s="276">
        <f t="shared" si="17"/>
        <v>0</v>
      </c>
      <c r="J106" s="276">
        <f t="shared" si="18"/>
        <v>0</v>
      </c>
      <c r="K106" s="277">
        <f t="shared" si="19"/>
        <v>0</v>
      </c>
      <c r="L106" s="58">
        <f>K106*D106*'B) D RI'!S108</f>
        <v>0</v>
      </c>
      <c r="M106" s="472">
        <f>(('B) D RI'!S108*C106)-(L106*$M$4))/'B) D RI'!S108</f>
        <v>2879.4712828947363</v>
      </c>
      <c r="N106" s="266">
        <f t="shared" si="20"/>
        <v>28.50961666232412</v>
      </c>
      <c r="O106" s="63">
        <f t="shared" si="21"/>
        <v>0.6326573177991851</v>
      </c>
      <c r="R106" s="12"/>
    </row>
    <row r="107" spans="1:18" x14ac:dyDescent="0.25">
      <c r="A107" s="306">
        <f>'A) Base RI'!A109</f>
        <v>5565</v>
      </c>
      <c r="B107" s="33" t="str">
        <f>'A) Base RI'!B109</f>
        <v>Onnens</v>
      </c>
      <c r="C107" s="304">
        <f>'B) D RI'!U109</f>
        <v>21859.350153846153</v>
      </c>
      <c r="D107" s="33">
        <f>'B) D RI'!AR109</f>
        <v>494</v>
      </c>
      <c r="E107" s="210">
        <f t="shared" si="13"/>
        <v>44.249696667704761</v>
      </c>
      <c r="F107" s="63">
        <f t="shared" si="14"/>
        <v>0.95648441408567519</v>
      </c>
      <c r="G107" s="276">
        <f t="shared" si="15"/>
        <v>0</v>
      </c>
      <c r="H107" s="276">
        <f t="shared" si="16"/>
        <v>0</v>
      </c>
      <c r="I107" s="276">
        <f t="shared" si="17"/>
        <v>0</v>
      </c>
      <c r="J107" s="276">
        <f t="shared" si="18"/>
        <v>0</v>
      </c>
      <c r="K107" s="277">
        <f t="shared" si="19"/>
        <v>0</v>
      </c>
      <c r="L107" s="58">
        <f>K107*D107*'B) D RI'!S109</f>
        <v>0</v>
      </c>
      <c r="M107" s="472">
        <f>(('B) D RI'!S109*C107)-(L107*$M$4))/'B) D RI'!S109</f>
        <v>21859.350153846153</v>
      </c>
      <c r="N107" s="266">
        <f t="shared" si="20"/>
        <v>44.249696667704761</v>
      </c>
      <c r="O107" s="63">
        <f t="shared" si="21"/>
        <v>0.98194566201282185</v>
      </c>
      <c r="R107" s="12"/>
    </row>
    <row r="108" spans="1:18" x14ac:dyDescent="0.25">
      <c r="A108" s="306">
        <f>'A) Base RI'!A110</f>
        <v>5566</v>
      </c>
      <c r="B108" s="33" t="str">
        <f>'A) Base RI'!B110</f>
        <v>Provence</v>
      </c>
      <c r="C108" s="304">
        <f>'B) D RI'!U110</f>
        <v>8283.9104526748961</v>
      </c>
      <c r="D108" s="33">
        <f>'B) D RI'!AR110</f>
        <v>373</v>
      </c>
      <c r="E108" s="210">
        <f t="shared" si="13"/>
        <v>22.20887520824369</v>
      </c>
      <c r="F108" s="63">
        <f t="shared" si="14"/>
        <v>0.48005849962272051</v>
      </c>
      <c r="G108" s="276">
        <f t="shared" si="15"/>
        <v>0</v>
      </c>
      <c r="H108" s="276">
        <f t="shared" si="16"/>
        <v>0</v>
      </c>
      <c r="I108" s="276">
        <f t="shared" si="17"/>
        <v>0</v>
      </c>
      <c r="J108" s="276">
        <f t="shared" si="18"/>
        <v>0</v>
      </c>
      <c r="K108" s="277">
        <f t="shared" si="19"/>
        <v>0</v>
      </c>
      <c r="L108" s="58">
        <f>K108*D108*'B) D RI'!S110</f>
        <v>0</v>
      </c>
      <c r="M108" s="472">
        <f>(('B) D RI'!S110*C108)-(L108*$M$4))/'B) D RI'!S110</f>
        <v>8283.9104526748961</v>
      </c>
      <c r="N108" s="266">
        <f t="shared" si="20"/>
        <v>22.20887520824369</v>
      </c>
      <c r="O108" s="63">
        <f t="shared" si="21"/>
        <v>0.4928374725975308</v>
      </c>
      <c r="R108" s="12"/>
    </row>
    <row r="109" spans="1:18" x14ac:dyDescent="0.25">
      <c r="A109" s="306">
        <f>'A) Base RI'!A111</f>
        <v>5568</v>
      </c>
      <c r="B109" s="33" t="str">
        <f>'A) Base RI'!B111</f>
        <v>Sainte-Croix</v>
      </c>
      <c r="C109" s="304">
        <f>'B) D RI'!U111</f>
        <v>103146.8182857143</v>
      </c>
      <c r="D109" s="33">
        <f>'B) D RI'!AR111</f>
        <v>4845</v>
      </c>
      <c r="E109" s="210">
        <f t="shared" si="13"/>
        <v>21.289332979507595</v>
      </c>
      <c r="F109" s="63">
        <f t="shared" si="14"/>
        <v>0.46018202868361924</v>
      </c>
      <c r="G109" s="276">
        <f t="shared" si="15"/>
        <v>0</v>
      </c>
      <c r="H109" s="276">
        <f t="shared" si="16"/>
        <v>0</v>
      </c>
      <c r="I109" s="276">
        <f t="shared" si="17"/>
        <v>0</v>
      </c>
      <c r="J109" s="276">
        <f t="shared" si="18"/>
        <v>0</v>
      </c>
      <c r="K109" s="277">
        <f t="shared" si="19"/>
        <v>0</v>
      </c>
      <c r="L109" s="58">
        <f>K109*D109*'B) D RI'!S111</f>
        <v>0</v>
      </c>
      <c r="M109" s="472">
        <f>(('B) D RI'!S111*C109)-(L109*$M$4))/'B) D RI'!S111</f>
        <v>103146.8182857143</v>
      </c>
      <c r="N109" s="266">
        <f t="shared" si="20"/>
        <v>21.289332979507595</v>
      </c>
      <c r="O109" s="63">
        <f t="shared" si="21"/>
        <v>0.47243189763222238</v>
      </c>
      <c r="R109" s="12"/>
    </row>
    <row r="110" spans="1:18" x14ac:dyDescent="0.25">
      <c r="A110" s="306">
        <f>'A) Base RI'!A112</f>
        <v>5571</v>
      </c>
      <c r="B110" s="33" t="str">
        <f>'A) Base RI'!B112</f>
        <v>Tévenon</v>
      </c>
      <c r="C110" s="304">
        <f>'B) D RI'!U112</f>
        <v>22505.207716894973</v>
      </c>
      <c r="D110" s="33">
        <f>'B) D RI'!AR112</f>
        <v>877</v>
      </c>
      <c r="E110" s="210">
        <f t="shared" si="13"/>
        <v>25.661582345376253</v>
      </c>
      <c r="F110" s="63">
        <f t="shared" si="14"/>
        <v>0.55469088835680957</v>
      </c>
      <c r="G110" s="276">
        <f t="shared" si="15"/>
        <v>0</v>
      </c>
      <c r="H110" s="276">
        <f t="shared" si="16"/>
        <v>0</v>
      </c>
      <c r="I110" s="276">
        <f t="shared" si="17"/>
        <v>0</v>
      </c>
      <c r="J110" s="276">
        <f t="shared" si="18"/>
        <v>0</v>
      </c>
      <c r="K110" s="277">
        <f t="shared" si="19"/>
        <v>0</v>
      </c>
      <c r="L110" s="58">
        <f>K110*D110*'B) D RI'!S112</f>
        <v>0</v>
      </c>
      <c r="M110" s="472">
        <f>(('B) D RI'!S112*C110)-(L110*$M$4))/'B) D RI'!S112</f>
        <v>22505.207716894973</v>
      </c>
      <c r="N110" s="266">
        <f t="shared" si="20"/>
        <v>25.661582345376253</v>
      </c>
      <c r="O110" s="63">
        <f t="shared" si="21"/>
        <v>0.56945654686979497</v>
      </c>
      <c r="R110" s="12"/>
    </row>
    <row r="111" spans="1:18" x14ac:dyDescent="0.25">
      <c r="A111" s="306">
        <f>'A) Base RI'!A113</f>
        <v>5581</v>
      </c>
      <c r="B111" s="33" t="str">
        <f>'A) Base RI'!B113</f>
        <v>Belmont-sur-Lausanne</v>
      </c>
      <c r="C111" s="304">
        <f>'B) D RI'!U113</f>
        <v>187970.76781774583</v>
      </c>
      <c r="D111" s="33">
        <f>'B) D RI'!AR113</f>
        <v>3732</v>
      </c>
      <c r="E111" s="210">
        <f t="shared" si="13"/>
        <v>50.367301130156974</v>
      </c>
      <c r="F111" s="63">
        <f t="shared" si="14"/>
        <v>1.0887201978429704</v>
      </c>
      <c r="G111" s="276">
        <f t="shared" si="15"/>
        <v>0</v>
      </c>
      <c r="H111" s="276">
        <f t="shared" si="16"/>
        <v>0</v>
      </c>
      <c r="I111" s="276">
        <f t="shared" si="17"/>
        <v>0</v>
      </c>
      <c r="J111" s="276">
        <f t="shared" si="18"/>
        <v>0</v>
      </c>
      <c r="K111" s="277">
        <f t="shared" si="19"/>
        <v>0</v>
      </c>
      <c r="L111" s="58">
        <f>K111*D111*'B) D RI'!S113</f>
        <v>0</v>
      </c>
      <c r="M111" s="472">
        <f>(('B) D RI'!S113*C111)-(L111*$M$4))/'B) D RI'!S113</f>
        <v>187970.76781774583</v>
      </c>
      <c r="N111" s="266">
        <f t="shared" si="20"/>
        <v>50.367301130156974</v>
      </c>
      <c r="O111" s="63">
        <f t="shared" si="21"/>
        <v>1.1177015115709839</v>
      </c>
      <c r="R111" s="12"/>
    </row>
    <row r="112" spans="1:18" x14ac:dyDescent="0.25">
      <c r="A112" s="306">
        <f>'A) Base RI'!A114</f>
        <v>5582</v>
      </c>
      <c r="B112" s="33" t="str">
        <f>'A) Base RI'!B114</f>
        <v>Cheseaux-sur-Lausanne</v>
      </c>
      <c r="C112" s="304">
        <f>'B) D RI'!U114</f>
        <v>177854.9614765101</v>
      </c>
      <c r="D112" s="33">
        <f>'B) D RI'!AR114</f>
        <v>4338</v>
      </c>
      <c r="E112" s="210">
        <f t="shared" si="13"/>
        <v>40.999299556595226</v>
      </c>
      <c r="F112" s="63">
        <f t="shared" si="14"/>
        <v>0.88622508101697151</v>
      </c>
      <c r="G112" s="276">
        <f t="shared" si="15"/>
        <v>0</v>
      </c>
      <c r="H112" s="276">
        <f t="shared" si="16"/>
        <v>0</v>
      </c>
      <c r="I112" s="276">
        <f t="shared" si="17"/>
        <v>0</v>
      </c>
      <c r="J112" s="276">
        <f t="shared" si="18"/>
        <v>0</v>
      </c>
      <c r="K112" s="277">
        <f t="shared" si="19"/>
        <v>0</v>
      </c>
      <c r="L112" s="58">
        <f>K112*D112*'B) D RI'!S114</f>
        <v>0</v>
      </c>
      <c r="M112" s="472">
        <f>(('B) D RI'!S114*C112)-(L112*$M$4))/'B) D RI'!S114</f>
        <v>177854.9614765101</v>
      </c>
      <c r="N112" s="266">
        <f t="shared" si="20"/>
        <v>40.999299556595226</v>
      </c>
      <c r="O112" s="63">
        <f t="shared" si="21"/>
        <v>0.90981605246902442</v>
      </c>
      <c r="R112" s="12"/>
    </row>
    <row r="113" spans="1:18" x14ac:dyDescent="0.25">
      <c r="A113" s="306">
        <f>'A) Base RI'!A115</f>
        <v>5583</v>
      </c>
      <c r="B113" s="33" t="str">
        <f>'A) Base RI'!B115</f>
        <v>Crissier</v>
      </c>
      <c r="C113" s="304">
        <f>'B) D RI'!U115</f>
        <v>343062.59507692308</v>
      </c>
      <c r="D113" s="33">
        <f>'B) D RI'!AR115</f>
        <v>7905</v>
      </c>
      <c r="E113" s="210">
        <f t="shared" si="13"/>
        <v>43.398177745341314</v>
      </c>
      <c r="F113" s="63">
        <f t="shared" si="14"/>
        <v>0.93807830875898945</v>
      </c>
      <c r="G113" s="276">
        <f t="shared" si="15"/>
        <v>0</v>
      </c>
      <c r="H113" s="276">
        <f t="shared" si="16"/>
        <v>0</v>
      </c>
      <c r="I113" s="276">
        <f t="shared" si="17"/>
        <v>0</v>
      </c>
      <c r="J113" s="276">
        <f t="shared" si="18"/>
        <v>0</v>
      </c>
      <c r="K113" s="277">
        <f t="shared" si="19"/>
        <v>0</v>
      </c>
      <c r="L113" s="58">
        <f>K113*D113*'B) D RI'!S115</f>
        <v>0</v>
      </c>
      <c r="M113" s="472">
        <f>(('B) D RI'!S115*C113)-(L113*$M$4))/'B) D RI'!S115</f>
        <v>343062.59507692308</v>
      </c>
      <c r="N113" s="266">
        <f t="shared" si="20"/>
        <v>43.398177745341314</v>
      </c>
      <c r="O113" s="63">
        <f t="shared" si="21"/>
        <v>0.96304959322808659</v>
      </c>
      <c r="R113" s="12"/>
    </row>
    <row r="114" spans="1:18" x14ac:dyDescent="0.25">
      <c r="A114" s="306">
        <f>'A) Base RI'!A116</f>
        <v>5584</v>
      </c>
      <c r="B114" s="33" t="str">
        <f>'A) Base RI'!B116</f>
        <v>Epalinges</v>
      </c>
      <c r="C114" s="304">
        <f>'B) D RI'!U116</f>
        <v>468635.24666666664</v>
      </c>
      <c r="D114" s="33">
        <f>'B) D RI'!AR116</f>
        <v>9624</v>
      </c>
      <c r="E114" s="210">
        <f t="shared" si="13"/>
        <v>48.694435439179827</v>
      </c>
      <c r="F114" s="63">
        <f t="shared" si="14"/>
        <v>1.0525601768535813</v>
      </c>
      <c r="G114" s="276">
        <f t="shared" si="15"/>
        <v>0</v>
      </c>
      <c r="H114" s="276">
        <f t="shared" si="16"/>
        <v>0</v>
      </c>
      <c r="I114" s="276">
        <f t="shared" si="17"/>
        <v>0</v>
      </c>
      <c r="J114" s="276">
        <f t="shared" si="18"/>
        <v>0</v>
      </c>
      <c r="K114" s="277">
        <f t="shared" si="19"/>
        <v>0</v>
      </c>
      <c r="L114" s="58">
        <f>K114*D114*'B) D RI'!S116</f>
        <v>0</v>
      </c>
      <c r="M114" s="472">
        <f>(('B) D RI'!S116*C114)-(L114*$M$4))/'B) D RI'!S116</f>
        <v>468635.24666666664</v>
      </c>
      <c r="N114" s="266">
        <f t="shared" si="20"/>
        <v>48.694435439179827</v>
      </c>
      <c r="O114" s="63">
        <f t="shared" si="21"/>
        <v>1.0805789247039879</v>
      </c>
      <c r="R114" s="12"/>
    </row>
    <row r="115" spans="1:18" x14ac:dyDescent="0.25">
      <c r="A115" s="306">
        <f>'A) Base RI'!A117</f>
        <v>5585</v>
      </c>
      <c r="B115" s="33" t="str">
        <f>'A) Base RI'!B117</f>
        <v>Jouxtens-Mézery</v>
      </c>
      <c r="C115" s="304">
        <f>'B) D RI'!U117</f>
        <v>222395.52905660376</v>
      </c>
      <c r="D115" s="33">
        <f>'B) D RI'!AR117</f>
        <v>1471</v>
      </c>
      <c r="E115" s="210">
        <f t="shared" si="13"/>
        <v>151.18662750278978</v>
      </c>
      <c r="F115" s="63">
        <f t="shared" si="14"/>
        <v>3.2679919573355107</v>
      </c>
      <c r="G115" s="276">
        <f t="shared" si="15"/>
        <v>95.671205380616627</v>
      </c>
      <c r="H115" s="276">
        <f t="shared" si="16"/>
        <v>81.792349850073336</v>
      </c>
      <c r="I115" s="276">
        <f t="shared" si="17"/>
        <v>58.660923965834527</v>
      </c>
      <c r="J115" s="276">
        <f t="shared" si="18"/>
        <v>12.398072197356896</v>
      </c>
      <c r="K115" s="277">
        <f t="shared" si="19"/>
        <v>49.726768538348466</v>
      </c>
      <c r="L115" s="58">
        <f>K115*D115*'B) D RI'!S117</f>
        <v>3876848.0555552617</v>
      </c>
      <c r="M115" s="472">
        <f>(('B) D RI'!S117*C115)-(L115*$M$4))/'B) D RI'!S117</f>
        <v>185821.49079664846</v>
      </c>
      <c r="N115" s="266">
        <f t="shared" si="20"/>
        <v>126.32324323361554</v>
      </c>
      <c r="O115" s="63">
        <f t="shared" si="21"/>
        <v>2.803240926963702</v>
      </c>
      <c r="R115" s="12"/>
    </row>
    <row r="116" spans="1:18" x14ac:dyDescent="0.25">
      <c r="A116" s="306">
        <f>'A) Base RI'!A118</f>
        <v>5586</v>
      </c>
      <c r="B116" s="33" t="str">
        <f>'A) Base RI'!B118</f>
        <v>Lausanne</v>
      </c>
      <c r="C116" s="304">
        <f>'B) D RI'!U118</f>
        <v>5998569.406244725</v>
      </c>
      <c r="D116" s="33">
        <f>'B) D RI'!AR118</f>
        <v>139720</v>
      </c>
      <c r="E116" s="210">
        <f t="shared" si="13"/>
        <v>42.932789910139746</v>
      </c>
      <c r="F116" s="63">
        <f t="shared" si="14"/>
        <v>0.92801866441344416</v>
      </c>
      <c r="G116" s="276">
        <f t="shared" si="15"/>
        <v>0</v>
      </c>
      <c r="H116" s="276">
        <f t="shared" si="16"/>
        <v>0</v>
      </c>
      <c r="I116" s="276">
        <f t="shared" si="17"/>
        <v>0</v>
      </c>
      <c r="J116" s="276">
        <f t="shared" si="18"/>
        <v>0</v>
      </c>
      <c r="K116" s="277">
        <f t="shared" si="19"/>
        <v>0</v>
      </c>
      <c r="L116" s="58">
        <f>K116*D116*'B) D RI'!S118</f>
        <v>0</v>
      </c>
      <c r="M116" s="472">
        <f>(('B) D RI'!S118*C116)-(L116*$M$4))/'B) D RI'!S118</f>
        <v>5998569.406244725</v>
      </c>
      <c r="N116" s="266">
        <f t="shared" si="20"/>
        <v>42.932789910139746</v>
      </c>
      <c r="O116" s="63">
        <f t="shared" si="21"/>
        <v>0.95272216501176521</v>
      </c>
      <c r="R116" s="12"/>
    </row>
    <row r="117" spans="1:18" x14ac:dyDescent="0.25">
      <c r="A117" s="306">
        <f>'A) Base RI'!A119</f>
        <v>5587</v>
      </c>
      <c r="B117" s="33" t="str">
        <f>'A) Base RI'!B119</f>
        <v>Le Mont-sur-Lausanne</v>
      </c>
      <c r="C117" s="304">
        <f>'B) D RI'!U119</f>
        <v>426789.42020000005</v>
      </c>
      <c r="D117" s="33">
        <f>'B) D RI'!AR119</f>
        <v>8516</v>
      </c>
      <c r="E117" s="210">
        <f t="shared" si="13"/>
        <v>50.116183677783006</v>
      </c>
      <c r="F117" s="63">
        <f t="shared" si="14"/>
        <v>1.0832921396326662</v>
      </c>
      <c r="G117" s="276">
        <f t="shared" si="15"/>
        <v>0</v>
      </c>
      <c r="H117" s="276">
        <f t="shared" si="16"/>
        <v>0</v>
      </c>
      <c r="I117" s="276">
        <f t="shared" si="17"/>
        <v>0</v>
      </c>
      <c r="J117" s="276">
        <f t="shared" si="18"/>
        <v>0</v>
      </c>
      <c r="K117" s="277">
        <f t="shared" si="19"/>
        <v>0</v>
      </c>
      <c r="L117" s="58">
        <f>K117*D117*'B) D RI'!S119</f>
        <v>0</v>
      </c>
      <c r="M117" s="472">
        <f>(('B) D RI'!S119*C117)-(L117*$M$4))/'B) D RI'!S119</f>
        <v>426789.42020000005</v>
      </c>
      <c r="N117" s="266">
        <f t="shared" si="20"/>
        <v>50.116183677783006</v>
      </c>
      <c r="O117" s="63">
        <f t="shared" si="21"/>
        <v>1.1121289605348477</v>
      </c>
      <c r="R117" s="12"/>
    </row>
    <row r="118" spans="1:18" x14ac:dyDescent="0.25">
      <c r="A118" s="306">
        <f>'A) Base RI'!A120</f>
        <v>5588</v>
      </c>
      <c r="B118" s="33" t="str">
        <f>'A) Base RI'!B120</f>
        <v>Paudex</v>
      </c>
      <c r="C118" s="304">
        <f>'B) D RI'!U120</f>
        <v>123307.63563298491</v>
      </c>
      <c r="D118" s="33">
        <f>'B) D RI'!AR120</f>
        <v>1507</v>
      </c>
      <c r="E118" s="210">
        <f t="shared" si="13"/>
        <v>81.823248595212277</v>
      </c>
      <c r="F118" s="63">
        <f t="shared" si="14"/>
        <v>1.7686598527193396</v>
      </c>
      <c r="G118" s="276">
        <f t="shared" si="15"/>
        <v>26.307826473039128</v>
      </c>
      <c r="H118" s="276">
        <f t="shared" si="16"/>
        <v>12.428970942495837</v>
      </c>
      <c r="I118" s="276">
        <f t="shared" si="17"/>
        <v>0</v>
      </c>
      <c r="J118" s="276">
        <f t="shared" si="18"/>
        <v>0</v>
      </c>
      <c r="K118" s="277">
        <f t="shared" si="19"/>
        <v>10.71371462454367</v>
      </c>
      <c r="L118" s="58">
        <f>K118*D118*'B) D RI'!S120</f>
        <v>992952.42826001963</v>
      </c>
      <c r="M118" s="472">
        <f>(('B) D RI'!S120*C118)-(L118*$M$4))/'B) D RI'!S120</f>
        <v>115234.85166339125</v>
      </c>
      <c r="N118" s="266">
        <f t="shared" si="20"/>
        <v>76.46639128294045</v>
      </c>
      <c r="O118" s="63">
        <f t="shared" si="21"/>
        <v>1.6968668005550227</v>
      </c>
      <c r="R118" s="12"/>
    </row>
    <row r="119" spans="1:18" x14ac:dyDescent="0.25">
      <c r="A119" s="306">
        <f>'A) Base RI'!A121</f>
        <v>5589</v>
      </c>
      <c r="B119" s="33" t="str">
        <f>'A) Base RI'!B121</f>
        <v>Prilly</v>
      </c>
      <c r="C119" s="304">
        <f>'B) D RI'!U121</f>
        <v>426033.15632653062</v>
      </c>
      <c r="D119" s="33">
        <f>'B) D RI'!AR121</f>
        <v>12392</v>
      </c>
      <c r="E119" s="210">
        <f t="shared" si="13"/>
        <v>34.379693054109957</v>
      </c>
      <c r="F119" s="63">
        <f t="shared" si="14"/>
        <v>0.74313821435312899</v>
      </c>
      <c r="G119" s="276">
        <f t="shared" si="15"/>
        <v>0</v>
      </c>
      <c r="H119" s="276">
        <f t="shared" si="16"/>
        <v>0</v>
      </c>
      <c r="I119" s="276">
        <f t="shared" si="17"/>
        <v>0</v>
      </c>
      <c r="J119" s="276">
        <f t="shared" si="18"/>
        <v>0</v>
      </c>
      <c r="K119" s="277">
        <f t="shared" si="19"/>
        <v>0</v>
      </c>
      <c r="L119" s="58">
        <f>K119*D119*'B) D RI'!S121</f>
        <v>0</v>
      </c>
      <c r="M119" s="472">
        <f>(('B) D RI'!S121*C119)-(L119*$M$4))/'B) D RI'!S121</f>
        <v>426033.15632653062</v>
      </c>
      <c r="N119" s="266">
        <f t="shared" si="20"/>
        <v>34.379693054109957</v>
      </c>
      <c r="O119" s="63">
        <f t="shared" si="21"/>
        <v>0.76292026834286319</v>
      </c>
      <c r="R119" s="12"/>
    </row>
    <row r="120" spans="1:18" x14ac:dyDescent="0.25">
      <c r="A120" s="306">
        <f>'A) Base RI'!A122</f>
        <v>5590</v>
      </c>
      <c r="B120" s="33" t="str">
        <f>'A) Base RI'!B122</f>
        <v>Pully</v>
      </c>
      <c r="C120" s="304">
        <f>'B) D RI'!U122</f>
        <v>1404840.8814754093</v>
      </c>
      <c r="D120" s="33">
        <f>'B) D RI'!AR122</f>
        <v>18336</v>
      </c>
      <c r="E120" s="210">
        <f t="shared" si="13"/>
        <v>76.61654022008122</v>
      </c>
      <c r="F120" s="63">
        <f t="shared" si="14"/>
        <v>1.6561136482357073</v>
      </c>
      <c r="G120" s="276">
        <f t="shared" si="15"/>
        <v>21.101118097908071</v>
      </c>
      <c r="H120" s="276">
        <f t="shared" si="16"/>
        <v>7.2222625673647798</v>
      </c>
      <c r="I120" s="276">
        <f t="shared" si="17"/>
        <v>0</v>
      </c>
      <c r="J120" s="276">
        <f t="shared" si="18"/>
        <v>0</v>
      </c>
      <c r="K120" s="277">
        <f t="shared" si="19"/>
        <v>8.3186287719833842</v>
      </c>
      <c r="L120" s="58">
        <f>K120*D120*'B) D RI'!S122</f>
        <v>9304353.0069483276</v>
      </c>
      <c r="M120" s="472">
        <f>(('B) D RI'!S122*C120)-(L120*$M$4))/'B) D RI'!S122</f>
        <v>1328575.6928938658</v>
      </c>
      <c r="N120" s="266">
        <f t="shared" si="20"/>
        <v>72.457225834089542</v>
      </c>
      <c r="O120" s="63">
        <f t="shared" si="21"/>
        <v>1.6078993517981579</v>
      </c>
      <c r="R120" s="12"/>
    </row>
    <row r="121" spans="1:18" x14ac:dyDescent="0.25">
      <c r="A121" s="306">
        <f>'A) Base RI'!A123</f>
        <v>5591</v>
      </c>
      <c r="B121" s="33" t="str">
        <f>'A) Base RI'!B123</f>
        <v>Renens</v>
      </c>
      <c r="C121" s="304">
        <f>'B) D RI'!U123</f>
        <v>580334.81221110106</v>
      </c>
      <c r="D121" s="33">
        <f>'B) D RI'!AR123</f>
        <v>20968</v>
      </c>
      <c r="E121" s="210">
        <f t="shared" si="13"/>
        <v>27.677165786488985</v>
      </c>
      <c r="F121" s="63">
        <f t="shared" si="14"/>
        <v>0.59825896434139691</v>
      </c>
      <c r="G121" s="276">
        <f t="shared" si="15"/>
        <v>0</v>
      </c>
      <c r="H121" s="276">
        <f t="shared" si="16"/>
        <v>0</v>
      </c>
      <c r="I121" s="276">
        <f t="shared" si="17"/>
        <v>0</v>
      </c>
      <c r="J121" s="276">
        <f t="shared" si="18"/>
        <v>0</v>
      </c>
      <c r="K121" s="277">
        <f t="shared" si="19"/>
        <v>0</v>
      </c>
      <c r="L121" s="58">
        <f>K121*D121*'B) D RI'!S123</f>
        <v>0</v>
      </c>
      <c r="M121" s="472">
        <f>(('B) D RI'!S123*C121)-(L121*$M$4))/'B) D RI'!S123</f>
        <v>580334.81221110106</v>
      </c>
      <c r="N121" s="266">
        <f t="shared" si="20"/>
        <v>27.677165786488985</v>
      </c>
      <c r="O121" s="63">
        <f t="shared" si="21"/>
        <v>0.61418438831215261</v>
      </c>
      <c r="R121" s="12"/>
    </row>
    <row r="122" spans="1:18" x14ac:dyDescent="0.25">
      <c r="A122" s="306">
        <f>'A) Base RI'!A124</f>
        <v>5592</v>
      </c>
      <c r="B122" s="33" t="str">
        <f>'A) Base RI'!B124</f>
        <v>Romanel-sur-Lausanne</v>
      </c>
      <c r="C122" s="304">
        <f>'B) D RI'!U124</f>
        <v>113924.20114285716</v>
      </c>
      <c r="D122" s="33">
        <f>'B) D RI'!AR124</f>
        <v>3311</v>
      </c>
      <c r="E122" s="210">
        <f t="shared" si="13"/>
        <v>34.407792552961993</v>
      </c>
      <c r="F122" s="63">
        <f t="shared" si="14"/>
        <v>0.74374560230648434</v>
      </c>
      <c r="G122" s="276">
        <f t="shared" si="15"/>
        <v>0</v>
      </c>
      <c r="H122" s="276">
        <f t="shared" si="16"/>
        <v>0</v>
      </c>
      <c r="I122" s="276">
        <f t="shared" si="17"/>
        <v>0</v>
      </c>
      <c r="J122" s="276">
        <f t="shared" si="18"/>
        <v>0</v>
      </c>
      <c r="K122" s="277">
        <f t="shared" si="19"/>
        <v>0</v>
      </c>
      <c r="L122" s="58">
        <f>K122*D122*'B) D RI'!S124</f>
        <v>0</v>
      </c>
      <c r="M122" s="472">
        <f>(('B) D RI'!S124*C122)-(L122*$M$4))/'B) D RI'!S124</f>
        <v>113924.20114285716</v>
      </c>
      <c r="N122" s="266">
        <f t="shared" si="20"/>
        <v>34.407792552961993</v>
      </c>
      <c r="O122" s="63">
        <f t="shared" si="21"/>
        <v>0.7635438247303723</v>
      </c>
      <c r="R122" s="12"/>
    </row>
    <row r="123" spans="1:18" x14ac:dyDescent="0.25">
      <c r="A123" s="306">
        <f>'A) Base RI'!A125</f>
        <v>5601</v>
      </c>
      <c r="B123" s="33" t="str">
        <f>'A) Base RI'!B125</f>
        <v>Chexbres</v>
      </c>
      <c r="C123" s="304">
        <f>'B) D RI'!U125</f>
        <v>102834.27275362321</v>
      </c>
      <c r="D123" s="33">
        <f>'B) D RI'!AR125</f>
        <v>2238</v>
      </c>
      <c r="E123" s="210">
        <f t="shared" si="13"/>
        <v>45.94918353602467</v>
      </c>
      <c r="F123" s="63">
        <f t="shared" si="14"/>
        <v>0.99321986819959329</v>
      </c>
      <c r="G123" s="276">
        <f t="shared" si="15"/>
        <v>0</v>
      </c>
      <c r="H123" s="276">
        <f t="shared" si="16"/>
        <v>0</v>
      </c>
      <c r="I123" s="276">
        <f t="shared" si="17"/>
        <v>0</v>
      </c>
      <c r="J123" s="276">
        <f t="shared" si="18"/>
        <v>0</v>
      </c>
      <c r="K123" s="277">
        <f t="shared" si="19"/>
        <v>0</v>
      </c>
      <c r="L123" s="58">
        <f>K123*D123*'B) D RI'!S125</f>
        <v>0</v>
      </c>
      <c r="M123" s="472">
        <f>(('B) D RI'!S125*C123)-(L123*$M$4))/'B) D RI'!S125</f>
        <v>102834.27275362321</v>
      </c>
      <c r="N123" s="266">
        <f t="shared" si="20"/>
        <v>45.94918353602467</v>
      </c>
      <c r="O123" s="63">
        <f t="shared" si="21"/>
        <v>1.0196589998132242</v>
      </c>
      <c r="R123" s="12"/>
    </row>
    <row r="124" spans="1:18" x14ac:dyDescent="0.25">
      <c r="A124" s="306">
        <f>'A) Base RI'!A126</f>
        <v>5604</v>
      </c>
      <c r="B124" s="33" t="str">
        <f>'A) Base RI'!B126</f>
        <v>Forel (Lavaux)</v>
      </c>
      <c r="C124" s="304">
        <f>'B) D RI'!U126</f>
        <v>76415.868285714285</v>
      </c>
      <c r="D124" s="33">
        <f>'B) D RI'!AR126</f>
        <v>2082</v>
      </c>
      <c r="E124" s="210">
        <f t="shared" si="13"/>
        <v>36.703106765472761</v>
      </c>
      <c r="F124" s="63">
        <f t="shared" si="14"/>
        <v>0.7933602309938308</v>
      </c>
      <c r="G124" s="276">
        <f t="shared" si="15"/>
        <v>0</v>
      </c>
      <c r="H124" s="276">
        <f t="shared" si="16"/>
        <v>0</v>
      </c>
      <c r="I124" s="276">
        <f t="shared" si="17"/>
        <v>0</v>
      </c>
      <c r="J124" s="276">
        <f t="shared" si="18"/>
        <v>0</v>
      </c>
      <c r="K124" s="277">
        <f t="shared" si="19"/>
        <v>0</v>
      </c>
      <c r="L124" s="58">
        <f>K124*D124*'B) D RI'!S126</f>
        <v>0</v>
      </c>
      <c r="M124" s="472">
        <f>(('B) D RI'!S126*C124)-(L124*$M$4))/'B) D RI'!S126</f>
        <v>76415.868285714285</v>
      </c>
      <c r="N124" s="266">
        <f t="shared" si="20"/>
        <v>36.703106765472761</v>
      </c>
      <c r="O124" s="63">
        <f t="shared" si="21"/>
        <v>0.81447917578728235</v>
      </c>
      <c r="R124" s="12"/>
    </row>
    <row r="125" spans="1:18" x14ac:dyDescent="0.25">
      <c r="A125" s="306">
        <f>'A) Base RI'!A127</f>
        <v>5606</v>
      </c>
      <c r="B125" s="33" t="str">
        <f>'A) Base RI'!B127</f>
        <v>Lutry</v>
      </c>
      <c r="C125" s="304">
        <f>'B) D RI'!U127</f>
        <v>833790.99884169886</v>
      </c>
      <c r="D125" s="33">
        <f>'B) D RI'!AR127</f>
        <v>10285</v>
      </c>
      <c r="E125" s="210">
        <f t="shared" si="13"/>
        <v>81.068643543188998</v>
      </c>
      <c r="F125" s="63">
        <f t="shared" si="14"/>
        <v>1.752348600317527</v>
      </c>
      <c r="G125" s="276">
        <f t="shared" si="15"/>
        <v>25.553221421015849</v>
      </c>
      <c r="H125" s="276">
        <f t="shared" si="16"/>
        <v>11.674365890472558</v>
      </c>
      <c r="I125" s="276">
        <f t="shared" si="17"/>
        <v>0</v>
      </c>
      <c r="J125" s="276">
        <f t="shared" si="18"/>
        <v>0</v>
      </c>
      <c r="K125" s="277">
        <f t="shared" si="19"/>
        <v>10.366596300612962</v>
      </c>
      <c r="L125" s="58">
        <f>K125*D125*'B) D RI'!S127</f>
        <v>5917434.5838251384</v>
      </c>
      <c r="M125" s="472">
        <f>(('B) D RI'!S127*C125)-(L125*$M$4))/'B) D RI'!S127</f>
        <v>780480.77736579673</v>
      </c>
      <c r="N125" s="266">
        <f t="shared" si="20"/>
        <v>75.885345392882527</v>
      </c>
      <c r="O125" s="63">
        <f t="shared" si="21"/>
        <v>1.6839728027620577</v>
      </c>
      <c r="R125" s="12"/>
    </row>
    <row r="126" spans="1:18" x14ac:dyDescent="0.25">
      <c r="A126" s="306">
        <f>'A) Base RI'!A128</f>
        <v>5607</v>
      </c>
      <c r="B126" s="33" t="str">
        <f>'A) Base RI'!B128</f>
        <v>Puidoux</v>
      </c>
      <c r="C126" s="304">
        <f>'B) D RI'!U128</f>
        <v>111751.15780124225</v>
      </c>
      <c r="D126" s="33">
        <f>'B) D RI'!AR128</f>
        <v>2880</v>
      </c>
      <c r="E126" s="210">
        <f t="shared" si="13"/>
        <v>38.802485347653558</v>
      </c>
      <c r="F126" s="63">
        <f t="shared" si="14"/>
        <v>0.83873959049996616</v>
      </c>
      <c r="G126" s="276">
        <f t="shared" si="15"/>
        <v>0</v>
      </c>
      <c r="H126" s="276">
        <f t="shared" si="16"/>
        <v>0</v>
      </c>
      <c r="I126" s="276">
        <f t="shared" si="17"/>
        <v>0</v>
      </c>
      <c r="J126" s="276">
        <f t="shared" si="18"/>
        <v>0</v>
      </c>
      <c r="K126" s="277">
        <f t="shared" si="19"/>
        <v>0</v>
      </c>
      <c r="L126" s="58">
        <f>K126*D126*'B) D RI'!S128</f>
        <v>0</v>
      </c>
      <c r="M126" s="472">
        <f>(('B) D RI'!S128*C126)-(L126*$M$4))/'B) D RI'!S128</f>
        <v>111751.15780124225</v>
      </c>
      <c r="N126" s="266">
        <f t="shared" si="20"/>
        <v>38.802485347653558</v>
      </c>
      <c r="O126" s="63">
        <f t="shared" si="21"/>
        <v>0.86106651642321519</v>
      </c>
      <c r="R126" s="12"/>
    </row>
    <row r="127" spans="1:18" x14ac:dyDescent="0.25">
      <c r="A127" s="306">
        <f>'A) Base RI'!A129</f>
        <v>5609</v>
      </c>
      <c r="B127" s="33" t="str">
        <f>'A) Base RI'!B129</f>
        <v>Rivaz</v>
      </c>
      <c r="C127" s="304">
        <f>'B) D RI'!U129</f>
        <v>13518.908661417323</v>
      </c>
      <c r="D127" s="33">
        <f>'B) D RI'!AR129</f>
        <v>358</v>
      </c>
      <c r="E127" s="210">
        <f t="shared" si="13"/>
        <v>37.762314696696436</v>
      </c>
      <c r="F127" s="63">
        <f t="shared" si="14"/>
        <v>0.81625566200885946</v>
      </c>
      <c r="G127" s="276">
        <f t="shared" si="15"/>
        <v>0</v>
      </c>
      <c r="H127" s="276">
        <f t="shared" si="16"/>
        <v>0</v>
      </c>
      <c r="I127" s="276">
        <f t="shared" si="17"/>
        <v>0</v>
      </c>
      <c r="J127" s="276">
        <f t="shared" si="18"/>
        <v>0</v>
      </c>
      <c r="K127" s="277">
        <f t="shared" si="19"/>
        <v>0</v>
      </c>
      <c r="L127" s="58">
        <f>K127*D127*'B) D RI'!S129</f>
        <v>0</v>
      </c>
      <c r="M127" s="472">
        <f>(('B) D RI'!S129*C127)-(L127*$M$4))/'B) D RI'!S129</f>
        <v>13518.908661417323</v>
      </c>
      <c r="N127" s="266">
        <f t="shared" si="20"/>
        <v>37.762314696696436</v>
      </c>
      <c r="O127" s="63">
        <f t="shared" si="21"/>
        <v>0.83798407438681921</v>
      </c>
      <c r="R127" s="12"/>
    </row>
    <row r="128" spans="1:18" x14ac:dyDescent="0.25">
      <c r="A128" s="306">
        <f>'A) Base RI'!A130</f>
        <v>5610</v>
      </c>
      <c r="B128" s="33" t="str">
        <f>'A) Base RI'!B130</f>
        <v>St-Saphorin (Lavaux)</v>
      </c>
      <c r="C128" s="304">
        <f>'B) D RI'!U130</f>
        <v>21494.070428571435</v>
      </c>
      <c r="D128" s="33">
        <f>'B) D RI'!AR130</f>
        <v>391</v>
      </c>
      <c r="E128" s="210">
        <f t="shared" si="13"/>
        <v>54.972047131896254</v>
      </c>
      <c r="F128" s="63">
        <f t="shared" si="14"/>
        <v>1.1882546153229763</v>
      </c>
      <c r="G128" s="276">
        <f t="shared" si="15"/>
        <v>0</v>
      </c>
      <c r="H128" s="276">
        <f t="shared" si="16"/>
        <v>0</v>
      </c>
      <c r="I128" s="276">
        <f t="shared" si="17"/>
        <v>0</v>
      </c>
      <c r="J128" s="276">
        <f t="shared" si="18"/>
        <v>0</v>
      </c>
      <c r="K128" s="277">
        <f t="shared" si="19"/>
        <v>0</v>
      </c>
      <c r="L128" s="58">
        <f>K128*D128*'B) D RI'!S130</f>
        <v>0</v>
      </c>
      <c r="M128" s="472">
        <f>(('B) D RI'!S130*C128)-(L128*$M$4))/'B) D RI'!S130</f>
        <v>21494.070428571435</v>
      </c>
      <c r="N128" s="266">
        <f t="shared" si="20"/>
        <v>54.972047131896254</v>
      </c>
      <c r="O128" s="63">
        <f t="shared" si="21"/>
        <v>1.2198854970349753</v>
      </c>
      <c r="R128" s="12"/>
    </row>
    <row r="129" spans="1:18" x14ac:dyDescent="0.25">
      <c r="A129" s="306">
        <f>'A) Base RI'!A131</f>
        <v>5611</v>
      </c>
      <c r="B129" s="33" t="str">
        <f>'A) Base RI'!B131</f>
        <v>Savigny</v>
      </c>
      <c r="C129" s="304">
        <f>'B) D RI'!U131</f>
        <v>137747.50487922705</v>
      </c>
      <c r="D129" s="33">
        <f>'B) D RI'!AR131</f>
        <v>3353</v>
      </c>
      <c r="E129" s="210">
        <f t="shared" si="13"/>
        <v>41.081868439972283</v>
      </c>
      <c r="F129" s="63">
        <f t="shared" si="14"/>
        <v>0.88800985822418455</v>
      </c>
      <c r="G129" s="276">
        <f t="shared" si="15"/>
        <v>0</v>
      </c>
      <c r="H129" s="276">
        <f t="shared" si="16"/>
        <v>0</v>
      </c>
      <c r="I129" s="276">
        <f t="shared" si="17"/>
        <v>0</v>
      </c>
      <c r="J129" s="276">
        <f t="shared" si="18"/>
        <v>0</v>
      </c>
      <c r="K129" s="277">
        <f t="shared" si="19"/>
        <v>0</v>
      </c>
      <c r="L129" s="58">
        <f>K129*D129*'B) D RI'!S131</f>
        <v>0</v>
      </c>
      <c r="M129" s="472">
        <f>(('B) D RI'!S131*C129)-(L129*$M$4))/'B) D RI'!S131</f>
        <v>137747.50487922705</v>
      </c>
      <c r="N129" s="266">
        <f t="shared" si="20"/>
        <v>41.081868439972283</v>
      </c>
      <c r="O129" s="63">
        <f t="shared" si="21"/>
        <v>0.9116483397603522</v>
      </c>
      <c r="R129" s="12"/>
    </row>
    <row r="130" spans="1:18" x14ac:dyDescent="0.25">
      <c r="A130" s="306">
        <f>'A) Base RI'!A132</f>
        <v>5613</v>
      </c>
      <c r="B130" s="33" t="str">
        <f>'A) Base RI'!B132</f>
        <v>Bourg-en-Lavaux</v>
      </c>
      <c r="C130" s="304">
        <f>'B) D RI'!U132</f>
        <v>293991.54098360648</v>
      </c>
      <c r="D130" s="33">
        <f>'B) D RI'!AR132</f>
        <v>5367</v>
      </c>
      <c r="E130" s="210">
        <f t="shared" si="13"/>
        <v>54.77763014414132</v>
      </c>
      <c r="F130" s="63">
        <f t="shared" si="14"/>
        <v>1.1840521725352318</v>
      </c>
      <c r="G130" s="276">
        <f t="shared" si="15"/>
        <v>0</v>
      </c>
      <c r="H130" s="276">
        <f t="shared" si="16"/>
        <v>0</v>
      </c>
      <c r="I130" s="276">
        <f t="shared" si="17"/>
        <v>0</v>
      </c>
      <c r="J130" s="276">
        <f t="shared" si="18"/>
        <v>0</v>
      </c>
      <c r="K130" s="277">
        <f t="shared" si="19"/>
        <v>0</v>
      </c>
      <c r="L130" s="58">
        <f>K130*D130*'B) D RI'!S132</f>
        <v>0</v>
      </c>
      <c r="M130" s="472">
        <f>(('B) D RI'!S132*C130)-(L130*$M$4))/'B) D RI'!S132</f>
        <v>293991.54098360648</v>
      </c>
      <c r="N130" s="266">
        <f t="shared" si="20"/>
        <v>54.77763014414132</v>
      </c>
      <c r="O130" s="63">
        <f t="shared" si="21"/>
        <v>1.2155711868334571</v>
      </c>
      <c r="R130" s="12"/>
    </row>
    <row r="131" spans="1:18" x14ac:dyDescent="0.25">
      <c r="A131" s="306">
        <f>'A) Base RI'!A133</f>
        <v>5621</v>
      </c>
      <c r="B131" s="33" t="str">
        <f>'A) Base RI'!B133</f>
        <v>Aclens</v>
      </c>
      <c r="C131" s="304">
        <f>'B) D RI'!U133</f>
        <v>39594.745087976538</v>
      </c>
      <c r="D131" s="33">
        <f>'B) D RI'!AR133</f>
        <v>535</v>
      </c>
      <c r="E131" s="210">
        <f t="shared" si="13"/>
        <v>74.008869323320639</v>
      </c>
      <c r="F131" s="63">
        <f t="shared" si="14"/>
        <v>1.5997472376691761</v>
      </c>
      <c r="G131" s="276">
        <f t="shared" si="15"/>
        <v>18.49344720114749</v>
      </c>
      <c r="H131" s="276">
        <f t="shared" si="16"/>
        <v>4.6145916706041987</v>
      </c>
      <c r="I131" s="276">
        <f t="shared" si="17"/>
        <v>0</v>
      </c>
      <c r="J131" s="276">
        <f t="shared" si="18"/>
        <v>0</v>
      </c>
      <c r="K131" s="277">
        <f t="shared" si="19"/>
        <v>7.1191001594735166</v>
      </c>
      <c r="L131" s="58">
        <f>K131*D131*'B) D RI'!S133</f>
        <v>236140.55228973654</v>
      </c>
      <c r="M131" s="472">
        <f>(('B) D RI'!S133*C131)-(L131*$M$4))/'B) D RI'!S133</f>
        <v>37690.385795317372</v>
      </c>
      <c r="N131" s="266">
        <f t="shared" si="20"/>
        <v>70.449319243583872</v>
      </c>
      <c r="O131" s="63">
        <f t="shared" si="21"/>
        <v>1.5633418674592201</v>
      </c>
      <c r="R131" s="12"/>
    </row>
    <row r="132" spans="1:18" x14ac:dyDescent="0.25">
      <c r="A132" s="306">
        <f>'A) Base RI'!A134</f>
        <v>5622</v>
      </c>
      <c r="B132" s="33" t="str">
        <f>'A) Base RI'!B134</f>
        <v>Bremblens</v>
      </c>
      <c r="C132" s="304">
        <f>'B) D RI'!U134</f>
        <v>25350.281363636361</v>
      </c>
      <c r="D132" s="33">
        <f>'B) D RI'!AR134</f>
        <v>548</v>
      </c>
      <c r="E132" s="210">
        <f t="shared" si="13"/>
        <v>46.259637524883871</v>
      </c>
      <c r="F132" s="63">
        <f t="shared" si="14"/>
        <v>0.99993052214744915</v>
      </c>
      <c r="G132" s="276">
        <f t="shared" si="15"/>
        <v>0</v>
      </c>
      <c r="H132" s="276">
        <f t="shared" si="16"/>
        <v>0</v>
      </c>
      <c r="I132" s="276">
        <f t="shared" si="17"/>
        <v>0</v>
      </c>
      <c r="J132" s="276">
        <f t="shared" si="18"/>
        <v>0</v>
      </c>
      <c r="K132" s="277">
        <f t="shared" si="19"/>
        <v>0</v>
      </c>
      <c r="L132" s="58">
        <f>K132*D132*'B) D RI'!S134</f>
        <v>0</v>
      </c>
      <c r="M132" s="472">
        <f>(('B) D RI'!S134*C132)-(L132*$M$4))/'B) D RI'!S134</f>
        <v>25350.281363636361</v>
      </c>
      <c r="N132" s="266">
        <f t="shared" si="20"/>
        <v>46.259637524883871</v>
      </c>
      <c r="O132" s="63">
        <f t="shared" si="21"/>
        <v>1.0265482887930821</v>
      </c>
      <c r="R132" s="12"/>
    </row>
    <row r="133" spans="1:18" x14ac:dyDescent="0.25">
      <c r="A133" s="306">
        <f>'A) Base RI'!A135</f>
        <v>5623</v>
      </c>
      <c r="B133" s="33" t="str">
        <f>'A) Base RI'!B135</f>
        <v>Buchillon</v>
      </c>
      <c r="C133" s="304">
        <f>'B) D RI'!U135</f>
        <v>118338.72603773585</v>
      </c>
      <c r="D133" s="33">
        <f>'B) D RI'!AR135</f>
        <v>650</v>
      </c>
      <c r="E133" s="210">
        <f t="shared" si="13"/>
        <v>182.0595785195936</v>
      </c>
      <c r="F133" s="63">
        <f t="shared" si="14"/>
        <v>3.9353297853472262</v>
      </c>
      <c r="G133" s="276">
        <f t="shared" si="15"/>
        <v>126.54415639742045</v>
      </c>
      <c r="H133" s="276">
        <f t="shared" si="16"/>
        <v>112.66530086687716</v>
      </c>
      <c r="I133" s="276">
        <f t="shared" si="17"/>
        <v>89.533874982638352</v>
      </c>
      <c r="J133" s="276">
        <f t="shared" si="18"/>
        <v>43.271023214160721</v>
      </c>
      <c r="K133" s="277">
        <f t="shared" si="19"/>
        <v>70.102916209438987</v>
      </c>
      <c r="L133" s="58">
        <f>K133*D133*'B) D RI'!S135</f>
        <v>2415045.4634151733</v>
      </c>
      <c r="M133" s="472">
        <f>(('B) D RI'!S135*C133)-(L133*$M$4))/'B) D RI'!S135</f>
        <v>95555.278269668168</v>
      </c>
      <c r="N133" s="266">
        <f t="shared" si="20"/>
        <v>147.0081204148741</v>
      </c>
      <c r="O133" s="63">
        <f t="shared" si="21"/>
        <v>3.2622593371899793</v>
      </c>
      <c r="R133" s="12"/>
    </row>
    <row r="134" spans="1:18" x14ac:dyDescent="0.25">
      <c r="A134" s="306">
        <f>'A) Base RI'!A136</f>
        <v>5624</v>
      </c>
      <c r="B134" s="33" t="str">
        <f>'A) Base RI'!B136</f>
        <v>Bussigny</v>
      </c>
      <c r="C134" s="304">
        <f>'B) D RI'!U136</f>
        <v>383784.23111111118</v>
      </c>
      <c r="D134" s="33">
        <f>'B) D RI'!AR136</f>
        <v>8759</v>
      </c>
      <c r="E134" s="210">
        <f t="shared" ref="E134:E197" si="22">C134/D134</f>
        <v>43.815987111669273</v>
      </c>
      <c r="F134" s="63">
        <f t="shared" ref="F134:F197" si="23">E134/$E$314</f>
        <v>0.94710951523149323</v>
      </c>
      <c r="G134" s="276">
        <f t="shared" ref="G134:G197" si="24">IF(E134-$G$2&lt;0,0,E134-$G$2)</f>
        <v>0</v>
      </c>
      <c r="H134" s="276">
        <f t="shared" ref="H134:H197" si="25">IF(E134-$H$2&lt;0,0,E134-$H$2)</f>
        <v>0</v>
      </c>
      <c r="I134" s="276">
        <f t="shared" ref="I134:I197" si="26">IF(E134-$I$2&lt;0,0,E134-$I$2)</f>
        <v>0</v>
      </c>
      <c r="J134" s="276">
        <f t="shared" ref="J134:J197" si="27">IF(E134-$J$2&lt;0,0,E134-$J$2)</f>
        <v>0</v>
      </c>
      <c r="K134" s="277">
        <f t="shared" ref="K134:K197" si="28">(G134-H134)*$G$3+(H134-I134)*$H$3+(I134-J134)*$I$3+(J134*$J$3)</f>
        <v>0</v>
      </c>
      <c r="L134" s="58">
        <f>K134*D134*'B) D RI'!S136</f>
        <v>0</v>
      </c>
      <c r="M134" s="472">
        <f>(('B) D RI'!S136*C134)-(L134*$M$4))/'B) D RI'!S136</f>
        <v>383784.23111111118</v>
      </c>
      <c r="N134" s="266">
        <f t="shared" ref="N134:N197" si="29">M134/D134</f>
        <v>43.815987111669273</v>
      </c>
      <c r="O134" s="63">
        <f t="shared" ref="O134:O197" si="30">N134/N$314</f>
        <v>0.97232120694998347</v>
      </c>
      <c r="R134" s="12"/>
    </row>
    <row r="135" spans="1:18" x14ac:dyDescent="0.25">
      <c r="A135" s="306">
        <f>'A) Base RI'!A137</f>
        <v>5625</v>
      </c>
      <c r="B135" s="33" t="str">
        <f>'A) Base RI'!B137</f>
        <v>Bussy-Chardonney</v>
      </c>
      <c r="C135" s="304">
        <f>'B) D RI'!U137</f>
        <v>13516.350747863249</v>
      </c>
      <c r="D135" s="33">
        <f>'B) D RI'!AR137</f>
        <v>376</v>
      </c>
      <c r="E135" s="210">
        <f t="shared" si="22"/>
        <v>35.947741350700127</v>
      </c>
      <c r="F135" s="63">
        <f t="shared" si="23"/>
        <v>0.7770325428834467</v>
      </c>
      <c r="G135" s="276">
        <f t="shared" si="24"/>
        <v>0</v>
      </c>
      <c r="H135" s="276">
        <f t="shared" si="25"/>
        <v>0</v>
      </c>
      <c r="I135" s="276">
        <f t="shared" si="26"/>
        <v>0</v>
      </c>
      <c r="J135" s="276">
        <f t="shared" si="27"/>
        <v>0</v>
      </c>
      <c r="K135" s="277">
        <f t="shared" si="28"/>
        <v>0</v>
      </c>
      <c r="L135" s="58">
        <f>K135*D135*'B) D RI'!S137</f>
        <v>0</v>
      </c>
      <c r="M135" s="472">
        <f>(('B) D RI'!S137*C135)-(L135*$M$4))/'B) D RI'!S137</f>
        <v>13516.350747863249</v>
      </c>
      <c r="N135" s="266">
        <f t="shared" si="29"/>
        <v>35.947741350700127</v>
      </c>
      <c r="O135" s="63">
        <f t="shared" si="30"/>
        <v>0.79771685088728261</v>
      </c>
      <c r="R135" s="12"/>
    </row>
    <row r="136" spans="1:18" x14ac:dyDescent="0.25">
      <c r="A136" s="306">
        <f>'A) Base RI'!A138</f>
        <v>5627</v>
      </c>
      <c r="B136" s="33" t="str">
        <f>'A) Base RI'!B138</f>
        <v>Chavannes-près-Renens</v>
      </c>
      <c r="C136" s="304">
        <f>'B) D RI'!U138</f>
        <v>182156.43953586498</v>
      </c>
      <c r="D136" s="33">
        <f>'B) D RI'!AR138</f>
        <v>7741</v>
      </c>
      <c r="E136" s="210">
        <f t="shared" si="22"/>
        <v>23.531383482219994</v>
      </c>
      <c r="F136" s="63">
        <f t="shared" si="23"/>
        <v>0.50864532951800656</v>
      </c>
      <c r="G136" s="276">
        <f t="shared" si="24"/>
        <v>0</v>
      </c>
      <c r="H136" s="276">
        <f t="shared" si="25"/>
        <v>0</v>
      </c>
      <c r="I136" s="276">
        <f t="shared" si="26"/>
        <v>0</v>
      </c>
      <c r="J136" s="276">
        <f t="shared" si="27"/>
        <v>0</v>
      </c>
      <c r="K136" s="277">
        <f t="shared" si="28"/>
        <v>0</v>
      </c>
      <c r="L136" s="58">
        <f>K136*D136*'B) D RI'!S138</f>
        <v>0</v>
      </c>
      <c r="M136" s="472">
        <f>(('B) D RI'!S138*C136)-(L136*$M$4))/'B) D RI'!S138</f>
        <v>182156.43953586498</v>
      </c>
      <c r="N136" s="266">
        <f t="shared" si="29"/>
        <v>23.531383482219994</v>
      </c>
      <c r="O136" s="63">
        <f t="shared" si="30"/>
        <v>0.52218527293069994</v>
      </c>
      <c r="R136" s="12"/>
    </row>
    <row r="137" spans="1:18" x14ac:dyDescent="0.25">
      <c r="A137" s="306">
        <f>'A) Base RI'!A139</f>
        <v>5628</v>
      </c>
      <c r="B137" s="33" t="str">
        <f>'A) Base RI'!B139</f>
        <v>Chigny</v>
      </c>
      <c r="C137" s="304">
        <f>'B) D RI'!U139</f>
        <v>27139.331451612899</v>
      </c>
      <c r="D137" s="33">
        <f>'B) D RI'!AR139</f>
        <v>358</v>
      </c>
      <c r="E137" s="210">
        <f t="shared" si="22"/>
        <v>75.80818841232653</v>
      </c>
      <c r="F137" s="63">
        <f t="shared" si="23"/>
        <v>1.6386406266459426</v>
      </c>
      <c r="G137" s="276">
        <f t="shared" si="24"/>
        <v>20.292766290153381</v>
      </c>
      <c r="H137" s="276">
        <f t="shared" si="25"/>
        <v>6.4139107596100899</v>
      </c>
      <c r="I137" s="276">
        <f t="shared" si="26"/>
        <v>0</v>
      </c>
      <c r="J137" s="276">
        <f t="shared" si="27"/>
        <v>0</v>
      </c>
      <c r="K137" s="277">
        <f t="shared" si="28"/>
        <v>7.9467869404162261</v>
      </c>
      <c r="L137" s="58">
        <f>K137*D137*'B) D RI'!S139</f>
        <v>176386.88292947854</v>
      </c>
      <c r="M137" s="472">
        <f>(('B) D RI'!S139*C137)-(L137*$M$4))/'B) D RI'!S139</f>
        <v>25716.856589278395</v>
      </c>
      <c r="N137" s="266">
        <f t="shared" si="29"/>
        <v>71.834794942118421</v>
      </c>
      <c r="O137" s="63">
        <f t="shared" si="30"/>
        <v>1.5940869788261216</v>
      </c>
      <c r="R137" s="12"/>
    </row>
    <row r="138" spans="1:18" x14ac:dyDescent="0.25">
      <c r="A138" s="306">
        <f>'A) Base RI'!A140</f>
        <v>5629</v>
      </c>
      <c r="B138" s="33" t="str">
        <f>'A) Base RI'!B140</f>
        <v>Clarmont</v>
      </c>
      <c r="C138" s="304">
        <f>'B) D RI'!U140</f>
        <v>6960.0919999999987</v>
      </c>
      <c r="D138" s="33">
        <f>'B) D RI'!AR140</f>
        <v>190</v>
      </c>
      <c r="E138" s="210">
        <f t="shared" si="22"/>
        <v>36.632063157894727</v>
      </c>
      <c r="F138" s="63">
        <f t="shared" si="23"/>
        <v>0.79182457971289433</v>
      </c>
      <c r="G138" s="276">
        <f t="shared" si="24"/>
        <v>0</v>
      </c>
      <c r="H138" s="276">
        <f t="shared" si="25"/>
        <v>0</v>
      </c>
      <c r="I138" s="276">
        <f t="shared" si="26"/>
        <v>0</v>
      </c>
      <c r="J138" s="276">
        <f t="shared" si="27"/>
        <v>0</v>
      </c>
      <c r="K138" s="277">
        <f t="shared" si="28"/>
        <v>0</v>
      </c>
      <c r="L138" s="58">
        <f>K138*D138*'B) D RI'!S140</f>
        <v>0</v>
      </c>
      <c r="M138" s="472">
        <f>(('B) D RI'!S140*C138)-(L138*$M$4))/'B) D RI'!S140</f>
        <v>6960.0919999999987</v>
      </c>
      <c r="N138" s="266">
        <f t="shared" si="29"/>
        <v>36.632063157894727</v>
      </c>
      <c r="O138" s="63">
        <f t="shared" si="30"/>
        <v>0.81290264605875417</v>
      </c>
      <c r="R138" s="12"/>
    </row>
    <row r="139" spans="1:18" x14ac:dyDescent="0.25">
      <c r="A139" s="306">
        <f>'A) Base RI'!A141</f>
        <v>5631</v>
      </c>
      <c r="B139" s="33" t="str">
        <f>'A) Base RI'!B141</f>
        <v>Denens</v>
      </c>
      <c r="C139" s="304">
        <f>'B) D RI'!U141</f>
        <v>43908.937857142853</v>
      </c>
      <c r="D139" s="33">
        <f>'B) D RI'!AR141</f>
        <v>747</v>
      </c>
      <c r="E139" s="210">
        <f t="shared" si="22"/>
        <v>58.780371964046658</v>
      </c>
      <c r="F139" s="63">
        <f t="shared" si="23"/>
        <v>1.2705738992964148</v>
      </c>
      <c r="G139" s="276">
        <f t="shared" si="24"/>
        <v>3.2649498418735092</v>
      </c>
      <c r="H139" s="276">
        <f t="shared" si="25"/>
        <v>0</v>
      </c>
      <c r="I139" s="276">
        <f t="shared" si="26"/>
        <v>0</v>
      </c>
      <c r="J139" s="276">
        <f t="shared" si="27"/>
        <v>0</v>
      </c>
      <c r="K139" s="277">
        <f t="shared" si="28"/>
        <v>1.1753819430744632</v>
      </c>
      <c r="L139" s="58">
        <f>K139*D139*'B) D RI'!S141</f>
        <v>61460.721803363682</v>
      </c>
      <c r="M139" s="472">
        <f>(('B) D RI'!S141*C139)-(L139*$M$4))/'B) D RI'!S141</f>
        <v>43469.932701404548</v>
      </c>
      <c r="N139" s="266">
        <f t="shared" si="29"/>
        <v>58.192680992509437</v>
      </c>
      <c r="O139" s="63">
        <f t="shared" si="30"/>
        <v>1.2913546298543384</v>
      </c>
      <c r="R139" s="12"/>
    </row>
    <row r="140" spans="1:18" x14ac:dyDescent="0.25">
      <c r="A140" s="306">
        <f>'A) Base RI'!A142</f>
        <v>5632</v>
      </c>
      <c r="B140" s="33" t="str">
        <f>'A) Base RI'!B142</f>
        <v>Denges</v>
      </c>
      <c r="C140" s="304">
        <f>'B) D RI'!U142</f>
        <v>69010.195161290321</v>
      </c>
      <c r="D140" s="33">
        <f>'B) D RI'!AR142</f>
        <v>1610</v>
      </c>
      <c r="E140" s="210">
        <f t="shared" si="22"/>
        <v>42.863475255459825</v>
      </c>
      <c r="F140" s="63">
        <f t="shared" si="23"/>
        <v>0.92652038551298188</v>
      </c>
      <c r="G140" s="276">
        <f t="shared" si="24"/>
        <v>0</v>
      </c>
      <c r="H140" s="276">
        <f t="shared" si="25"/>
        <v>0</v>
      </c>
      <c r="I140" s="276">
        <f t="shared" si="26"/>
        <v>0</v>
      </c>
      <c r="J140" s="276">
        <f t="shared" si="27"/>
        <v>0</v>
      </c>
      <c r="K140" s="277">
        <f t="shared" si="28"/>
        <v>0</v>
      </c>
      <c r="L140" s="58">
        <f>K140*D140*'B) D RI'!S142</f>
        <v>0</v>
      </c>
      <c r="M140" s="472">
        <f>(('B) D RI'!S142*C140)-(L140*$M$4))/'B) D RI'!S142</f>
        <v>69010.195161290321</v>
      </c>
      <c r="N140" s="266">
        <f t="shared" si="29"/>
        <v>42.863475255459825</v>
      </c>
      <c r="O140" s="63">
        <f t="shared" si="30"/>
        <v>0.95118400250213286</v>
      </c>
      <c r="R140" s="12"/>
    </row>
    <row r="141" spans="1:18" x14ac:dyDescent="0.25">
      <c r="A141" s="306">
        <f>'A) Base RI'!A143</f>
        <v>5633</v>
      </c>
      <c r="B141" s="33" t="str">
        <f>'A) Base RI'!B143</f>
        <v>Echandens</v>
      </c>
      <c r="C141" s="304">
        <f>'B) D RI'!U143</f>
        <v>138978.74822580643</v>
      </c>
      <c r="D141" s="33">
        <f>'B) D RI'!AR143</f>
        <v>2789</v>
      </c>
      <c r="E141" s="210">
        <f t="shared" si="22"/>
        <v>49.831031992042462</v>
      </c>
      <c r="F141" s="63">
        <f t="shared" si="23"/>
        <v>1.0771284105316679</v>
      </c>
      <c r="G141" s="276">
        <f t="shared" si="24"/>
        <v>0</v>
      </c>
      <c r="H141" s="276">
        <f t="shared" si="25"/>
        <v>0</v>
      </c>
      <c r="I141" s="276">
        <f t="shared" si="26"/>
        <v>0</v>
      </c>
      <c r="J141" s="276">
        <f t="shared" si="27"/>
        <v>0</v>
      </c>
      <c r="K141" s="277">
        <f t="shared" si="28"/>
        <v>0</v>
      </c>
      <c r="L141" s="58">
        <f>K141*D141*'B) D RI'!S143</f>
        <v>0</v>
      </c>
      <c r="M141" s="472">
        <f>(('B) D RI'!S143*C141)-(L141*$M$4))/'B) D RI'!S143</f>
        <v>138978.74822580643</v>
      </c>
      <c r="N141" s="266">
        <f t="shared" si="29"/>
        <v>49.831031992042462</v>
      </c>
      <c r="O141" s="63">
        <f t="shared" si="30"/>
        <v>1.1058011553313167</v>
      </c>
      <c r="R141" s="12"/>
    </row>
    <row r="142" spans="1:18" x14ac:dyDescent="0.25">
      <c r="A142" s="306">
        <f>'A) Base RI'!A144</f>
        <v>5634</v>
      </c>
      <c r="B142" s="33" t="str">
        <f>'A) Base RI'!B144</f>
        <v>Echichens</v>
      </c>
      <c r="C142" s="304">
        <f>'B) D RI'!U144</f>
        <v>173327.76338235298</v>
      </c>
      <c r="D142" s="33">
        <f>'B) D RI'!AR144</f>
        <v>3050</v>
      </c>
      <c r="E142" s="210">
        <f t="shared" si="22"/>
        <v>56.828774879459992</v>
      </c>
      <c r="F142" s="63">
        <f t="shared" si="23"/>
        <v>1.228388927769942</v>
      </c>
      <c r="G142" s="276">
        <f t="shared" si="24"/>
        <v>1.3133527572868431</v>
      </c>
      <c r="H142" s="276">
        <f t="shared" si="25"/>
        <v>0</v>
      </c>
      <c r="I142" s="276">
        <f t="shared" si="26"/>
        <v>0</v>
      </c>
      <c r="J142" s="276">
        <f t="shared" si="27"/>
        <v>0</v>
      </c>
      <c r="K142" s="277">
        <f t="shared" si="28"/>
        <v>0.47280699262326348</v>
      </c>
      <c r="L142" s="58">
        <f>K142*D142*'B) D RI'!S144</f>
        <v>98060.170270064846</v>
      </c>
      <c r="M142" s="472">
        <f>(('B) D RI'!S144*C142)-(L142*$M$4))/'B) D RI'!S144</f>
        <v>172606.73271860249</v>
      </c>
      <c r="N142" s="266">
        <f t="shared" si="29"/>
        <v>56.592371383148361</v>
      </c>
      <c r="O142" s="63">
        <f t="shared" si="30"/>
        <v>1.2558421360492356</v>
      </c>
      <c r="R142" s="12"/>
    </row>
    <row r="143" spans="1:18" x14ac:dyDescent="0.25">
      <c r="A143" s="306">
        <f>'A) Base RI'!A145</f>
        <v>5635</v>
      </c>
      <c r="B143" s="33" t="str">
        <f>'A) Base RI'!B145</f>
        <v>Ecublens</v>
      </c>
      <c r="C143" s="304">
        <f>'B) D RI'!U145</f>
        <v>437106.29065104178</v>
      </c>
      <c r="D143" s="33">
        <f>'B) D RI'!AR145</f>
        <v>12939</v>
      </c>
      <c r="E143" s="210">
        <f t="shared" si="22"/>
        <v>33.782076717755757</v>
      </c>
      <c r="F143" s="63">
        <f t="shared" si="23"/>
        <v>0.73022036961357484</v>
      </c>
      <c r="G143" s="276">
        <f t="shared" si="24"/>
        <v>0</v>
      </c>
      <c r="H143" s="276">
        <f t="shared" si="25"/>
        <v>0</v>
      </c>
      <c r="I143" s="276">
        <f t="shared" si="26"/>
        <v>0</v>
      </c>
      <c r="J143" s="276">
        <f t="shared" si="27"/>
        <v>0</v>
      </c>
      <c r="K143" s="277">
        <f t="shared" si="28"/>
        <v>0</v>
      </c>
      <c r="L143" s="58">
        <f>K143*D143*'B) D RI'!S145</f>
        <v>0</v>
      </c>
      <c r="M143" s="472">
        <f>(('B) D RI'!S145*C143)-(L143*$M$4))/'B) D RI'!S145</f>
        <v>437106.29065104178</v>
      </c>
      <c r="N143" s="266">
        <f t="shared" si="29"/>
        <v>33.782076717755757</v>
      </c>
      <c r="O143" s="63">
        <f t="shared" si="30"/>
        <v>0.74965855553525218</v>
      </c>
      <c r="R143" s="12"/>
    </row>
    <row r="144" spans="1:18" x14ac:dyDescent="0.25">
      <c r="A144" s="306">
        <f>'A) Base RI'!A146</f>
        <v>5636</v>
      </c>
      <c r="B144" s="33" t="str">
        <f>'A) Base RI'!B146</f>
        <v>Etoy</v>
      </c>
      <c r="C144" s="304">
        <f>'B) D RI'!U146</f>
        <v>187871.92573770491</v>
      </c>
      <c r="D144" s="33">
        <f>'B) D RI'!AR146</f>
        <v>2905</v>
      </c>
      <c r="E144" s="210">
        <f t="shared" si="22"/>
        <v>64.671919358934559</v>
      </c>
      <c r="F144" s="63">
        <f t="shared" si="23"/>
        <v>1.3979233204771959</v>
      </c>
      <c r="G144" s="276">
        <f t="shared" si="24"/>
        <v>9.1564972367614104</v>
      </c>
      <c r="H144" s="276">
        <f t="shared" si="25"/>
        <v>0</v>
      </c>
      <c r="I144" s="276">
        <f t="shared" si="26"/>
        <v>0</v>
      </c>
      <c r="J144" s="276">
        <f t="shared" si="27"/>
        <v>0</v>
      </c>
      <c r="K144" s="277">
        <f t="shared" si="28"/>
        <v>3.2963390052341075</v>
      </c>
      <c r="L144" s="58">
        <f>K144*D144*'B) D RI'!S146</f>
        <v>584127.75342251011</v>
      </c>
      <c r="M144" s="472">
        <f>(('B) D RI'!S146*C144)-(L144*$M$4))/'B) D RI'!S146</f>
        <v>183083.99333260235</v>
      </c>
      <c r="N144" s="266">
        <f t="shared" si="29"/>
        <v>63.023749856317501</v>
      </c>
      <c r="O144" s="63">
        <f t="shared" si="30"/>
        <v>1.3985609492405635</v>
      </c>
      <c r="R144" s="12"/>
    </row>
    <row r="145" spans="1:18" x14ac:dyDescent="0.25">
      <c r="A145" s="306">
        <f>'A) Base RI'!A147</f>
        <v>5637</v>
      </c>
      <c r="B145" s="33" t="str">
        <f>'A) Base RI'!B147</f>
        <v>Lavigny</v>
      </c>
      <c r="C145" s="304">
        <f>'B) D RI'!U147</f>
        <v>35857.018299776282</v>
      </c>
      <c r="D145" s="33">
        <f>'B) D RI'!AR147</f>
        <v>999</v>
      </c>
      <c r="E145" s="210">
        <f t="shared" si="22"/>
        <v>35.892911210987272</v>
      </c>
      <c r="F145" s="63">
        <f t="shared" si="23"/>
        <v>0.77584735568428198</v>
      </c>
      <c r="G145" s="276">
        <f t="shared" si="24"/>
        <v>0</v>
      </c>
      <c r="H145" s="276">
        <f t="shared" si="25"/>
        <v>0</v>
      </c>
      <c r="I145" s="276">
        <f t="shared" si="26"/>
        <v>0</v>
      </c>
      <c r="J145" s="276">
        <f t="shared" si="27"/>
        <v>0</v>
      </c>
      <c r="K145" s="277">
        <f t="shared" si="28"/>
        <v>0</v>
      </c>
      <c r="L145" s="58">
        <f>K145*D145*'B) D RI'!S147</f>
        <v>0</v>
      </c>
      <c r="M145" s="472">
        <f>(('B) D RI'!S147*C145)-(L145*$M$4))/'B) D RI'!S147</f>
        <v>35857.018299776282</v>
      </c>
      <c r="N145" s="266">
        <f t="shared" si="29"/>
        <v>35.892911210987272</v>
      </c>
      <c r="O145" s="63">
        <f t="shared" si="30"/>
        <v>0.79650011445984648</v>
      </c>
      <c r="R145" s="12"/>
    </row>
    <row r="146" spans="1:18" x14ac:dyDescent="0.25">
      <c r="A146" s="306">
        <f>'A) Base RI'!A148</f>
        <v>5638</v>
      </c>
      <c r="B146" s="33" t="str">
        <f>'A) Base RI'!B148</f>
        <v>Lonay</v>
      </c>
      <c r="C146" s="304">
        <f>'B) D RI'!U148</f>
        <v>168179.65436363633</v>
      </c>
      <c r="D146" s="33">
        <f>'B) D RI'!AR148</f>
        <v>2593</v>
      </c>
      <c r="E146" s="210">
        <f t="shared" si="22"/>
        <v>64.859103109771056</v>
      </c>
      <c r="F146" s="63">
        <f t="shared" si="23"/>
        <v>1.4019694123993554</v>
      </c>
      <c r="G146" s="276">
        <f t="shared" si="24"/>
        <v>9.3436809875979066</v>
      </c>
      <c r="H146" s="276">
        <f t="shared" si="25"/>
        <v>0</v>
      </c>
      <c r="I146" s="276">
        <f t="shared" si="26"/>
        <v>0</v>
      </c>
      <c r="J146" s="276">
        <f t="shared" si="27"/>
        <v>0</v>
      </c>
      <c r="K146" s="277">
        <f t="shared" si="28"/>
        <v>3.3637251555352461</v>
      </c>
      <c r="L146" s="58">
        <f>K146*D146*'B) D RI'!S148</f>
        <v>479717.66305665916</v>
      </c>
      <c r="M146" s="472">
        <f>(('B) D RI'!S148*C146)-(L146*$M$4))/'B) D RI'!S148</f>
        <v>163818.58469948487</v>
      </c>
      <c r="N146" s="266">
        <f t="shared" si="29"/>
        <v>63.177240532003424</v>
      </c>
      <c r="O146" s="63">
        <f t="shared" si="30"/>
        <v>1.4019670630560106</v>
      </c>
      <c r="R146" s="12"/>
    </row>
    <row r="147" spans="1:18" x14ac:dyDescent="0.25">
      <c r="A147" s="306">
        <f>'A) Base RI'!A149</f>
        <v>5639</v>
      </c>
      <c r="B147" s="33" t="str">
        <f>'A) Base RI'!B149</f>
        <v>Lully</v>
      </c>
      <c r="C147" s="304">
        <f>'B) D RI'!U149</f>
        <v>46761.274262295083</v>
      </c>
      <c r="D147" s="33">
        <f>'B) D RI'!AR149</f>
        <v>790</v>
      </c>
      <c r="E147" s="210">
        <f t="shared" si="22"/>
        <v>59.191486407968462</v>
      </c>
      <c r="F147" s="63">
        <f t="shared" si="23"/>
        <v>1.2794603909026658</v>
      </c>
      <c r="G147" s="276">
        <f t="shared" si="24"/>
        <v>3.676064285795313</v>
      </c>
      <c r="H147" s="276">
        <f t="shared" si="25"/>
        <v>0</v>
      </c>
      <c r="I147" s="276">
        <f t="shared" si="26"/>
        <v>0</v>
      </c>
      <c r="J147" s="276">
        <f t="shared" si="27"/>
        <v>0</v>
      </c>
      <c r="K147" s="277">
        <f t="shared" si="28"/>
        <v>1.3233831428863125</v>
      </c>
      <c r="L147" s="58">
        <f>K147*D147*'B) D RI'!S149</f>
        <v>63773.833655691407</v>
      </c>
      <c r="M147" s="472">
        <f>(('B) D RI'!S149*C147)-(L147*$M$4))/'B) D RI'!S149</f>
        <v>46238.537920854986</v>
      </c>
      <c r="N147" s="266">
        <f t="shared" si="29"/>
        <v>58.529794836525298</v>
      </c>
      <c r="O147" s="63">
        <f t="shared" si="30"/>
        <v>1.2988355280675332</v>
      </c>
      <c r="R147" s="12"/>
    </row>
    <row r="148" spans="1:18" x14ac:dyDescent="0.25">
      <c r="A148" s="306">
        <f>'A) Base RI'!A150</f>
        <v>5640</v>
      </c>
      <c r="B148" s="33" t="str">
        <f>'A) Base RI'!B150</f>
        <v>Lussy-sur-Morges</v>
      </c>
      <c r="C148" s="304">
        <f>'B) D RI'!U150</f>
        <v>53028.3909090909</v>
      </c>
      <c r="D148" s="33">
        <f>'B) D RI'!AR150</f>
        <v>687</v>
      </c>
      <c r="E148" s="210">
        <f t="shared" si="22"/>
        <v>77.188341934630131</v>
      </c>
      <c r="F148" s="63">
        <f t="shared" si="23"/>
        <v>1.6684734940448349</v>
      </c>
      <c r="G148" s="276">
        <f t="shared" si="24"/>
        <v>21.672919812456982</v>
      </c>
      <c r="H148" s="276">
        <f t="shared" si="25"/>
        <v>7.7940642819136912</v>
      </c>
      <c r="I148" s="276">
        <f t="shared" si="26"/>
        <v>0</v>
      </c>
      <c r="J148" s="276">
        <f t="shared" si="27"/>
        <v>0</v>
      </c>
      <c r="K148" s="277">
        <f t="shared" si="28"/>
        <v>8.5816575606758825</v>
      </c>
      <c r="L148" s="58">
        <f>K148*D148*'B) D RI'!S150</f>
        <v>389109.51711616584</v>
      </c>
      <c r="M148" s="472">
        <f>(('B) D RI'!S150*C148)-(L148*$M$4))/'B) D RI'!S150</f>
        <v>50080.591536998734</v>
      </c>
      <c r="N148" s="266">
        <f t="shared" si="29"/>
        <v>72.897513154292184</v>
      </c>
      <c r="O148" s="63">
        <f t="shared" si="30"/>
        <v>1.6176697741212509</v>
      </c>
      <c r="R148" s="12"/>
    </row>
    <row r="149" spans="1:18" x14ac:dyDescent="0.25">
      <c r="A149" s="306">
        <f>'A) Base RI'!A151</f>
        <v>5642</v>
      </c>
      <c r="B149" s="33" t="str">
        <f>'A) Base RI'!B151</f>
        <v>Morges</v>
      </c>
      <c r="C149" s="304">
        <f>'B) D RI'!U151</f>
        <v>759222.5945985401</v>
      </c>
      <c r="D149" s="33">
        <f>'B) D RI'!AR151</f>
        <v>15725</v>
      </c>
      <c r="E149" s="210">
        <f t="shared" si="22"/>
        <v>48.281246079398414</v>
      </c>
      <c r="F149" s="63">
        <f t="shared" si="23"/>
        <v>1.0436288346646212</v>
      </c>
      <c r="G149" s="276">
        <f t="shared" si="24"/>
        <v>0</v>
      </c>
      <c r="H149" s="276">
        <f t="shared" si="25"/>
        <v>0</v>
      </c>
      <c r="I149" s="276">
        <f t="shared" si="26"/>
        <v>0</v>
      </c>
      <c r="J149" s="276">
        <f t="shared" si="27"/>
        <v>0</v>
      </c>
      <c r="K149" s="277">
        <f t="shared" si="28"/>
        <v>0</v>
      </c>
      <c r="L149" s="58">
        <f>K149*D149*'B) D RI'!S151</f>
        <v>0</v>
      </c>
      <c r="M149" s="472">
        <f>(('B) D RI'!S151*C149)-(L149*$M$4))/'B) D RI'!S151</f>
        <v>759222.5945985401</v>
      </c>
      <c r="N149" s="266">
        <f t="shared" si="29"/>
        <v>48.281246079398414</v>
      </c>
      <c r="O149" s="63">
        <f t="shared" si="30"/>
        <v>1.0714098336145268</v>
      </c>
      <c r="R149" s="12"/>
    </row>
    <row r="150" spans="1:18" x14ac:dyDescent="0.25">
      <c r="A150" s="306">
        <f>'A) Base RI'!A152</f>
        <v>5643</v>
      </c>
      <c r="B150" s="33" t="str">
        <f>'A) Base RI'!B152</f>
        <v>Préverenges</v>
      </c>
      <c r="C150" s="304">
        <f>'B) D RI'!U152</f>
        <v>260053.614375</v>
      </c>
      <c r="D150" s="33">
        <f>'B) D RI'!AR152</f>
        <v>5298</v>
      </c>
      <c r="E150" s="210">
        <f t="shared" si="22"/>
        <v>49.085242426387317</v>
      </c>
      <c r="F150" s="63">
        <f t="shared" si="23"/>
        <v>1.061007710290631</v>
      </c>
      <c r="G150" s="276">
        <f t="shared" si="24"/>
        <v>0</v>
      </c>
      <c r="H150" s="276">
        <f t="shared" si="25"/>
        <v>0</v>
      </c>
      <c r="I150" s="276">
        <f t="shared" si="26"/>
        <v>0</v>
      </c>
      <c r="J150" s="276">
        <f t="shared" si="27"/>
        <v>0</v>
      </c>
      <c r="K150" s="277">
        <f t="shared" si="28"/>
        <v>0</v>
      </c>
      <c r="L150" s="58">
        <f>K150*D150*'B) D RI'!S152</f>
        <v>0</v>
      </c>
      <c r="M150" s="472">
        <f>(('B) D RI'!S152*C150)-(L150*$M$4))/'B) D RI'!S152</f>
        <v>260053.614375</v>
      </c>
      <c r="N150" s="266">
        <f t="shared" si="29"/>
        <v>49.085242426387317</v>
      </c>
      <c r="O150" s="63">
        <f t="shared" si="30"/>
        <v>1.0892513282382876</v>
      </c>
      <c r="R150" s="12"/>
    </row>
    <row r="151" spans="1:18" x14ac:dyDescent="0.25">
      <c r="A151" s="306">
        <f>'A) Base RI'!A153</f>
        <v>5644</v>
      </c>
      <c r="B151" s="33" t="str">
        <f>'A) Base RI'!B153</f>
        <v>Reverolle</v>
      </c>
      <c r="C151" s="304">
        <f>'B) D RI'!U153</f>
        <v>13341.614868421055</v>
      </c>
      <c r="D151" s="33">
        <f>'B) D RI'!AR153</f>
        <v>399</v>
      </c>
      <c r="E151" s="210">
        <f t="shared" si="22"/>
        <v>33.437631249175574</v>
      </c>
      <c r="F151" s="63">
        <f t="shared" si="23"/>
        <v>0.72277496892137461</v>
      </c>
      <c r="G151" s="276">
        <f t="shared" si="24"/>
        <v>0</v>
      </c>
      <c r="H151" s="276">
        <f t="shared" si="25"/>
        <v>0</v>
      </c>
      <c r="I151" s="276">
        <f t="shared" si="26"/>
        <v>0</v>
      </c>
      <c r="J151" s="276">
        <f t="shared" si="27"/>
        <v>0</v>
      </c>
      <c r="K151" s="277">
        <f t="shared" si="28"/>
        <v>0</v>
      </c>
      <c r="L151" s="58">
        <f>K151*D151*'B) D RI'!S153</f>
        <v>0</v>
      </c>
      <c r="M151" s="472">
        <f>(('B) D RI'!S153*C151)-(L151*$M$4))/'B) D RI'!S153</f>
        <v>13341.614868421055</v>
      </c>
      <c r="N151" s="266">
        <f t="shared" si="29"/>
        <v>33.437631249175574</v>
      </c>
      <c r="O151" s="63">
        <f t="shared" si="30"/>
        <v>0.74201496113477039</v>
      </c>
      <c r="R151" s="12"/>
    </row>
    <row r="152" spans="1:18" x14ac:dyDescent="0.25">
      <c r="A152" s="306">
        <f>'A) Base RI'!A154</f>
        <v>5645</v>
      </c>
      <c r="B152" s="33" t="str">
        <f>'A) Base RI'!B154</f>
        <v>Romanel-sur-Morges</v>
      </c>
      <c r="C152" s="304">
        <f>'B) D RI'!U154</f>
        <v>26613.952053571436</v>
      </c>
      <c r="D152" s="33">
        <f>'B) D RI'!AR154</f>
        <v>458</v>
      </c>
      <c r="E152" s="210">
        <f t="shared" si="22"/>
        <v>58.109065619151608</v>
      </c>
      <c r="F152" s="63">
        <f t="shared" si="23"/>
        <v>1.2560631996911549</v>
      </c>
      <c r="G152" s="276">
        <f t="shared" si="24"/>
        <v>2.5936434969784585</v>
      </c>
      <c r="H152" s="276">
        <f t="shared" si="25"/>
        <v>0</v>
      </c>
      <c r="I152" s="276">
        <f t="shared" si="26"/>
        <v>0</v>
      </c>
      <c r="J152" s="276">
        <f t="shared" si="27"/>
        <v>0</v>
      </c>
      <c r="K152" s="277">
        <f t="shared" si="28"/>
        <v>0.93371165891224506</v>
      </c>
      <c r="L152" s="58">
        <f>K152*D152*'B) D RI'!S154</f>
        <v>23947.83662778126</v>
      </c>
      <c r="M152" s="472">
        <f>(('B) D RI'!S154*C152)-(L152*$M$4))/'B) D RI'!S154</f>
        <v>26400.132083680532</v>
      </c>
      <c r="N152" s="266">
        <f t="shared" si="29"/>
        <v>57.642209789695485</v>
      </c>
      <c r="O152" s="63">
        <f t="shared" si="30"/>
        <v>1.2791391153904699</v>
      </c>
      <c r="R152" s="12"/>
    </row>
    <row r="153" spans="1:18" x14ac:dyDescent="0.25">
      <c r="A153" s="306">
        <f>'A) Base RI'!A155</f>
        <v>5646</v>
      </c>
      <c r="B153" s="33" t="str">
        <f>'A) Base RI'!B155</f>
        <v>Saint-Prex</v>
      </c>
      <c r="C153" s="304">
        <f>'B) D RI'!U155</f>
        <v>504902.63036363642</v>
      </c>
      <c r="D153" s="33">
        <f>'B) D RI'!AR155</f>
        <v>5684</v>
      </c>
      <c r="E153" s="210">
        <f t="shared" si="22"/>
        <v>88.828752702962078</v>
      </c>
      <c r="F153" s="63">
        <f t="shared" si="23"/>
        <v>1.9200881335094828</v>
      </c>
      <c r="G153" s="276">
        <f t="shared" si="24"/>
        <v>33.313330580788929</v>
      </c>
      <c r="H153" s="276">
        <f t="shared" si="25"/>
        <v>19.434475050245638</v>
      </c>
      <c r="I153" s="276">
        <f t="shared" si="26"/>
        <v>0</v>
      </c>
      <c r="J153" s="276">
        <f t="shared" si="27"/>
        <v>0</v>
      </c>
      <c r="K153" s="277">
        <f t="shared" si="28"/>
        <v>13.936246514108579</v>
      </c>
      <c r="L153" s="58">
        <f>K153*D153*'B) D RI'!S155</f>
        <v>4356749.3852406237</v>
      </c>
      <c r="M153" s="472">
        <f>(('B) D RI'!S155*C153)-(L153*$M$4))/'B) D RI'!S155</f>
        <v>465295.81777053984</v>
      </c>
      <c r="N153" s="266">
        <f t="shared" si="29"/>
        <v>81.86062944590779</v>
      </c>
      <c r="O153" s="63">
        <f t="shared" si="30"/>
        <v>1.8165704180457083</v>
      </c>
      <c r="R153" s="12"/>
    </row>
    <row r="154" spans="1:18" x14ac:dyDescent="0.25">
      <c r="A154" s="306">
        <f>'A) Base RI'!A156</f>
        <v>5648</v>
      </c>
      <c r="B154" s="33" t="str">
        <f>'A) Base RI'!B156</f>
        <v>Saint-Sulpice</v>
      </c>
      <c r="C154" s="304">
        <f>'B) D RI'!U156</f>
        <v>275285.22849999997</v>
      </c>
      <c r="D154" s="33">
        <f>'B) D RI'!AR156</f>
        <v>4669</v>
      </c>
      <c r="E154" s="210">
        <f t="shared" si="22"/>
        <v>58.960211715570779</v>
      </c>
      <c r="F154" s="63">
        <f t="shared" si="23"/>
        <v>1.2744612461557077</v>
      </c>
      <c r="G154" s="276">
        <f t="shared" si="24"/>
        <v>3.4447895933976298</v>
      </c>
      <c r="H154" s="276">
        <f t="shared" si="25"/>
        <v>0</v>
      </c>
      <c r="I154" s="276">
        <f t="shared" si="26"/>
        <v>0</v>
      </c>
      <c r="J154" s="276">
        <f t="shared" si="27"/>
        <v>0</v>
      </c>
      <c r="K154" s="277">
        <f t="shared" si="28"/>
        <v>1.2401242536231467</v>
      </c>
      <c r="L154" s="58">
        <f>K154*D154*'B) D RI'!S156</f>
        <v>318457.70770915592</v>
      </c>
      <c r="M154" s="472">
        <f>(('B) D RI'!S156*C154)-(L154*$M$4))/'B) D RI'!S156</f>
        <v>272390.15842991677</v>
      </c>
      <c r="N154" s="266">
        <f t="shared" si="29"/>
        <v>58.340149588759218</v>
      </c>
      <c r="O154" s="63">
        <f t="shared" si="30"/>
        <v>1.2946271076174747</v>
      </c>
      <c r="R154" s="12"/>
    </row>
    <row r="155" spans="1:18" x14ac:dyDescent="0.25">
      <c r="A155" s="306">
        <f>'A) Base RI'!A157</f>
        <v>5649</v>
      </c>
      <c r="B155" s="33" t="str">
        <f>'A) Base RI'!B157</f>
        <v>Tolochenaz</v>
      </c>
      <c r="C155" s="304">
        <f>'B) D RI'!U157</f>
        <v>134431.35138461535</v>
      </c>
      <c r="D155" s="33">
        <f>'B) D RI'!AR157</f>
        <v>1933</v>
      </c>
      <c r="E155" s="210">
        <f t="shared" si="22"/>
        <v>69.545448207250573</v>
      </c>
      <c r="F155" s="63">
        <f t="shared" si="23"/>
        <v>1.5032676445302307</v>
      </c>
      <c r="G155" s="276">
        <f t="shared" si="24"/>
        <v>14.030026085077424</v>
      </c>
      <c r="H155" s="276">
        <f t="shared" si="25"/>
        <v>0.15117055453413286</v>
      </c>
      <c r="I155" s="276">
        <f t="shared" si="26"/>
        <v>0</v>
      </c>
      <c r="J155" s="276">
        <f t="shared" si="27"/>
        <v>0</v>
      </c>
      <c r="K155" s="277">
        <f t="shared" si="28"/>
        <v>5.0659264460812858</v>
      </c>
      <c r="L155" s="58">
        <f>K155*D155*'B) D RI'!S157</f>
        <v>636508.32831788319</v>
      </c>
      <c r="M155" s="472">
        <f>(('B) D RI'!S157*C155)-(L155*$M$4))/'B) D RI'!S157</f>
        <v>129535.13347447779</v>
      </c>
      <c r="N155" s="266">
        <f t="shared" si="29"/>
        <v>67.01248498420992</v>
      </c>
      <c r="O155" s="63">
        <f t="shared" si="30"/>
        <v>1.4870750284480421</v>
      </c>
      <c r="R155" s="12"/>
    </row>
    <row r="156" spans="1:18" x14ac:dyDescent="0.25">
      <c r="A156" s="306">
        <f>'A) Base RI'!A158</f>
        <v>5650</v>
      </c>
      <c r="B156" s="33" t="str">
        <f>'A) Base RI'!B158</f>
        <v>Vaux-sur-Morges</v>
      </c>
      <c r="C156" s="304">
        <f>'B) D RI'!U158</f>
        <v>185075.58696428573</v>
      </c>
      <c r="D156" s="33">
        <f>'B) D RI'!AR158</f>
        <v>184</v>
      </c>
      <c r="E156" s="210">
        <f t="shared" si="22"/>
        <v>1005.8455813276398</v>
      </c>
      <c r="F156" s="63">
        <f t="shared" si="23"/>
        <v>21.741970995679051</v>
      </c>
      <c r="G156" s="276">
        <f t="shared" si="24"/>
        <v>950.33015920546666</v>
      </c>
      <c r="H156" s="276">
        <f t="shared" si="25"/>
        <v>936.45130367492334</v>
      </c>
      <c r="I156" s="276">
        <f t="shared" si="26"/>
        <v>913.31987779068459</v>
      </c>
      <c r="J156" s="276">
        <f t="shared" si="27"/>
        <v>867.05702602220697</v>
      </c>
      <c r="K156" s="277">
        <f t="shared" si="28"/>
        <v>613.8016780627496</v>
      </c>
      <c r="L156" s="58">
        <f>K156*D156*'B) D RI'!S158</f>
        <v>6324612.4907585718</v>
      </c>
      <c r="M156" s="472">
        <f>(('B) D RI'!S158*C156)-(L156*$M$4))/'B) D RI'!S158</f>
        <v>128605.83258251277</v>
      </c>
      <c r="N156" s="266">
        <f t="shared" si="29"/>
        <v>698.94474229626508</v>
      </c>
      <c r="O156" s="63">
        <f t="shared" si="30"/>
        <v>15.510292936886859</v>
      </c>
      <c r="R156" s="12"/>
    </row>
    <row r="157" spans="1:18" x14ac:dyDescent="0.25">
      <c r="A157" s="306">
        <f>'A) Base RI'!A159</f>
        <v>5651</v>
      </c>
      <c r="B157" s="33" t="str">
        <f>'A) Base RI'!B159</f>
        <v>Villars-Sainte-Croix</v>
      </c>
      <c r="C157" s="304">
        <f>'B) D RI'!U159</f>
        <v>58092.123220338974</v>
      </c>
      <c r="D157" s="33">
        <f>'B) D RI'!AR159</f>
        <v>963</v>
      </c>
      <c r="E157" s="210">
        <f t="shared" si="22"/>
        <v>60.324115493602257</v>
      </c>
      <c r="F157" s="63">
        <f t="shared" si="23"/>
        <v>1.3039428653359764</v>
      </c>
      <c r="G157" s="276">
        <f t="shared" si="24"/>
        <v>4.8086933714291078</v>
      </c>
      <c r="H157" s="276">
        <f t="shared" si="25"/>
        <v>0</v>
      </c>
      <c r="I157" s="276">
        <f t="shared" si="26"/>
        <v>0</v>
      </c>
      <c r="J157" s="276">
        <f t="shared" si="27"/>
        <v>0</v>
      </c>
      <c r="K157" s="277">
        <f t="shared" si="28"/>
        <v>1.7311296137144787</v>
      </c>
      <c r="L157" s="58">
        <f>K157*D157*'B) D RI'!S159</f>
        <v>98357.591262415546</v>
      </c>
      <c r="M157" s="472">
        <f>(('B) D RI'!S159*C157)-(L157*$M$4))/'B) D RI'!S159</f>
        <v>57258.584311335449</v>
      </c>
      <c r="N157" s="266">
        <f t="shared" si="29"/>
        <v>59.458550686745014</v>
      </c>
      <c r="O157" s="63">
        <f t="shared" si="30"/>
        <v>1.3194455626411234</v>
      </c>
      <c r="R157" s="12"/>
    </row>
    <row r="158" spans="1:18" x14ac:dyDescent="0.25">
      <c r="A158" s="306">
        <f>'A) Base RI'!A160</f>
        <v>5652</v>
      </c>
      <c r="B158" s="33" t="str">
        <f>'A) Base RI'!B160</f>
        <v>Villars-sous-Yens</v>
      </c>
      <c r="C158" s="304">
        <f>'B) D RI'!U160</f>
        <v>29800.949188596489</v>
      </c>
      <c r="D158" s="33">
        <f>'B) D RI'!AR160</f>
        <v>608</v>
      </c>
      <c r="E158" s="210">
        <f t="shared" si="22"/>
        <v>49.014719060191595</v>
      </c>
      <c r="F158" s="63">
        <f t="shared" si="23"/>
        <v>1.0594833043472047</v>
      </c>
      <c r="G158" s="276">
        <f t="shared" si="24"/>
        <v>0</v>
      </c>
      <c r="H158" s="276">
        <f t="shared" si="25"/>
        <v>0</v>
      </c>
      <c r="I158" s="276">
        <f t="shared" si="26"/>
        <v>0</v>
      </c>
      <c r="J158" s="276">
        <f t="shared" si="27"/>
        <v>0</v>
      </c>
      <c r="K158" s="277">
        <f t="shared" si="28"/>
        <v>0</v>
      </c>
      <c r="L158" s="58">
        <f>K158*D158*'B) D RI'!S160</f>
        <v>0</v>
      </c>
      <c r="M158" s="472">
        <f>(('B) D RI'!S160*C158)-(L158*$M$4))/'B) D RI'!S160</f>
        <v>29800.949188596489</v>
      </c>
      <c r="N158" s="266">
        <f t="shared" si="29"/>
        <v>49.014719060191595</v>
      </c>
      <c r="O158" s="63">
        <f t="shared" si="30"/>
        <v>1.0876863431938371</v>
      </c>
      <c r="R158" s="12"/>
    </row>
    <row r="159" spans="1:18" x14ac:dyDescent="0.25">
      <c r="A159" s="306">
        <f>'A) Base RI'!A161</f>
        <v>5653</v>
      </c>
      <c r="B159" s="33" t="str">
        <f>'A) Base RI'!B161</f>
        <v>Vufflens-le-Château</v>
      </c>
      <c r="C159" s="304">
        <f>'B) D RI'!U161</f>
        <v>61961.229272727272</v>
      </c>
      <c r="D159" s="33">
        <f>'B) D RI'!AR161</f>
        <v>886</v>
      </c>
      <c r="E159" s="210">
        <f t="shared" si="22"/>
        <v>69.933667350707978</v>
      </c>
      <c r="F159" s="63">
        <f t="shared" si="23"/>
        <v>1.511659240132686</v>
      </c>
      <c r="G159" s="276">
        <f t="shared" si="24"/>
        <v>14.418245228534829</v>
      </c>
      <c r="H159" s="276">
        <f t="shared" si="25"/>
        <v>0.53938969799153824</v>
      </c>
      <c r="I159" s="276">
        <f t="shared" si="26"/>
        <v>0</v>
      </c>
      <c r="J159" s="276">
        <f t="shared" si="27"/>
        <v>0</v>
      </c>
      <c r="K159" s="277">
        <f t="shared" si="28"/>
        <v>5.244507252071692</v>
      </c>
      <c r="L159" s="58">
        <f>K159*D159*'B) D RI'!S161</f>
        <v>255564.83839345354</v>
      </c>
      <c r="M159" s="472">
        <f>(('B) D RI'!S161*C159)-(L159*$M$4))/'B) D RI'!S161</f>
        <v>59637.912560059514</v>
      </c>
      <c r="N159" s="266">
        <f t="shared" si="29"/>
        <v>67.311413724672136</v>
      </c>
      <c r="O159" s="63">
        <f t="shared" si="30"/>
        <v>1.4937085604731795</v>
      </c>
      <c r="R159" s="12"/>
    </row>
    <row r="160" spans="1:18" x14ac:dyDescent="0.25">
      <c r="A160" s="306">
        <f>'A) Base RI'!A162</f>
        <v>5654</v>
      </c>
      <c r="B160" s="33" t="str">
        <f>'A) Base RI'!B162</f>
        <v>Vullierens</v>
      </c>
      <c r="C160" s="304">
        <f>'B) D RI'!U162</f>
        <v>19280.901315789473</v>
      </c>
      <c r="D160" s="33">
        <f>'B) D RI'!AR162</f>
        <v>507</v>
      </c>
      <c r="E160" s="210">
        <f t="shared" si="22"/>
        <v>38.029391155403303</v>
      </c>
      <c r="F160" s="63">
        <f t="shared" si="23"/>
        <v>0.82202868395838058</v>
      </c>
      <c r="G160" s="276">
        <f t="shared" si="24"/>
        <v>0</v>
      </c>
      <c r="H160" s="276">
        <f t="shared" si="25"/>
        <v>0</v>
      </c>
      <c r="I160" s="276">
        <f t="shared" si="26"/>
        <v>0</v>
      </c>
      <c r="J160" s="276">
        <f t="shared" si="27"/>
        <v>0</v>
      </c>
      <c r="K160" s="277">
        <f t="shared" si="28"/>
        <v>0</v>
      </c>
      <c r="L160" s="58">
        <f>K160*D160*'B) D RI'!S162</f>
        <v>0</v>
      </c>
      <c r="M160" s="472">
        <f>(('B) D RI'!S162*C160)-(L160*$M$4))/'B) D RI'!S162</f>
        <v>19280.901315789473</v>
      </c>
      <c r="N160" s="266">
        <f t="shared" si="29"/>
        <v>38.029391155403303</v>
      </c>
      <c r="O160" s="63">
        <f t="shared" si="30"/>
        <v>0.8439107719644855</v>
      </c>
      <c r="R160" s="12"/>
    </row>
    <row r="161" spans="1:18" x14ac:dyDescent="0.25">
      <c r="A161" s="306">
        <f>'A) Base RI'!A163</f>
        <v>5655</v>
      </c>
      <c r="B161" s="33" t="str">
        <f>'A) Base RI'!B163</f>
        <v>Yens</v>
      </c>
      <c r="C161" s="304">
        <f>'B) D RI'!U163</f>
        <v>87292.806849315064</v>
      </c>
      <c r="D161" s="33">
        <f>'B) D RI'!AR163</f>
        <v>1429</v>
      </c>
      <c r="E161" s="210">
        <f t="shared" si="22"/>
        <v>61.086638802879683</v>
      </c>
      <c r="F161" s="63">
        <f t="shared" si="23"/>
        <v>1.3204252757393271</v>
      </c>
      <c r="G161" s="276">
        <f t="shared" si="24"/>
        <v>5.5712166807065344</v>
      </c>
      <c r="H161" s="276">
        <f t="shared" si="25"/>
        <v>0</v>
      </c>
      <c r="I161" s="276">
        <f t="shared" si="26"/>
        <v>0</v>
      </c>
      <c r="J161" s="276">
        <f t="shared" si="27"/>
        <v>0</v>
      </c>
      <c r="K161" s="277">
        <f t="shared" si="28"/>
        <v>2.0056380050543523</v>
      </c>
      <c r="L161" s="58">
        <f>K161*D161*'B) D RI'!S163</f>
        <v>209222.13977325486</v>
      </c>
      <c r="M161" s="472">
        <f>(('B) D RI'!S163*C161)-(L161*$M$4))/'B) D RI'!S163</f>
        <v>85859.778494703729</v>
      </c>
      <c r="N161" s="266">
        <f t="shared" si="29"/>
        <v>60.083819800352508</v>
      </c>
      <c r="O161" s="63">
        <f t="shared" si="30"/>
        <v>1.333320918630752</v>
      </c>
      <c r="R161" s="12"/>
    </row>
    <row r="162" spans="1:18" x14ac:dyDescent="0.25">
      <c r="A162" s="306">
        <f>'A) Base RI'!A164</f>
        <v>5661</v>
      </c>
      <c r="B162" s="33" t="str">
        <f>'A) Base RI'!B164</f>
        <v>Boulens</v>
      </c>
      <c r="C162" s="304">
        <f>'B) D RI'!U164</f>
        <v>10339.57164556962</v>
      </c>
      <c r="D162" s="33">
        <f>'B) D RI'!AR164</f>
        <v>384</v>
      </c>
      <c r="E162" s="210">
        <f t="shared" si="22"/>
        <v>26.925967827004218</v>
      </c>
      <c r="F162" s="63">
        <f t="shared" si="23"/>
        <v>0.58202135834070901</v>
      </c>
      <c r="G162" s="276">
        <f t="shared" si="24"/>
        <v>0</v>
      </c>
      <c r="H162" s="276">
        <f t="shared" si="25"/>
        <v>0</v>
      </c>
      <c r="I162" s="276">
        <f t="shared" si="26"/>
        <v>0</v>
      </c>
      <c r="J162" s="276">
        <f t="shared" si="27"/>
        <v>0</v>
      </c>
      <c r="K162" s="277">
        <f t="shared" si="28"/>
        <v>0</v>
      </c>
      <c r="L162" s="58">
        <f>K162*D162*'B) D RI'!S164</f>
        <v>0</v>
      </c>
      <c r="M162" s="472">
        <f>(('B) D RI'!S164*C162)-(L162*$M$4))/'B) D RI'!S164</f>
        <v>10339.57164556962</v>
      </c>
      <c r="N162" s="266">
        <f t="shared" si="29"/>
        <v>26.925967827004218</v>
      </c>
      <c r="O162" s="63">
        <f t="shared" si="30"/>
        <v>0.59751454347302846</v>
      </c>
      <c r="R162" s="12"/>
    </row>
    <row r="163" spans="1:18" x14ac:dyDescent="0.25">
      <c r="A163" s="306">
        <f>'A) Base RI'!A165</f>
        <v>5663</v>
      </c>
      <c r="B163" s="33" t="str">
        <f>'A) Base RI'!B165</f>
        <v>Bussy-sur-Moudon</v>
      </c>
      <c r="C163" s="304">
        <f>'B) D RI'!U165</f>
        <v>5294.5642500000013</v>
      </c>
      <c r="D163" s="33">
        <f>'B) D RI'!AR165</f>
        <v>214</v>
      </c>
      <c r="E163" s="210">
        <f t="shared" si="22"/>
        <v>24.740954439252342</v>
      </c>
      <c r="F163" s="63">
        <f t="shared" si="23"/>
        <v>0.53479094983310616</v>
      </c>
      <c r="G163" s="276">
        <f t="shared" si="24"/>
        <v>0</v>
      </c>
      <c r="H163" s="276">
        <f t="shared" si="25"/>
        <v>0</v>
      </c>
      <c r="I163" s="276">
        <f t="shared" si="26"/>
        <v>0</v>
      </c>
      <c r="J163" s="276">
        <f t="shared" si="27"/>
        <v>0</v>
      </c>
      <c r="K163" s="277">
        <f t="shared" si="28"/>
        <v>0</v>
      </c>
      <c r="L163" s="58">
        <f>K163*D163*'B) D RI'!S165</f>
        <v>0</v>
      </c>
      <c r="M163" s="472">
        <f>(('B) D RI'!S165*C163)-(L163*$M$4))/'B) D RI'!S165</f>
        <v>5294.5642500000013</v>
      </c>
      <c r="N163" s="266">
        <f t="shared" si="29"/>
        <v>24.740954439252342</v>
      </c>
      <c r="O163" s="63">
        <f t="shared" si="30"/>
        <v>0.54902687962179086</v>
      </c>
      <c r="R163" s="12"/>
    </row>
    <row r="164" spans="1:18" x14ac:dyDescent="0.25">
      <c r="A164" s="306">
        <f>'A) Base RI'!A166</f>
        <v>5665</v>
      </c>
      <c r="B164" s="33" t="str">
        <f>'A) Base RI'!B166</f>
        <v>Chavannes-sur-Moudon</v>
      </c>
      <c r="C164" s="304">
        <f>'B) D RI'!U166</f>
        <v>4618.4299999999994</v>
      </c>
      <c r="D164" s="33">
        <f>'B) D RI'!AR166</f>
        <v>216</v>
      </c>
      <c r="E164" s="210">
        <f t="shared" si="22"/>
        <v>21.381620370370367</v>
      </c>
      <c r="F164" s="63">
        <f t="shared" si="23"/>
        <v>0.4621768774085665</v>
      </c>
      <c r="G164" s="276">
        <f t="shared" si="24"/>
        <v>0</v>
      </c>
      <c r="H164" s="276">
        <f t="shared" si="25"/>
        <v>0</v>
      </c>
      <c r="I164" s="276">
        <f t="shared" si="26"/>
        <v>0</v>
      </c>
      <c r="J164" s="276">
        <f t="shared" si="27"/>
        <v>0</v>
      </c>
      <c r="K164" s="277">
        <f t="shared" si="28"/>
        <v>0</v>
      </c>
      <c r="L164" s="58">
        <f>K164*D164*'B) D RI'!S166</f>
        <v>0</v>
      </c>
      <c r="M164" s="472">
        <f>(('B) D RI'!S166*C164)-(L164*$M$4))/'B) D RI'!S166</f>
        <v>4618.4299999999994</v>
      </c>
      <c r="N164" s="266">
        <f t="shared" si="29"/>
        <v>21.381620370370367</v>
      </c>
      <c r="O164" s="63">
        <f t="shared" si="30"/>
        <v>0.47447984846444397</v>
      </c>
      <c r="R164" s="12"/>
    </row>
    <row r="165" spans="1:18" x14ac:dyDescent="0.25">
      <c r="A165" s="306">
        <f>'A) Base RI'!A167</f>
        <v>5669</v>
      </c>
      <c r="B165" s="33" t="str">
        <f>'A) Base RI'!B167</f>
        <v>Curtilles</v>
      </c>
      <c r="C165" s="304">
        <f>'B) D RI'!U167</f>
        <v>7795.8649333333315</v>
      </c>
      <c r="D165" s="33">
        <f>'B) D RI'!AR167</f>
        <v>313</v>
      </c>
      <c r="E165" s="210">
        <f t="shared" si="22"/>
        <v>24.906916719914797</v>
      </c>
      <c r="F165" s="63">
        <f t="shared" si="23"/>
        <v>0.53837832662286855</v>
      </c>
      <c r="G165" s="276">
        <f t="shared" si="24"/>
        <v>0</v>
      </c>
      <c r="H165" s="276">
        <f t="shared" si="25"/>
        <v>0</v>
      </c>
      <c r="I165" s="276">
        <f t="shared" si="26"/>
        <v>0</v>
      </c>
      <c r="J165" s="276">
        <f t="shared" si="27"/>
        <v>0</v>
      </c>
      <c r="K165" s="277">
        <f t="shared" si="28"/>
        <v>0</v>
      </c>
      <c r="L165" s="58">
        <f>K165*D165*'B) D RI'!S167</f>
        <v>0</v>
      </c>
      <c r="M165" s="472">
        <f>(('B) D RI'!S167*C165)-(L165*$M$4))/'B) D RI'!S167</f>
        <v>7795.8649333333315</v>
      </c>
      <c r="N165" s="266">
        <f t="shared" si="29"/>
        <v>24.906916719914797</v>
      </c>
      <c r="O165" s="63">
        <f t="shared" si="30"/>
        <v>0.55270975100457242</v>
      </c>
      <c r="R165" s="12"/>
    </row>
    <row r="166" spans="1:18" x14ac:dyDescent="0.25">
      <c r="A166" s="306">
        <f>'A) Base RI'!A168</f>
        <v>5671</v>
      </c>
      <c r="B166" s="33" t="str">
        <f>'A) Base RI'!B168</f>
        <v>Dompierre</v>
      </c>
      <c r="C166" s="304">
        <f>'B) D RI'!U168</f>
        <v>6158.8938749999998</v>
      </c>
      <c r="D166" s="33">
        <f>'B) D RI'!AR168</f>
        <v>239</v>
      </c>
      <c r="E166" s="210">
        <f t="shared" si="22"/>
        <v>25.769430439330542</v>
      </c>
      <c r="F166" s="63">
        <f t="shared" si="23"/>
        <v>0.55702209125139146</v>
      </c>
      <c r="G166" s="276">
        <f t="shared" si="24"/>
        <v>0</v>
      </c>
      <c r="H166" s="276">
        <f t="shared" si="25"/>
        <v>0</v>
      </c>
      <c r="I166" s="276">
        <f t="shared" si="26"/>
        <v>0</v>
      </c>
      <c r="J166" s="276">
        <f t="shared" si="27"/>
        <v>0</v>
      </c>
      <c r="K166" s="277">
        <f t="shared" si="28"/>
        <v>0</v>
      </c>
      <c r="L166" s="58">
        <f>K166*D166*'B) D RI'!S168</f>
        <v>0</v>
      </c>
      <c r="M166" s="472">
        <f>(('B) D RI'!S168*C166)-(L166*$M$4))/'B) D RI'!S168</f>
        <v>6158.8938749999998</v>
      </c>
      <c r="N166" s="266">
        <f t="shared" si="29"/>
        <v>25.769430439330542</v>
      </c>
      <c r="O166" s="63">
        <f t="shared" si="30"/>
        <v>0.57184980549052711</v>
      </c>
      <c r="R166" s="12"/>
    </row>
    <row r="167" spans="1:18" x14ac:dyDescent="0.25">
      <c r="A167" s="306">
        <f>'A) Base RI'!A169</f>
        <v>5673</v>
      </c>
      <c r="B167" s="33" t="str">
        <f>'A) Base RI'!B169</f>
        <v>Hermenches</v>
      </c>
      <c r="C167" s="304">
        <f>'B) D RI'!U169</f>
        <v>9293.9345333333331</v>
      </c>
      <c r="D167" s="33">
        <f>'B) D RI'!AR169</f>
        <v>364</v>
      </c>
      <c r="E167" s="210">
        <f t="shared" si="22"/>
        <v>25.53278717948718</v>
      </c>
      <c r="F167" s="63">
        <f t="shared" si="23"/>
        <v>0.55190690161657086</v>
      </c>
      <c r="G167" s="276">
        <f t="shared" si="24"/>
        <v>0</v>
      </c>
      <c r="H167" s="276">
        <f t="shared" si="25"/>
        <v>0</v>
      </c>
      <c r="I167" s="276">
        <f t="shared" si="26"/>
        <v>0</v>
      </c>
      <c r="J167" s="276">
        <f t="shared" si="27"/>
        <v>0</v>
      </c>
      <c r="K167" s="277">
        <f t="shared" si="28"/>
        <v>0</v>
      </c>
      <c r="L167" s="58">
        <f>K167*D167*'B) D RI'!S169</f>
        <v>0</v>
      </c>
      <c r="M167" s="472">
        <f>(('B) D RI'!S169*C167)-(L167*$M$4))/'B) D RI'!S169</f>
        <v>9293.9345333333331</v>
      </c>
      <c r="N167" s="266">
        <f t="shared" si="29"/>
        <v>25.53278717948718</v>
      </c>
      <c r="O167" s="63">
        <f t="shared" si="30"/>
        <v>0.56659845147124954</v>
      </c>
      <c r="R167" s="12"/>
    </row>
    <row r="168" spans="1:18" x14ac:dyDescent="0.25">
      <c r="A168" s="306">
        <f>'A) Base RI'!A170</f>
        <v>5674</v>
      </c>
      <c r="B168" s="33" t="str">
        <f>'A) Base RI'!B170</f>
        <v>Lovatens</v>
      </c>
      <c r="C168" s="304">
        <f>'B) D RI'!U170</f>
        <v>3277.031161904762</v>
      </c>
      <c r="D168" s="33">
        <f>'B) D RI'!AR170</f>
        <v>146</v>
      </c>
      <c r="E168" s="210">
        <f t="shared" si="22"/>
        <v>22.445418917155905</v>
      </c>
      <c r="F168" s="63">
        <f t="shared" si="23"/>
        <v>0.48517153740292474</v>
      </c>
      <c r="G168" s="276">
        <f t="shared" si="24"/>
        <v>0</v>
      </c>
      <c r="H168" s="276">
        <f t="shared" si="25"/>
        <v>0</v>
      </c>
      <c r="I168" s="276">
        <f t="shared" si="26"/>
        <v>0</v>
      </c>
      <c r="J168" s="276">
        <f t="shared" si="27"/>
        <v>0</v>
      </c>
      <c r="K168" s="277">
        <f t="shared" si="28"/>
        <v>0</v>
      </c>
      <c r="L168" s="58">
        <f>K168*D168*'B) D RI'!S170</f>
        <v>0</v>
      </c>
      <c r="M168" s="472">
        <f>(('B) D RI'!S170*C168)-(L168*$M$4))/'B) D RI'!S170</f>
        <v>3277.031161904762</v>
      </c>
      <c r="N168" s="266">
        <f t="shared" si="29"/>
        <v>22.445418917155905</v>
      </c>
      <c r="O168" s="63">
        <f t="shared" si="30"/>
        <v>0.49808661748064809</v>
      </c>
      <c r="R168" s="12"/>
    </row>
    <row r="169" spans="1:18" x14ac:dyDescent="0.25">
      <c r="A169" s="306">
        <f>'A) Base RI'!A171</f>
        <v>5675</v>
      </c>
      <c r="B169" s="33" t="str">
        <f>'A) Base RI'!B171</f>
        <v>Lucens</v>
      </c>
      <c r="C169" s="304">
        <f>'B) D RI'!U171</f>
        <v>92142.722793148874</v>
      </c>
      <c r="D169" s="33">
        <f>'B) D RI'!AR171</f>
        <v>4199</v>
      </c>
      <c r="E169" s="210">
        <f t="shared" si="22"/>
        <v>21.943968276529858</v>
      </c>
      <c r="F169" s="63">
        <f t="shared" si="23"/>
        <v>0.47433237333375849</v>
      </c>
      <c r="G169" s="276">
        <f t="shared" si="24"/>
        <v>0</v>
      </c>
      <c r="H169" s="276">
        <f t="shared" si="25"/>
        <v>0</v>
      </c>
      <c r="I169" s="276">
        <f t="shared" si="26"/>
        <v>0</v>
      </c>
      <c r="J169" s="276">
        <f t="shared" si="27"/>
        <v>0</v>
      </c>
      <c r="K169" s="277">
        <f t="shared" si="28"/>
        <v>0</v>
      </c>
      <c r="L169" s="58">
        <f>K169*D169*'B) D RI'!S171</f>
        <v>0</v>
      </c>
      <c r="M169" s="472">
        <f>(('B) D RI'!S171*C169)-(L169*$M$4))/'B) D RI'!S171</f>
        <v>92142.722793148874</v>
      </c>
      <c r="N169" s="266">
        <f t="shared" si="29"/>
        <v>21.943968276529858</v>
      </c>
      <c r="O169" s="63">
        <f t="shared" si="30"/>
        <v>0.48695891902490551</v>
      </c>
      <c r="R169" s="12"/>
    </row>
    <row r="170" spans="1:18" x14ac:dyDescent="0.25">
      <c r="A170" s="306">
        <f>'A) Base RI'!A172</f>
        <v>5678</v>
      </c>
      <c r="B170" s="33" t="str">
        <f>'A) Base RI'!B172</f>
        <v>Moudon</v>
      </c>
      <c r="C170" s="304">
        <f>'B) D RI'!U172</f>
        <v>119798.79359999999</v>
      </c>
      <c r="D170" s="33">
        <f>'B) D RI'!AR172</f>
        <v>6135</v>
      </c>
      <c r="E170" s="210">
        <f t="shared" si="22"/>
        <v>19.527105721271393</v>
      </c>
      <c r="F170" s="63">
        <f t="shared" si="23"/>
        <v>0.4220904024463249</v>
      </c>
      <c r="G170" s="276">
        <f t="shared" si="24"/>
        <v>0</v>
      </c>
      <c r="H170" s="276">
        <f t="shared" si="25"/>
        <v>0</v>
      </c>
      <c r="I170" s="276">
        <f t="shared" si="26"/>
        <v>0</v>
      </c>
      <c r="J170" s="276">
        <f t="shared" si="27"/>
        <v>0</v>
      </c>
      <c r="K170" s="277">
        <f t="shared" si="28"/>
        <v>0</v>
      </c>
      <c r="L170" s="58">
        <f>K170*D170*'B) D RI'!S172</f>
        <v>0</v>
      </c>
      <c r="M170" s="472">
        <f>(('B) D RI'!S172*C170)-(L170*$M$4))/'B) D RI'!S172</f>
        <v>119798.79359999999</v>
      </c>
      <c r="N170" s="266">
        <f t="shared" si="29"/>
        <v>19.527105721271393</v>
      </c>
      <c r="O170" s="63">
        <f t="shared" si="30"/>
        <v>0.43332628692712771</v>
      </c>
      <c r="R170" s="12"/>
    </row>
    <row r="171" spans="1:18" x14ac:dyDescent="0.25">
      <c r="A171" s="306">
        <f>'A) Base RI'!A173</f>
        <v>5680</v>
      </c>
      <c r="B171" s="33" t="str">
        <f>'A) Base RI'!B173</f>
        <v>Ogens</v>
      </c>
      <c r="C171" s="304">
        <f>'B) D RI'!U173</f>
        <v>6445.3270940170942</v>
      </c>
      <c r="D171" s="33">
        <f>'B) D RI'!AR173</f>
        <v>299</v>
      </c>
      <c r="E171" s="210">
        <f t="shared" si="22"/>
        <v>21.556277906411687</v>
      </c>
      <c r="F171" s="63">
        <f t="shared" si="23"/>
        <v>0.46595220749231042</v>
      </c>
      <c r="G171" s="276">
        <f t="shared" si="24"/>
        <v>0</v>
      </c>
      <c r="H171" s="276">
        <f t="shared" si="25"/>
        <v>0</v>
      </c>
      <c r="I171" s="276">
        <f t="shared" si="26"/>
        <v>0</v>
      </c>
      <c r="J171" s="276">
        <f t="shared" si="27"/>
        <v>0</v>
      </c>
      <c r="K171" s="277">
        <f t="shared" si="28"/>
        <v>0</v>
      </c>
      <c r="L171" s="58">
        <f>K171*D171*'B) D RI'!S173</f>
        <v>0</v>
      </c>
      <c r="M171" s="472">
        <f>(('B) D RI'!S173*C171)-(L171*$M$4))/'B) D RI'!S173</f>
        <v>6445.3270940170942</v>
      </c>
      <c r="N171" s="266">
        <f t="shared" si="29"/>
        <v>21.556277906411687</v>
      </c>
      <c r="O171" s="63">
        <f t="shared" si="30"/>
        <v>0.47835567638574117</v>
      </c>
      <c r="R171" s="12"/>
    </row>
    <row r="172" spans="1:18" x14ac:dyDescent="0.25">
      <c r="A172" s="306">
        <f>'A) Base RI'!A174</f>
        <v>5683</v>
      </c>
      <c r="B172" s="33" t="str">
        <f>'A) Base RI'!B174</f>
        <v>Prévonloup</v>
      </c>
      <c r="C172" s="304">
        <f>'B) D RI'!U174</f>
        <v>3724.6422972972978</v>
      </c>
      <c r="D172" s="33">
        <f>'B) D RI'!AR174</f>
        <v>184</v>
      </c>
      <c r="E172" s="210">
        <f t="shared" si="22"/>
        <v>20.242621180963575</v>
      </c>
      <c r="F172" s="63">
        <f t="shared" si="23"/>
        <v>0.43755670926357382</v>
      </c>
      <c r="G172" s="276">
        <f t="shared" si="24"/>
        <v>0</v>
      </c>
      <c r="H172" s="276">
        <f t="shared" si="25"/>
        <v>0</v>
      </c>
      <c r="I172" s="276">
        <f t="shared" si="26"/>
        <v>0</v>
      </c>
      <c r="J172" s="276">
        <f t="shared" si="27"/>
        <v>0</v>
      </c>
      <c r="K172" s="277">
        <f t="shared" si="28"/>
        <v>0</v>
      </c>
      <c r="L172" s="58">
        <f>K172*D172*'B) D RI'!S174</f>
        <v>0</v>
      </c>
      <c r="M172" s="472">
        <f>(('B) D RI'!S174*C172)-(L172*$M$4))/'B) D RI'!S174</f>
        <v>3724.6422972972978</v>
      </c>
      <c r="N172" s="266">
        <f t="shared" si="29"/>
        <v>20.242621180963575</v>
      </c>
      <c r="O172" s="63">
        <f t="shared" si="30"/>
        <v>0.44920430089463659</v>
      </c>
      <c r="R172" s="12"/>
    </row>
    <row r="173" spans="1:18" x14ac:dyDescent="0.25">
      <c r="A173" s="306">
        <f>'A) Base RI'!A175</f>
        <v>5684</v>
      </c>
      <c r="B173" s="33" t="str">
        <f>'A) Base RI'!B175</f>
        <v>Rossenges</v>
      </c>
      <c r="C173" s="304">
        <f>'B) D RI'!U175</f>
        <v>1951.4436666666666</v>
      </c>
      <c r="D173" s="33">
        <f>'B) D RI'!AR175</f>
        <v>65</v>
      </c>
      <c r="E173" s="210">
        <f t="shared" si="22"/>
        <v>30.022210256410254</v>
      </c>
      <c r="F173" s="63">
        <f t="shared" si="23"/>
        <v>0.64894854313470263</v>
      </c>
      <c r="G173" s="276">
        <f t="shared" si="24"/>
        <v>0</v>
      </c>
      <c r="H173" s="276">
        <f t="shared" si="25"/>
        <v>0</v>
      </c>
      <c r="I173" s="276">
        <f t="shared" si="26"/>
        <v>0</v>
      </c>
      <c r="J173" s="276">
        <f t="shared" si="27"/>
        <v>0</v>
      </c>
      <c r="K173" s="277">
        <f t="shared" si="28"/>
        <v>0</v>
      </c>
      <c r="L173" s="58">
        <f>K173*D173*'B) D RI'!S175</f>
        <v>0</v>
      </c>
      <c r="M173" s="472">
        <f>(('B) D RI'!S175*C173)-(L173*$M$4))/'B) D RI'!S175</f>
        <v>1951.4436666666666</v>
      </c>
      <c r="N173" s="266">
        <f t="shared" si="29"/>
        <v>30.022210256410254</v>
      </c>
      <c r="O173" s="63">
        <f t="shared" si="30"/>
        <v>0.66622330423419007</v>
      </c>
      <c r="R173" s="12"/>
    </row>
    <row r="174" spans="1:18" x14ac:dyDescent="0.25">
      <c r="A174" s="306">
        <f>'A) Base RI'!A176</f>
        <v>5688</v>
      </c>
      <c r="B174" s="33" t="str">
        <f>'A) Base RI'!B176</f>
        <v>Syens</v>
      </c>
      <c r="C174" s="304">
        <f>'B) D RI'!U176</f>
        <v>3966.9414021164025</v>
      </c>
      <c r="D174" s="33">
        <f>'B) D RI'!AR176</f>
        <v>159</v>
      </c>
      <c r="E174" s="210">
        <f t="shared" si="22"/>
        <v>24.949316994442782</v>
      </c>
      <c r="F174" s="63">
        <f t="shared" si="23"/>
        <v>0.53929483463971484</v>
      </c>
      <c r="G174" s="276">
        <f t="shared" si="24"/>
        <v>0</v>
      </c>
      <c r="H174" s="276">
        <f t="shared" si="25"/>
        <v>0</v>
      </c>
      <c r="I174" s="276">
        <f t="shared" si="26"/>
        <v>0</v>
      </c>
      <c r="J174" s="276">
        <f t="shared" si="27"/>
        <v>0</v>
      </c>
      <c r="K174" s="277">
        <f t="shared" si="28"/>
        <v>0</v>
      </c>
      <c r="L174" s="58">
        <f>K174*D174*'B) D RI'!S176</f>
        <v>0</v>
      </c>
      <c r="M174" s="472">
        <f>(('B) D RI'!S176*C174)-(L174*$M$4))/'B) D RI'!S176</f>
        <v>3966.9414021164025</v>
      </c>
      <c r="N174" s="266">
        <f t="shared" si="29"/>
        <v>24.949316994442782</v>
      </c>
      <c r="O174" s="63">
        <f t="shared" si="30"/>
        <v>0.55365065611299757</v>
      </c>
      <c r="R174" s="12"/>
    </row>
    <row r="175" spans="1:18" x14ac:dyDescent="0.25">
      <c r="A175" s="306">
        <f>'A) Base RI'!A177</f>
        <v>5690</v>
      </c>
      <c r="B175" s="33" t="str">
        <f>'A) Base RI'!B177</f>
        <v>Villars-le-Comte</v>
      </c>
      <c r="C175" s="304">
        <f>'B) D RI'!U177</f>
        <v>4059.4070238095242</v>
      </c>
      <c r="D175" s="33">
        <f>'B) D RI'!AR177</f>
        <v>132</v>
      </c>
      <c r="E175" s="210">
        <f t="shared" si="22"/>
        <v>30.753083513708518</v>
      </c>
      <c r="F175" s="63">
        <f t="shared" si="23"/>
        <v>0.66474681819469927</v>
      </c>
      <c r="G175" s="276">
        <f t="shared" si="24"/>
        <v>0</v>
      </c>
      <c r="H175" s="276">
        <f t="shared" si="25"/>
        <v>0</v>
      </c>
      <c r="I175" s="276">
        <f t="shared" si="26"/>
        <v>0</v>
      </c>
      <c r="J175" s="276">
        <f t="shared" si="27"/>
        <v>0</v>
      </c>
      <c r="K175" s="277">
        <f t="shared" si="28"/>
        <v>0</v>
      </c>
      <c r="L175" s="58">
        <f>K175*D175*'B) D RI'!S177</f>
        <v>0</v>
      </c>
      <c r="M175" s="472">
        <f>(('B) D RI'!S177*C175)-(L175*$M$4))/'B) D RI'!S177</f>
        <v>4059.4070238095242</v>
      </c>
      <c r="N175" s="266">
        <f t="shared" si="29"/>
        <v>30.753083513708518</v>
      </c>
      <c r="O175" s="63">
        <f t="shared" si="30"/>
        <v>0.68244212331163256</v>
      </c>
      <c r="R175" s="12"/>
    </row>
    <row r="176" spans="1:18" x14ac:dyDescent="0.25">
      <c r="A176" s="306">
        <f>'A) Base RI'!A178</f>
        <v>5692</v>
      </c>
      <c r="B176" s="33" t="str">
        <f>'A) Base RI'!B178</f>
        <v>Vucherens</v>
      </c>
      <c r="C176" s="304">
        <f>'B) D RI'!U178</f>
        <v>16205.612531645571</v>
      </c>
      <c r="D176" s="33">
        <f>'B) D RI'!AR178</f>
        <v>577</v>
      </c>
      <c r="E176" s="210">
        <f t="shared" si="22"/>
        <v>28.085983590373605</v>
      </c>
      <c r="F176" s="63">
        <f t="shared" si="23"/>
        <v>0.60709581266044454</v>
      </c>
      <c r="G176" s="276">
        <f t="shared" si="24"/>
        <v>0</v>
      </c>
      <c r="H176" s="276">
        <f t="shared" si="25"/>
        <v>0</v>
      </c>
      <c r="I176" s="276">
        <f t="shared" si="26"/>
        <v>0</v>
      </c>
      <c r="J176" s="276">
        <f t="shared" si="27"/>
        <v>0</v>
      </c>
      <c r="K176" s="277">
        <f t="shared" si="28"/>
        <v>0</v>
      </c>
      <c r="L176" s="58">
        <f>K176*D176*'B) D RI'!S178</f>
        <v>0</v>
      </c>
      <c r="M176" s="472">
        <f>(('B) D RI'!S178*C176)-(L176*$M$4))/'B) D RI'!S178</f>
        <v>16205.612531645571</v>
      </c>
      <c r="N176" s="266">
        <f t="shared" si="29"/>
        <v>28.085983590373605</v>
      </c>
      <c r="O176" s="63">
        <f t="shared" si="30"/>
        <v>0.6232564701411587</v>
      </c>
      <c r="R176" s="12"/>
    </row>
    <row r="177" spans="1:18" x14ac:dyDescent="0.25">
      <c r="A177" s="306">
        <f>'A) Base RI'!A179</f>
        <v>5693</v>
      </c>
      <c r="B177" s="33" t="str">
        <f>'A) Base RI'!B179</f>
        <v>Montanaire</v>
      </c>
      <c r="C177" s="304">
        <f>'B) D RI'!U179</f>
        <v>69929.896527777775</v>
      </c>
      <c r="D177" s="33">
        <f>'B) D RI'!AR179</f>
        <v>2685</v>
      </c>
      <c r="E177" s="210">
        <f t="shared" si="22"/>
        <v>26.044654200289674</v>
      </c>
      <c r="F177" s="63">
        <f t="shared" si="23"/>
        <v>0.56297122215098427</v>
      </c>
      <c r="G177" s="276">
        <f t="shared" si="24"/>
        <v>0</v>
      </c>
      <c r="H177" s="276">
        <f t="shared" si="25"/>
        <v>0</v>
      </c>
      <c r="I177" s="276">
        <f t="shared" si="26"/>
        <v>0</v>
      </c>
      <c r="J177" s="276">
        <f t="shared" si="27"/>
        <v>0</v>
      </c>
      <c r="K177" s="277">
        <f t="shared" si="28"/>
        <v>0</v>
      </c>
      <c r="L177" s="58">
        <f>K177*D177*'B) D RI'!S179</f>
        <v>0</v>
      </c>
      <c r="M177" s="472">
        <f>(('B) D RI'!S179*C177)-(L177*$M$4))/'B) D RI'!S179</f>
        <v>69929.896527777775</v>
      </c>
      <c r="N177" s="266">
        <f t="shared" si="29"/>
        <v>26.044654200289674</v>
      </c>
      <c r="O177" s="63">
        <f t="shared" si="30"/>
        <v>0.57795729997091105</v>
      </c>
      <c r="R177" s="12"/>
    </row>
    <row r="178" spans="1:18" x14ac:dyDescent="0.25">
      <c r="A178" s="306">
        <f>'A) Base RI'!A180</f>
        <v>5701</v>
      </c>
      <c r="B178" s="33" t="str">
        <f>'A) Base RI'!B180</f>
        <v>Arnex-sur-Nyon</v>
      </c>
      <c r="C178" s="304">
        <f>'B) D RI'!U180</f>
        <v>13502.083857142858</v>
      </c>
      <c r="D178" s="33">
        <f>'B) D RI'!AR180</f>
        <v>235</v>
      </c>
      <c r="E178" s="210">
        <f t="shared" si="22"/>
        <v>57.45567598784195</v>
      </c>
      <c r="F178" s="63">
        <f t="shared" si="23"/>
        <v>1.2419397808716766</v>
      </c>
      <c r="G178" s="276">
        <f t="shared" si="24"/>
        <v>1.9402538656688009</v>
      </c>
      <c r="H178" s="276">
        <f t="shared" si="25"/>
        <v>0</v>
      </c>
      <c r="I178" s="276">
        <f t="shared" si="26"/>
        <v>0</v>
      </c>
      <c r="J178" s="276">
        <f t="shared" si="27"/>
        <v>0</v>
      </c>
      <c r="K178" s="277">
        <f t="shared" si="28"/>
        <v>0.69849139164076823</v>
      </c>
      <c r="L178" s="58">
        <f>K178*D178*'B) D RI'!S180</f>
        <v>11490.183392490639</v>
      </c>
      <c r="M178" s="472">
        <f>(('B) D RI'!S180*C178)-(L178*$M$4))/'B) D RI'!S180</f>
        <v>13420.011118625067</v>
      </c>
      <c r="N178" s="266">
        <f t="shared" si="29"/>
        <v>57.106430292021564</v>
      </c>
      <c r="O178" s="63">
        <f t="shared" si="30"/>
        <v>1.2672496247689378</v>
      </c>
      <c r="R178" s="12"/>
    </row>
    <row r="179" spans="1:18" x14ac:dyDescent="0.25">
      <c r="A179" s="306">
        <f>'A) Base RI'!A181</f>
        <v>5702</v>
      </c>
      <c r="B179" s="33" t="str">
        <f>'A) Base RI'!B181</f>
        <v>Arzier-Le Muids</v>
      </c>
      <c r="C179" s="304">
        <f>'B) D RI'!U181</f>
        <v>176072.16864583336</v>
      </c>
      <c r="D179" s="33">
        <f>'B) D RI'!AR181</f>
        <v>2697</v>
      </c>
      <c r="E179" s="210">
        <f t="shared" si="22"/>
        <v>65.284452593931533</v>
      </c>
      <c r="F179" s="63">
        <f t="shared" si="23"/>
        <v>1.4111636031571828</v>
      </c>
      <c r="G179" s="276">
        <f t="shared" si="24"/>
        <v>9.7690304717583842</v>
      </c>
      <c r="H179" s="276">
        <f t="shared" si="25"/>
        <v>0</v>
      </c>
      <c r="I179" s="276">
        <f t="shared" si="26"/>
        <v>0</v>
      </c>
      <c r="J179" s="276">
        <f t="shared" si="27"/>
        <v>0</v>
      </c>
      <c r="K179" s="277">
        <f t="shared" si="28"/>
        <v>3.5168509698330181</v>
      </c>
      <c r="L179" s="58">
        <f>K179*D179*'B) D RI'!S181</f>
        <v>607036.61220093758</v>
      </c>
      <c r="M179" s="472">
        <f>(('B) D RI'!S181*C179)-(L179*$M$4))/'B) D RI'!S181</f>
        <v>171329.69511301353</v>
      </c>
      <c r="N179" s="266">
        <f t="shared" si="29"/>
        <v>63.526027109015025</v>
      </c>
      <c r="O179" s="63">
        <f t="shared" si="30"/>
        <v>1.4097069910568008</v>
      </c>
      <c r="R179" s="12"/>
    </row>
    <row r="180" spans="1:18" x14ac:dyDescent="0.25">
      <c r="A180" s="306">
        <f>'A) Base RI'!A182</f>
        <v>5703</v>
      </c>
      <c r="B180" s="33" t="str">
        <f>'A) Base RI'!B182</f>
        <v>Bassins</v>
      </c>
      <c r="C180" s="304">
        <f>'B) D RI'!U182</f>
        <v>55245.232548262546</v>
      </c>
      <c r="D180" s="33">
        <f>'B) D RI'!AR182</f>
        <v>1347</v>
      </c>
      <c r="E180" s="210">
        <f t="shared" si="22"/>
        <v>41.013535670573532</v>
      </c>
      <c r="F180" s="63">
        <f t="shared" si="23"/>
        <v>0.88653280337809071</v>
      </c>
      <c r="G180" s="276">
        <f t="shared" si="24"/>
        <v>0</v>
      </c>
      <c r="H180" s="276">
        <f t="shared" si="25"/>
        <v>0</v>
      </c>
      <c r="I180" s="276">
        <f t="shared" si="26"/>
        <v>0</v>
      </c>
      <c r="J180" s="276">
        <f t="shared" si="27"/>
        <v>0</v>
      </c>
      <c r="K180" s="277">
        <f t="shared" si="28"/>
        <v>0</v>
      </c>
      <c r="L180" s="58">
        <f>K180*D180*'B) D RI'!S182</f>
        <v>0</v>
      </c>
      <c r="M180" s="472">
        <f>(('B) D RI'!S182*C180)-(L180*$M$4))/'B) D RI'!S182</f>
        <v>55245.232548262546</v>
      </c>
      <c r="N180" s="266">
        <f t="shared" si="29"/>
        <v>41.013535670573532</v>
      </c>
      <c r="O180" s="63">
        <f t="shared" si="30"/>
        <v>0.91013196628126802</v>
      </c>
      <c r="R180" s="12"/>
    </row>
    <row r="181" spans="1:18" x14ac:dyDescent="0.25">
      <c r="A181" s="306">
        <f>'A) Base RI'!A183</f>
        <v>5704</v>
      </c>
      <c r="B181" s="33" t="str">
        <f>'A) Base RI'!B183</f>
        <v>Begnins</v>
      </c>
      <c r="C181" s="304">
        <f>'B) D RI'!U183</f>
        <v>123862.49598958335</v>
      </c>
      <c r="D181" s="33">
        <f>'B) D RI'!AR183</f>
        <v>1952</v>
      </c>
      <c r="E181" s="210">
        <f t="shared" si="22"/>
        <v>63.454147535647209</v>
      </c>
      <c r="F181" s="63">
        <f t="shared" si="23"/>
        <v>1.3716004333931553</v>
      </c>
      <c r="G181" s="276">
        <f t="shared" si="24"/>
        <v>7.9387254134740601</v>
      </c>
      <c r="H181" s="276">
        <f t="shared" si="25"/>
        <v>0</v>
      </c>
      <c r="I181" s="276">
        <f t="shared" si="26"/>
        <v>0</v>
      </c>
      <c r="J181" s="276">
        <f t="shared" si="27"/>
        <v>0</v>
      </c>
      <c r="K181" s="277">
        <f t="shared" si="28"/>
        <v>2.8579411488506614</v>
      </c>
      <c r="L181" s="58">
        <f>K181*D181*'B) D RI'!S183</f>
        <v>357036.87184361543</v>
      </c>
      <c r="M181" s="472">
        <f>(('B) D RI'!S183*C181)-(L181*$M$4))/'B) D RI'!S183</f>
        <v>121073.1454283051</v>
      </c>
      <c r="N181" s="266">
        <f t="shared" si="29"/>
        <v>62.025176961221874</v>
      </c>
      <c r="O181" s="63">
        <f t="shared" si="30"/>
        <v>1.3764016036091984</v>
      </c>
      <c r="R181" s="12"/>
    </row>
    <row r="182" spans="1:18" x14ac:dyDescent="0.25">
      <c r="A182" s="306">
        <f>'A) Base RI'!A184</f>
        <v>5705</v>
      </c>
      <c r="B182" s="33" t="str">
        <f>'A) Base RI'!B184</f>
        <v>Bogis-Bossey</v>
      </c>
      <c r="C182" s="304">
        <f>'B) D RI'!U184</f>
        <v>49404.992428571422</v>
      </c>
      <c r="D182" s="33">
        <f>'B) D RI'!AR184</f>
        <v>867</v>
      </c>
      <c r="E182" s="210">
        <f t="shared" si="22"/>
        <v>56.983843631570267</v>
      </c>
      <c r="F182" s="63">
        <f t="shared" si="23"/>
        <v>1.2317408342387934</v>
      </c>
      <c r="G182" s="276">
        <f t="shared" si="24"/>
        <v>1.4684215093971176</v>
      </c>
      <c r="H182" s="276">
        <f t="shared" si="25"/>
        <v>0</v>
      </c>
      <c r="I182" s="276">
        <f t="shared" si="26"/>
        <v>0</v>
      </c>
      <c r="J182" s="276">
        <f t="shared" si="27"/>
        <v>0</v>
      </c>
      <c r="K182" s="277">
        <f t="shared" si="28"/>
        <v>0.52863174338296226</v>
      </c>
      <c r="L182" s="58">
        <f>K182*D182*'B) D RI'!S184</f>
        <v>32082.660505911979</v>
      </c>
      <c r="M182" s="472">
        <f>(('B) D RI'!S184*C182)-(L182*$M$4))/'B) D RI'!S184</f>
        <v>49175.830567814912</v>
      </c>
      <c r="N182" s="266">
        <f t="shared" si="29"/>
        <v>56.719527759878794</v>
      </c>
      <c r="O182" s="63">
        <f t="shared" si="30"/>
        <v>1.2586638650537385</v>
      </c>
      <c r="R182" s="12"/>
    </row>
    <row r="183" spans="1:18" x14ac:dyDescent="0.25">
      <c r="A183" s="306">
        <f>'A) Base RI'!A185</f>
        <v>5706</v>
      </c>
      <c r="B183" s="33" t="str">
        <f>'A) Base RI'!B185</f>
        <v>Borex</v>
      </c>
      <c r="C183" s="304">
        <f>'B) D RI'!U185</f>
        <v>70968.038045977009</v>
      </c>
      <c r="D183" s="33">
        <f>'B) D RI'!AR185</f>
        <v>1140</v>
      </c>
      <c r="E183" s="210">
        <f t="shared" si="22"/>
        <v>62.252664952611411</v>
      </c>
      <c r="F183" s="63">
        <f t="shared" si="23"/>
        <v>1.3456296482576298</v>
      </c>
      <c r="G183" s="276">
        <f t="shared" si="24"/>
        <v>6.7372428304382623</v>
      </c>
      <c r="H183" s="276">
        <f t="shared" si="25"/>
        <v>0</v>
      </c>
      <c r="I183" s="276">
        <f t="shared" si="26"/>
        <v>0</v>
      </c>
      <c r="J183" s="276">
        <f t="shared" si="27"/>
        <v>0</v>
      </c>
      <c r="K183" s="277">
        <f t="shared" si="28"/>
        <v>2.4254074189577746</v>
      </c>
      <c r="L183" s="58">
        <f>K183*D183*'B) D RI'!S185</f>
        <v>160367.93854148805</v>
      </c>
      <c r="M183" s="472">
        <f>(('B) D RI'!S185*C183)-(L183*$M$4))/'B) D RI'!S185</f>
        <v>69585.555817171087</v>
      </c>
      <c r="N183" s="266">
        <f t="shared" si="29"/>
        <v>61.039961243132531</v>
      </c>
      <c r="O183" s="63">
        <f t="shared" si="30"/>
        <v>1.3545386672869537</v>
      </c>
      <c r="R183" s="12"/>
    </row>
    <row r="184" spans="1:18" x14ac:dyDescent="0.25">
      <c r="A184" s="306">
        <f>'A) Base RI'!A186</f>
        <v>5707</v>
      </c>
      <c r="B184" s="33" t="str">
        <f>'A) Base RI'!B186</f>
        <v>Chavannes-de-Bogis</v>
      </c>
      <c r="C184" s="304">
        <f>'B) D RI'!U186</f>
        <v>77704.286214689273</v>
      </c>
      <c r="D184" s="33">
        <f>'B) D RI'!AR186</f>
        <v>1281</v>
      </c>
      <c r="E184" s="210">
        <f t="shared" si="22"/>
        <v>60.659083696088423</v>
      </c>
      <c r="F184" s="63">
        <f t="shared" si="23"/>
        <v>1.311183409091526</v>
      </c>
      <c r="G184" s="276">
        <f t="shared" si="24"/>
        <v>5.1436615739152742</v>
      </c>
      <c r="H184" s="276">
        <f t="shared" si="25"/>
        <v>0</v>
      </c>
      <c r="I184" s="276">
        <f t="shared" si="26"/>
        <v>0</v>
      </c>
      <c r="J184" s="276">
        <f t="shared" si="27"/>
        <v>0</v>
      </c>
      <c r="K184" s="277">
        <f t="shared" si="28"/>
        <v>1.8517181666094986</v>
      </c>
      <c r="L184" s="58">
        <f>K184*D184*'B) D RI'!S186</f>
        <v>139951.0073141793</v>
      </c>
      <c r="M184" s="472">
        <f>(('B) D RI'!S186*C184)-(L184*$M$4))/'B) D RI'!S186</f>
        <v>76518.260728975889</v>
      </c>
      <c r="N184" s="266">
        <f t="shared" si="29"/>
        <v>59.733224612783673</v>
      </c>
      <c r="O184" s="63">
        <f t="shared" si="30"/>
        <v>1.3255408557267943</v>
      </c>
      <c r="R184" s="12"/>
    </row>
    <row r="185" spans="1:18" x14ac:dyDescent="0.25">
      <c r="A185" s="306">
        <f>'A) Base RI'!A187</f>
        <v>5708</v>
      </c>
      <c r="B185" s="33" t="str">
        <f>'A) Base RI'!B187</f>
        <v>Chavannes-des-Bois</v>
      </c>
      <c r="C185" s="304">
        <f>'B) D RI'!U187</f>
        <v>57040.784867724869</v>
      </c>
      <c r="D185" s="33">
        <f>'B) D RI'!AR187</f>
        <v>964</v>
      </c>
      <c r="E185" s="210">
        <f t="shared" si="22"/>
        <v>59.170938659465634</v>
      </c>
      <c r="F185" s="63">
        <f t="shared" si="23"/>
        <v>1.2790162386786381</v>
      </c>
      <c r="G185" s="276">
        <f t="shared" si="24"/>
        <v>3.6555165372924847</v>
      </c>
      <c r="H185" s="276">
        <f t="shared" si="25"/>
        <v>0</v>
      </c>
      <c r="I185" s="276">
        <f t="shared" si="26"/>
        <v>0</v>
      </c>
      <c r="J185" s="276">
        <f t="shared" si="27"/>
        <v>0</v>
      </c>
      <c r="K185" s="277">
        <f t="shared" si="28"/>
        <v>1.3159859534252945</v>
      </c>
      <c r="L185" s="58">
        <f>K185*D185*'B) D RI'!S187</f>
        <v>79922.458923424987</v>
      </c>
      <c r="M185" s="472">
        <f>(('B) D RI'!S187*C185)-(L185*$M$4))/'B) D RI'!S187</f>
        <v>56406.479638173878</v>
      </c>
      <c r="N185" s="266">
        <f t="shared" si="29"/>
        <v>58.512945682752985</v>
      </c>
      <c r="O185" s="63">
        <f t="shared" si="30"/>
        <v>1.2984616282512349</v>
      </c>
      <c r="R185" s="12"/>
    </row>
    <row r="186" spans="1:18" x14ac:dyDescent="0.25">
      <c r="A186" s="306">
        <f>'A) Base RI'!A188</f>
        <v>5709</v>
      </c>
      <c r="B186" s="33" t="str">
        <f>'A) Base RI'!B188</f>
        <v>Chéserex</v>
      </c>
      <c r="C186" s="304">
        <f>'B) D RI'!U188</f>
        <v>108721.76175438597</v>
      </c>
      <c r="D186" s="33">
        <f>'B) D RI'!AR188</f>
        <v>1227</v>
      </c>
      <c r="E186" s="210">
        <f t="shared" si="22"/>
        <v>88.607792790860614</v>
      </c>
      <c r="F186" s="63">
        <f t="shared" si="23"/>
        <v>1.9153119490838608</v>
      </c>
      <c r="G186" s="276">
        <f t="shared" si="24"/>
        <v>33.092370668687465</v>
      </c>
      <c r="H186" s="276">
        <f t="shared" si="25"/>
        <v>19.213515138144174</v>
      </c>
      <c r="I186" s="276">
        <f t="shared" si="26"/>
        <v>0</v>
      </c>
      <c r="J186" s="276">
        <f t="shared" si="27"/>
        <v>0</v>
      </c>
      <c r="K186" s="277">
        <f t="shared" si="28"/>
        <v>13.834604954541906</v>
      </c>
      <c r="L186" s="58">
        <f>K186*D186*'B) D RI'!S188</f>
        <v>967578.43591570633</v>
      </c>
      <c r="M186" s="472">
        <f>(('B) D RI'!S188*C186)-(L186*$M$4))/'B) D RI'!S188</f>
        <v>100234.2316147745</v>
      </c>
      <c r="N186" s="266">
        <f t="shared" si="29"/>
        <v>81.690490313589649</v>
      </c>
      <c r="O186" s="63">
        <f t="shared" si="30"/>
        <v>1.8127948580871163</v>
      </c>
      <c r="R186" s="12"/>
    </row>
    <row r="187" spans="1:18" x14ac:dyDescent="0.25">
      <c r="A187" s="306">
        <f>'A) Base RI'!A189</f>
        <v>5710</v>
      </c>
      <c r="B187" s="33" t="str">
        <f>'A) Base RI'!B189</f>
        <v>Coinsins</v>
      </c>
      <c r="C187" s="304">
        <f>'B) D RI'!U189</f>
        <v>124477.14941176467</v>
      </c>
      <c r="D187" s="33">
        <f>'B) D RI'!AR189</f>
        <v>499</v>
      </c>
      <c r="E187" s="210">
        <f t="shared" si="22"/>
        <v>249.45320523399732</v>
      </c>
      <c r="F187" s="63">
        <f t="shared" si="23"/>
        <v>5.3920844845965297</v>
      </c>
      <c r="G187" s="276">
        <f t="shared" si="24"/>
        <v>193.93778311182416</v>
      </c>
      <c r="H187" s="276">
        <f t="shared" si="25"/>
        <v>180.0589275812809</v>
      </c>
      <c r="I187" s="276">
        <f t="shared" si="26"/>
        <v>156.92750169704209</v>
      </c>
      <c r="J187" s="276">
        <f t="shared" si="27"/>
        <v>110.66464992856444</v>
      </c>
      <c r="K187" s="277">
        <f t="shared" si="28"/>
        <v>114.58270984094544</v>
      </c>
      <c r="L187" s="58">
        <f>K187*D187*'B) D RI'!S189</f>
        <v>2916015.3827422205</v>
      </c>
      <c r="M187" s="472">
        <f>(('B) D RI'!S189*C187)-(L187*$M$4))/'B) D RI'!S189</f>
        <v>95888.763306448789</v>
      </c>
      <c r="N187" s="266">
        <f t="shared" si="29"/>
        <v>192.16185031352464</v>
      </c>
      <c r="O187" s="63">
        <f t="shared" si="30"/>
        <v>4.26426641377269</v>
      </c>
      <c r="R187" s="12"/>
    </row>
    <row r="188" spans="1:18" x14ac:dyDescent="0.25">
      <c r="A188" s="306">
        <f>'A) Base RI'!A190</f>
        <v>5711</v>
      </c>
      <c r="B188" s="33" t="str">
        <f>'A) Base RI'!B190</f>
        <v>Commugny</v>
      </c>
      <c r="C188" s="304">
        <f>'B) D RI'!U190</f>
        <v>278130.00205128203</v>
      </c>
      <c r="D188" s="33">
        <f>'B) D RI'!AR190</f>
        <v>2877</v>
      </c>
      <c r="E188" s="210">
        <f t="shared" si="22"/>
        <v>96.673619065443873</v>
      </c>
      <c r="F188" s="63">
        <f t="shared" si="23"/>
        <v>2.0896597457771704</v>
      </c>
      <c r="G188" s="276">
        <f t="shared" si="24"/>
        <v>41.158196943270724</v>
      </c>
      <c r="H188" s="276">
        <f t="shared" si="25"/>
        <v>27.279341412727433</v>
      </c>
      <c r="I188" s="276">
        <f t="shared" si="26"/>
        <v>4.1479155284886247</v>
      </c>
      <c r="J188" s="276">
        <f t="shared" si="27"/>
        <v>0</v>
      </c>
      <c r="K188" s="277">
        <f t="shared" si="28"/>
        <v>17.959676593699069</v>
      </c>
      <c r="L188" s="58">
        <f>K188*D188*'B) D RI'!S190</f>
        <v>2945189.4049241166</v>
      </c>
      <c r="M188" s="472">
        <f>(('B) D RI'!S190*C188)-(L188*$M$4))/'B) D RI'!S190</f>
        <v>252295.00727124591</v>
      </c>
      <c r="N188" s="266">
        <f t="shared" si="29"/>
        <v>87.693780768594337</v>
      </c>
      <c r="O188" s="63">
        <f t="shared" si="30"/>
        <v>1.9460139638442226</v>
      </c>
      <c r="R188" s="12"/>
    </row>
    <row r="189" spans="1:18" x14ac:dyDescent="0.25">
      <c r="A189" s="306">
        <f>'A) Base RI'!A191</f>
        <v>5712</v>
      </c>
      <c r="B189" s="33" t="str">
        <f>'A) Base RI'!B191</f>
        <v>Coppet</v>
      </c>
      <c r="C189" s="304">
        <f>'B) D RI'!U191</f>
        <v>339910.43698113208</v>
      </c>
      <c r="D189" s="33">
        <f>'B) D RI'!AR191</f>
        <v>3126</v>
      </c>
      <c r="E189" s="210">
        <f t="shared" si="22"/>
        <v>108.73654413983752</v>
      </c>
      <c r="F189" s="63">
        <f t="shared" si="23"/>
        <v>2.3504072918809547</v>
      </c>
      <c r="G189" s="276">
        <f t="shared" si="24"/>
        <v>53.221122017664371</v>
      </c>
      <c r="H189" s="276">
        <f t="shared" si="25"/>
        <v>39.34226648712108</v>
      </c>
      <c r="I189" s="276">
        <f t="shared" si="26"/>
        <v>16.210840602882271</v>
      </c>
      <c r="J189" s="276">
        <f t="shared" si="27"/>
        <v>0</v>
      </c>
      <c r="K189" s="277">
        <f t="shared" si="28"/>
        <v>24.714914635359513</v>
      </c>
      <c r="L189" s="58">
        <f>K189*D189*'B) D RI'!S191</f>
        <v>4094717.6269570929</v>
      </c>
      <c r="M189" s="472">
        <f>(('B) D RI'!S191*C189)-(L189*$M$4))/'B) D RI'!S191</f>
        <v>301281.02540606516</v>
      </c>
      <c r="N189" s="266">
        <f t="shared" si="29"/>
        <v>96.37908682215776</v>
      </c>
      <c r="O189" s="63">
        <f t="shared" si="30"/>
        <v>2.1387497167375242</v>
      </c>
      <c r="R189" s="12"/>
    </row>
    <row r="190" spans="1:18" x14ac:dyDescent="0.25">
      <c r="A190" s="306">
        <f>'A) Base RI'!A192</f>
        <v>5713</v>
      </c>
      <c r="B190" s="33" t="str">
        <f>'A) Base RI'!B192</f>
        <v>Crans-près-Céligny</v>
      </c>
      <c r="C190" s="304">
        <f>'B) D RI'!U192</f>
        <v>273152.99188679247</v>
      </c>
      <c r="D190" s="33">
        <f>'B) D RI'!AR192</f>
        <v>2193</v>
      </c>
      <c r="E190" s="210">
        <f t="shared" si="22"/>
        <v>124.55676784623459</v>
      </c>
      <c r="F190" s="63">
        <f t="shared" si="23"/>
        <v>2.6923711592527577</v>
      </c>
      <c r="G190" s="276">
        <f t="shared" si="24"/>
        <v>69.041345724061443</v>
      </c>
      <c r="H190" s="276">
        <f t="shared" si="25"/>
        <v>55.162490193518153</v>
      </c>
      <c r="I190" s="276">
        <f t="shared" si="26"/>
        <v>32.031064309279344</v>
      </c>
      <c r="J190" s="276">
        <f t="shared" si="27"/>
        <v>0</v>
      </c>
      <c r="K190" s="277">
        <f t="shared" si="28"/>
        <v>33.57423991094187</v>
      </c>
      <c r="L190" s="58">
        <f>K190*D190*'B) D RI'!S192</f>
        <v>3902300.3306088629</v>
      </c>
      <c r="M190" s="472">
        <f>(('B) D RI'!S192*C190)-(L190*$M$4))/'B) D RI'!S192</f>
        <v>236338.83782444469</v>
      </c>
      <c r="N190" s="266">
        <f t="shared" si="29"/>
        <v>107.76964789076365</v>
      </c>
      <c r="O190" s="63">
        <f t="shared" si="30"/>
        <v>2.3915178229960445</v>
      </c>
      <c r="R190" s="12"/>
    </row>
    <row r="191" spans="1:18" x14ac:dyDescent="0.25">
      <c r="A191" s="306">
        <f>'A) Base RI'!A193</f>
        <v>5714</v>
      </c>
      <c r="B191" s="33" t="str">
        <f>'A) Base RI'!B193</f>
        <v>Crassier</v>
      </c>
      <c r="C191" s="304">
        <f>'B) D RI'!U193</f>
        <v>77000.951562499991</v>
      </c>
      <c r="D191" s="33">
        <f>'B) D RI'!AR193</f>
        <v>1175</v>
      </c>
      <c r="E191" s="210">
        <f t="shared" si="22"/>
        <v>65.532724734042546</v>
      </c>
      <c r="F191" s="63">
        <f t="shared" si="23"/>
        <v>1.4165301581926029</v>
      </c>
      <c r="G191" s="276">
        <f t="shared" si="24"/>
        <v>10.017302611869397</v>
      </c>
      <c r="H191" s="276">
        <f t="shared" si="25"/>
        <v>0</v>
      </c>
      <c r="I191" s="276">
        <f t="shared" si="26"/>
        <v>0</v>
      </c>
      <c r="J191" s="276">
        <f t="shared" si="27"/>
        <v>0</v>
      </c>
      <c r="K191" s="277">
        <f t="shared" si="28"/>
        <v>3.6062289402729828</v>
      </c>
      <c r="L191" s="58">
        <f>K191*D191*'B) D RI'!S193</f>
        <v>271188.41630852828</v>
      </c>
      <c r="M191" s="472">
        <f>(('B) D RI'!S193*C191)-(L191*$M$4))/'B) D RI'!S193</f>
        <v>74882.292060089618</v>
      </c>
      <c r="N191" s="266">
        <f t="shared" si="29"/>
        <v>63.729610263906061</v>
      </c>
      <c r="O191" s="63">
        <f t="shared" si="30"/>
        <v>1.4142247078064851</v>
      </c>
      <c r="R191" s="12"/>
    </row>
    <row r="192" spans="1:18" x14ac:dyDescent="0.25">
      <c r="A192" s="306">
        <f>'A) Base RI'!A194</f>
        <v>5715</v>
      </c>
      <c r="B192" s="33" t="str">
        <f>'A) Base RI'!B194</f>
        <v>Duillier</v>
      </c>
      <c r="C192" s="304">
        <f>'B) D RI'!U194</f>
        <v>77442.225909090921</v>
      </c>
      <c r="D192" s="33">
        <f>'B) D RI'!AR194</f>
        <v>1085</v>
      </c>
      <c r="E192" s="210">
        <f t="shared" si="22"/>
        <v>71.375323418516984</v>
      </c>
      <c r="F192" s="63">
        <f t="shared" si="23"/>
        <v>1.5428215228865416</v>
      </c>
      <c r="G192" s="276">
        <f t="shared" si="24"/>
        <v>15.859901296343835</v>
      </c>
      <c r="H192" s="276">
        <f t="shared" si="25"/>
        <v>1.9810457658005447</v>
      </c>
      <c r="I192" s="276">
        <f t="shared" si="26"/>
        <v>0</v>
      </c>
      <c r="J192" s="276">
        <f t="shared" si="27"/>
        <v>0</v>
      </c>
      <c r="K192" s="277">
        <f t="shared" si="28"/>
        <v>5.9076690432638355</v>
      </c>
      <c r="L192" s="58">
        <f>K192*D192*'B) D RI'!S194</f>
        <v>423048.18018812325</v>
      </c>
      <c r="M192" s="472">
        <f>(('B) D RI'!S194*C192)-(L192*$M$4))/'B) D RI'!S194</f>
        <v>74237.315453120289</v>
      </c>
      <c r="N192" s="266">
        <f t="shared" si="29"/>
        <v>68.421488896885066</v>
      </c>
      <c r="O192" s="63">
        <f t="shared" si="30"/>
        <v>1.518342254756968</v>
      </c>
      <c r="R192" s="12"/>
    </row>
    <row r="193" spans="1:18" x14ac:dyDescent="0.25">
      <c r="A193" s="306">
        <f>'A) Base RI'!A195</f>
        <v>5716</v>
      </c>
      <c r="B193" s="33" t="str">
        <f>'A) Base RI'!B195</f>
        <v>Eysins</v>
      </c>
      <c r="C193" s="304">
        <f>'B) D RI'!U195</f>
        <v>175921.02901639344</v>
      </c>
      <c r="D193" s="33">
        <f>'B) D RI'!AR195</f>
        <v>1618</v>
      </c>
      <c r="E193" s="210">
        <f t="shared" si="22"/>
        <v>108.72745921903179</v>
      </c>
      <c r="F193" s="63">
        <f t="shared" si="23"/>
        <v>2.3502109157290647</v>
      </c>
      <c r="G193" s="276">
        <f t="shared" si="24"/>
        <v>53.212037096858637</v>
      </c>
      <c r="H193" s="276">
        <f t="shared" si="25"/>
        <v>39.333181566315346</v>
      </c>
      <c r="I193" s="276">
        <f t="shared" si="26"/>
        <v>16.201755682076538</v>
      </c>
      <c r="J193" s="276">
        <f t="shared" si="27"/>
        <v>0</v>
      </c>
      <c r="K193" s="277">
        <f t="shared" si="28"/>
        <v>24.709827079708298</v>
      </c>
      <c r="L193" s="58">
        <f>K193*D193*'B) D RI'!S195</f>
        <v>2438810.5131130493</v>
      </c>
      <c r="M193" s="472">
        <f>(('B) D RI'!S195*C193)-(L193*$M$4))/'B) D RI'!S195</f>
        <v>155930.77890890944</v>
      </c>
      <c r="N193" s="266">
        <f t="shared" si="29"/>
        <v>96.372545679177648</v>
      </c>
      <c r="O193" s="63">
        <f t="shared" si="30"/>
        <v>2.1386045621385636</v>
      </c>
      <c r="R193" s="12"/>
    </row>
    <row r="194" spans="1:18" x14ac:dyDescent="0.25">
      <c r="A194" s="306">
        <f>'A) Base RI'!A196</f>
        <v>5717</v>
      </c>
      <c r="B194" s="33" t="str">
        <f>'A) Base RI'!B196</f>
        <v>Founex</v>
      </c>
      <c r="C194" s="304">
        <f>'B) D RI'!U196</f>
        <v>375994.09385964903</v>
      </c>
      <c r="D194" s="33">
        <f>'B) D RI'!AR196</f>
        <v>3790</v>
      </c>
      <c r="E194" s="210">
        <f t="shared" si="22"/>
        <v>99.206884923390248</v>
      </c>
      <c r="F194" s="63">
        <f t="shared" si="23"/>
        <v>2.1444178456587797</v>
      </c>
      <c r="G194" s="276">
        <f t="shared" si="24"/>
        <v>43.691462801217099</v>
      </c>
      <c r="H194" s="276">
        <f t="shared" si="25"/>
        <v>29.812607270673809</v>
      </c>
      <c r="I194" s="276">
        <f t="shared" si="26"/>
        <v>6.681181386435</v>
      </c>
      <c r="J194" s="276">
        <f t="shared" si="27"/>
        <v>0</v>
      </c>
      <c r="K194" s="277">
        <f t="shared" si="28"/>
        <v>19.378305474149037</v>
      </c>
      <c r="L194" s="58">
        <f>K194*D194*'B) D RI'!S196</f>
        <v>4186295.3315804168</v>
      </c>
      <c r="M194" s="472">
        <f>(('B) D RI'!S196*C194)-(L194*$M$4))/'B) D RI'!S196</f>
        <v>339272.20498613658</v>
      </c>
      <c r="N194" s="266">
        <f t="shared" si="29"/>
        <v>89.517732186315726</v>
      </c>
      <c r="O194" s="63">
        <f t="shared" si="30"/>
        <v>1.9864892962697398</v>
      </c>
      <c r="R194" s="12"/>
    </row>
    <row r="195" spans="1:18" x14ac:dyDescent="0.25">
      <c r="A195" s="306">
        <f>'A) Base RI'!A197</f>
        <v>5718</v>
      </c>
      <c r="B195" s="33" t="str">
        <f>'A) Base RI'!B197</f>
        <v>Genolier</v>
      </c>
      <c r="C195" s="304">
        <f>'B) D RI'!U197</f>
        <v>170544.41945454545</v>
      </c>
      <c r="D195" s="33">
        <f>'B) D RI'!AR197</f>
        <v>1961</v>
      </c>
      <c r="E195" s="210">
        <f t="shared" si="22"/>
        <v>86.968087432200633</v>
      </c>
      <c r="F195" s="63">
        <f t="shared" si="23"/>
        <v>1.8798687090763946</v>
      </c>
      <c r="G195" s="276">
        <f t="shared" si="24"/>
        <v>31.452665310027484</v>
      </c>
      <c r="H195" s="276">
        <f t="shared" si="25"/>
        <v>17.573809779484193</v>
      </c>
      <c r="I195" s="276">
        <f t="shared" si="26"/>
        <v>0</v>
      </c>
      <c r="J195" s="276">
        <f t="shared" si="27"/>
        <v>0</v>
      </c>
      <c r="K195" s="277">
        <f t="shared" si="28"/>
        <v>13.080340489558314</v>
      </c>
      <c r="L195" s="58">
        <f>K195*D195*'B) D RI'!S197</f>
        <v>1410780.123501312</v>
      </c>
      <c r="M195" s="472">
        <f>(('B) D RI'!S197*C195)-(L195*$M$4))/'B) D RI'!S197</f>
        <v>157719.14560453352</v>
      </c>
      <c r="N195" s="266">
        <f t="shared" si="29"/>
        <v>80.427917187421485</v>
      </c>
      <c r="O195" s="63">
        <f t="shared" si="30"/>
        <v>1.7847770794902376</v>
      </c>
      <c r="R195" s="12"/>
    </row>
    <row r="196" spans="1:18" x14ac:dyDescent="0.25">
      <c r="A196" s="306">
        <f>'A) Base RI'!A198</f>
        <v>5719</v>
      </c>
      <c r="B196" s="33" t="str">
        <f>'A) Base RI'!B198</f>
        <v>Gingins</v>
      </c>
      <c r="C196" s="304">
        <f>'B) D RI'!U198</f>
        <v>111319.72105263159</v>
      </c>
      <c r="D196" s="33">
        <f>'B) D RI'!AR198</f>
        <v>1226</v>
      </c>
      <c r="E196" s="210">
        <f t="shared" si="22"/>
        <v>90.799119945050236</v>
      </c>
      <c r="F196" s="63">
        <f t="shared" si="23"/>
        <v>1.9626788335369878</v>
      </c>
      <c r="G196" s="276">
        <f t="shared" si="24"/>
        <v>35.283697822877087</v>
      </c>
      <c r="H196" s="276">
        <f t="shared" si="25"/>
        <v>21.404842292333797</v>
      </c>
      <c r="I196" s="276">
        <f t="shared" si="26"/>
        <v>0</v>
      </c>
      <c r="J196" s="276">
        <f t="shared" si="27"/>
        <v>0</v>
      </c>
      <c r="K196" s="277">
        <f t="shared" si="28"/>
        <v>14.842615445469132</v>
      </c>
      <c r="L196" s="58">
        <f>K196*D196*'B) D RI'!S198</f>
        <v>1037231.652560274</v>
      </c>
      <c r="M196" s="472">
        <f>(('B) D RI'!S198*C196)-(L196*$M$4))/'B) D RI'!S198</f>
        <v>102221.19778455902</v>
      </c>
      <c r="N196" s="266">
        <f t="shared" si="29"/>
        <v>83.377812222315669</v>
      </c>
      <c r="O196" s="63">
        <f t="shared" si="30"/>
        <v>1.8502382430923281</v>
      </c>
      <c r="R196" s="12"/>
    </row>
    <row r="197" spans="1:18" x14ac:dyDescent="0.25">
      <c r="A197" s="306">
        <f>'A) Base RI'!A199</f>
        <v>5720</v>
      </c>
      <c r="B197" s="33" t="str">
        <f>'A) Base RI'!B199</f>
        <v>Givrins</v>
      </c>
      <c r="C197" s="304">
        <f>'B) D RI'!U199</f>
        <v>67017.929170812597</v>
      </c>
      <c r="D197" s="33">
        <f>'B) D RI'!AR199</f>
        <v>1033</v>
      </c>
      <c r="E197" s="210">
        <f t="shared" si="22"/>
        <v>64.876988548705327</v>
      </c>
      <c r="F197" s="63">
        <f t="shared" si="23"/>
        <v>1.4023560171643141</v>
      </c>
      <c r="G197" s="276">
        <f t="shared" si="24"/>
        <v>9.3615664265321783</v>
      </c>
      <c r="H197" s="276">
        <f t="shared" si="25"/>
        <v>0</v>
      </c>
      <c r="I197" s="276">
        <f t="shared" si="26"/>
        <v>0</v>
      </c>
      <c r="J197" s="276">
        <f t="shared" si="27"/>
        <v>0</v>
      </c>
      <c r="K197" s="277">
        <f t="shared" si="28"/>
        <v>3.370163913551584</v>
      </c>
      <c r="L197" s="58">
        <f>K197*D197*'B) D RI'!S199</f>
        <v>233252.41462081869</v>
      </c>
      <c r="M197" s="472">
        <f>(('B) D RI'!S199*C197)-(L197*$M$4))/'B) D RI'!S199</f>
        <v>65277.239509463201</v>
      </c>
      <c r="N197" s="266">
        <f t="shared" si="29"/>
        <v>63.191906591929524</v>
      </c>
      <c r="O197" s="63">
        <f t="shared" si="30"/>
        <v>1.4022925178050318</v>
      </c>
      <c r="R197" s="12"/>
    </row>
    <row r="198" spans="1:18" x14ac:dyDescent="0.25">
      <c r="A198" s="306">
        <f>'A) Base RI'!A200</f>
        <v>5721</v>
      </c>
      <c r="B198" s="33" t="str">
        <f>'A) Base RI'!B200</f>
        <v>Gland</v>
      </c>
      <c r="C198" s="304">
        <f>'B) D RI'!U200</f>
        <v>654524.19695999997</v>
      </c>
      <c r="D198" s="33">
        <f>'B) D RI'!AR200</f>
        <v>13101</v>
      </c>
      <c r="E198" s="210">
        <f t="shared" ref="E198:E261" si="31">C198/D198</f>
        <v>49.959865427066632</v>
      </c>
      <c r="F198" s="63">
        <f t="shared" ref="F198:F261" si="32">E198/$E$314</f>
        <v>1.0799132244828034</v>
      </c>
      <c r="G198" s="276">
        <f t="shared" ref="G198:G261" si="33">IF(E198-$G$2&lt;0,0,E198-$G$2)</f>
        <v>0</v>
      </c>
      <c r="H198" s="276">
        <f t="shared" ref="H198:H261" si="34">IF(E198-$H$2&lt;0,0,E198-$H$2)</f>
        <v>0</v>
      </c>
      <c r="I198" s="276">
        <f t="shared" ref="I198:I261" si="35">IF(E198-$I$2&lt;0,0,E198-$I$2)</f>
        <v>0</v>
      </c>
      <c r="J198" s="276">
        <f t="shared" ref="J198:J261" si="36">IF(E198-$J$2&lt;0,0,E198-$J$2)</f>
        <v>0</v>
      </c>
      <c r="K198" s="277">
        <f t="shared" ref="K198:K261" si="37">(G198-H198)*$G$3+(H198-I198)*$H$3+(I198-J198)*$I$3+(J198*$J$3)</f>
        <v>0</v>
      </c>
      <c r="L198" s="58">
        <f>K198*D198*'B) D RI'!S200</f>
        <v>0</v>
      </c>
      <c r="M198" s="472">
        <f>(('B) D RI'!S200*C198)-(L198*$M$4))/'B) D RI'!S200</f>
        <v>654524.19695999997</v>
      </c>
      <c r="N198" s="266">
        <f t="shared" ref="N198:N261" si="38">M198/D198</f>
        <v>49.959865427066632</v>
      </c>
      <c r="O198" s="63">
        <f t="shared" ref="O198:O261" si="39">N198/N$314</f>
        <v>1.1086600999607954</v>
      </c>
      <c r="R198" s="12"/>
    </row>
    <row r="199" spans="1:18" x14ac:dyDescent="0.25">
      <c r="A199" s="306">
        <f>'A) Base RI'!A201</f>
        <v>5722</v>
      </c>
      <c r="B199" s="33" t="str">
        <f>'A) Base RI'!B201</f>
        <v>Grens</v>
      </c>
      <c r="C199" s="304">
        <f>'B) D RI'!U201</f>
        <v>22192.311451612903</v>
      </c>
      <c r="D199" s="33">
        <f>'B) D RI'!AR201</f>
        <v>391</v>
      </c>
      <c r="E199" s="210">
        <f t="shared" si="31"/>
        <v>56.757829799521488</v>
      </c>
      <c r="F199" s="63">
        <f t="shared" si="32"/>
        <v>1.2268554062245443</v>
      </c>
      <c r="G199" s="276">
        <f t="shared" si="33"/>
        <v>1.2424076773483392</v>
      </c>
      <c r="H199" s="276">
        <f t="shared" si="34"/>
        <v>0</v>
      </c>
      <c r="I199" s="276">
        <f t="shared" si="35"/>
        <v>0</v>
      </c>
      <c r="J199" s="276">
        <f t="shared" si="36"/>
        <v>0</v>
      </c>
      <c r="K199" s="277">
        <f t="shared" si="37"/>
        <v>0.44726676384540209</v>
      </c>
      <c r="L199" s="58">
        <f>K199*D199*'B) D RI'!S201</f>
        <v>10842.640889140237</v>
      </c>
      <c r="M199" s="472">
        <f>(('B) D RI'!S201*C199)-(L199*$M$4))/'B) D RI'!S201</f>
        <v>22104.870799281129</v>
      </c>
      <c r="N199" s="266">
        <f t="shared" si="38"/>
        <v>56.534196417598793</v>
      </c>
      <c r="O199" s="63">
        <f t="shared" si="39"/>
        <v>1.2545511745430331</v>
      </c>
      <c r="R199" s="12"/>
    </row>
    <row r="200" spans="1:18" x14ac:dyDescent="0.25">
      <c r="A200" s="306">
        <f>'A) Base RI'!A202</f>
        <v>5723</v>
      </c>
      <c r="B200" s="33" t="str">
        <f>'A) Base RI'!B202</f>
        <v>Mies</v>
      </c>
      <c r="C200" s="304">
        <f>'B) D RI'!U202</f>
        <v>510478.2440816327</v>
      </c>
      <c r="D200" s="33">
        <f>'B) D RI'!AR202</f>
        <v>2075</v>
      </c>
      <c r="E200" s="210">
        <f t="shared" si="31"/>
        <v>246.01361160560612</v>
      </c>
      <c r="F200" s="63">
        <f t="shared" si="32"/>
        <v>5.3177355524207819</v>
      </c>
      <c r="G200" s="276">
        <f t="shared" si="33"/>
        <v>190.49818948343295</v>
      </c>
      <c r="H200" s="276">
        <f t="shared" si="34"/>
        <v>176.61933395288969</v>
      </c>
      <c r="I200" s="276">
        <f t="shared" si="35"/>
        <v>153.48790806865088</v>
      </c>
      <c r="J200" s="276">
        <f t="shared" si="36"/>
        <v>107.22505630017324</v>
      </c>
      <c r="K200" s="277">
        <f t="shared" si="37"/>
        <v>112.31257804620725</v>
      </c>
      <c r="L200" s="58">
        <f>K200*D200*'B) D RI'!S202</f>
        <v>11419381.372848121</v>
      </c>
      <c r="M200" s="472">
        <f>(('B) D RI'!S202*C200)-(L200*$M$4))/'B) D RI'!S202</f>
        <v>393953.94435869262</v>
      </c>
      <c r="N200" s="266">
        <f t="shared" si="38"/>
        <v>189.85732258250246</v>
      </c>
      <c r="O200" s="63">
        <f t="shared" si="39"/>
        <v>4.2131266053925556</v>
      </c>
      <c r="R200" s="12"/>
    </row>
    <row r="201" spans="1:18" x14ac:dyDescent="0.25">
      <c r="A201" s="306">
        <f>'A) Base RI'!A203</f>
        <v>5724</v>
      </c>
      <c r="B201" s="33" t="str">
        <f>'A) Base RI'!B203</f>
        <v>Nyon</v>
      </c>
      <c r="C201" s="304">
        <f>'B) D RI'!U203</f>
        <v>1338062.0693190417</v>
      </c>
      <c r="D201" s="33">
        <f>'B) D RI'!AR203</f>
        <v>21239</v>
      </c>
      <c r="E201" s="210">
        <f t="shared" si="31"/>
        <v>63.000238679742061</v>
      </c>
      <c r="F201" s="63">
        <f t="shared" si="32"/>
        <v>1.3617889142465032</v>
      </c>
      <c r="G201" s="276">
        <f t="shared" si="33"/>
        <v>7.4848165575689123</v>
      </c>
      <c r="H201" s="276">
        <f t="shared" si="34"/>
        <v>0</v>
      </c>
      <c r="I201" s="276">
        <f t="shared" si="35"/>
        <v>0</v>
      </c>
      <c r="J201" s="276">
        <f t="shared" si="36"/>
        <v>0</v>
      </c>
      <c r="K201" s="277">
        <f t="shared" si="37"/>
        <v>2.6945339607248084</v>
      </c>
      <c r="L201" s="58">
        <f>K201*D201*'B) D RI'!S203</f>
        <v>3490981.6143018864</v>
      </c>
      <c r="M201" s="472">
        <f>(('B) D RI'!S203*C201)-(L201*$M$4))/'B) D RI'!S203</f>
        <v>1309447.4659231247</v>
      </c>
      <c r="N201" s="266">
        <f t="shared" si="38"/>
        <v>61.652971699379663</v>
      </c>
      <c r="O201" s="63">
        <f t="shared" si="39"/>
        <v>1.3681419912328936</v>
      </c>
      <c r="R201" s="12"/>
    </row>
    <row r="202" spans="1:18" x14ac:dyDescent="0.25">
      <c r="A202" s="306">
        <f>'A) Base RI'!A204</f>
        <v>5725</v>
      </c>
      <c r="B202" s="33" t="str">
        <f>'A) Base RI'!B204</f>
        <v>Prangins</v>
      </c>
      <c r="C202" s="304">
        <f>'B) D RI'!U204</f>
        <v>324834.78298469388</v>
      </c>
      <c r="D202" s="33">
        <f>'B) D RI'!AR204</f>
        <v>4040</v>
      </c>
      <c r="E202" s="210">
        <f t="shared" si="31"/>
        <v>80.404649253637103</v>
      </c>
      <c r="F202" s="63">
        <f t="shared" si="32"/>
        <v>1.7379959552865885</v>
      </c>
      <c r="G202" s="276">
        <f t="shared" si="33"/>
        <v>24.889227131463954</v>
      </c>
      <c r="H202" s="276">
        <f t="shared" si="34"/>
        <v>11.010371600920664</v>
      </c>
      <c r="I202" s="276">
        <f t="shared" si="35"/>
        <v>0</v>
      </c>
      <c r="J202" s="276">
        <f t="shared" si="36"/>
        <v>0</v>
      </c>
      <c r="K202" s="277">
        <f t="shared" si="37"/>
        <v>10.06115892741909</v>
      </c>
      <c r="L202" s="58">
        <f>K202*D202*'B) D RI'!S204</f>
        <v>2276236.5957392948</v>
      </c>
      <c r="M202" s="472">
        <f>(('B) D RI'!S204*C202)-(L202*$M$4))/'B) D RI'!S204</f>
        <v>304511.24195130728</v>
      </c>
      <c r="N202" s="266">
        <f t="shared" si="38"/>
        <v>75.374069789927546</v>
      </c>
      <c r="O202" s="63">
        <f t="shared" si="39"/>
        <v>1.6726270784244479</v>
      </c>
      <c r="R202" s="12"/>
    </row>
    <row r="203" spans="1:18" x14ac:dyDescent="0.25">
      <c r="A203" s="306">
        <f>'A) Base RI'!A205</f>
        <v>5726</v>
      </c>
      <c r="B203" s="33" t="str">
        <f>'A) Base RI'!B205</f>
        <v>La Rippe</v>
      </c>
      <c r="C203" s="304">
        <f>'B) D RI'!U205</f>
        <v>59824.020307692314</v>
      </c>
      <c r="D203" s="33">
        <f>'B) D RI'!AR205</f>
        <v>1161</v>
      </c>
      <c r="E203" s="210">
        <f t="shared" si="31"/>
        <v>51.528010600940839</v>
      </c>
      <c r="F203" s="63">
        <f t="shared" si="32"/>
        <v>1.1138096470752104</v>
      </c>
      <c r="G203" s="276">
        <f t="shared" si="33"/>
        <v>0</v>
      </c>
      <c r="H203" s="276">
        <f t="shared" si="34"/>
        <v>0</v>
      </c>
      <c r="I203" s="276">
        <f t="shared" si="35"/>
        <v>0</v>
      </c>
      <c r="J203" s="276">
        <f t="shared" si="36"/>
        <v>0</v>
      </c>
      <c r="K203" s="277">
        <f t="shared" si="37"/>
        <v>0</v>
      </c>
      <c r="L203" s="58">
        <f>K203*D203*'B) D RI'!S205</f>
        <v>0</v>
      </c>
      <c r="M203" s="472">
        <f>(('B) D RI'!S205*C203)-(L203*$M$4))/'B) D RI'!S205</f>
        <v>59824.020307692314</v>
      </c>
      <c r="N203" s="266">
        <f t="shared" si="38"/>
        <v>51.528010600940839</v>
      </c>
      <c r="O203" s="63">
        <f t="shared" si="39"/>
        <v>1.1434588323104331</v>
      </c>
      <c r="R203" s="12"/>
    </row>
    <row r="204" spans="1:18" x14ac:dyDescent="0.25">
      <c r="A204" s="306">
        <f>'A) Base RI'!A206</f>
        <v>5727</v>
      </c>
      <c r="B204" s="33" t="str">
        <f>'A) Base RI'!B206</f>
        <v>Saint-Cergue</v>
      </c>
      <c r="C204" s="304">
        <f>'B) D RI'!U206</f>
        <v>84748.014494949501</v>
      </c>
      <c r="D204" s="33">
        <f>'B) D RI'!AR206</f>
        <v>2583</v>
      </c>
      <c r="E204" s="210">
        <f t="shared" si="31"/>
        <v>32.809916567924702</v>
      </c>
      <c r="F204" s="63">
        <f t="shared" si="32"/>
        <v>0.7092065299416016</v>
      </c>
      <c r="G204" s="276">
        <f t="shared" si="33"/>
        <v>0</v>
      </c>
      <c r="H204" s="276">
        <f t="shared" si="34"/>
        <v>0</v>
      </c>
      <c r="I204" s="276">
        <f t="shared" si="35"/>
        <v>0</v>
      </c>
      <c r="J204" s="276">
        <f t="shared" si="36"/>
        <v>0</v>
      </c>
      <c r="K204" s="277">
        <f t="shared" si="37"/>
        <v>0</v>
      </c>
      <c r="L204" s="58">
        <f>K204*D204*'B) D RI'!S206</f>
        <v>0</v>
      </c>
      <c r="M204" s="472">
        <f>(('B) D RI'!S206*C204)-(L204*$M$4))/'B) D RI'!S206</f>
        <v>84748.014494949501</v>
      </c>
      <c r="N204" s="266">
        <f t="shared" si="38"/>
        <v>32.809916567924702</v>
      </c>
      <c r="O204" s="63">
        <f t="shared" si="39"/>
        <v>0.72808533551801635</v>
      </c>
      <c r="R204" s="12"/>
    </row>
    <row r="205" spans="1:18" x14ac:dyDescent="0.25">
      <c r="A205" s="306">
        <f>'A) Base RI'!A207</f>
        <v>5728</v>
      </c>
      <c r="B205" s="33" t="str">
        <f>'A) Base RI'!B207</f>
        <v>Signy-Avenex</v>
      </c>
      <c r="C205" s="304">
        <f>'B) D RI'!U207</f>
        <v>44702.007068965519</v>
      </c>
      <c r="D205" s="33">
        <f>'B) D RI'!AR207</f>
        <v>592</v>
      </c>
      <c r="E205" s="210">
        <f t="shared" si="31"/>
        <v>75.510147075955274</v>
      </c>
      <c r="F205" s="63">
        <f t="shared" si="32"/>
        <v>1.6321982798173726</v>
      </c>
      <c r="G205" s="276">
        <f t="shared" si="33"/>
        <v>19.994724953782125</v>
      </c>
      <c r="H205" s="276">
        <f t="shared" si="34"/>
        <v>6.1158694232388342</v>
      </c>
      <c r="I205" s="276">
        <f t="shared" si="35"/>
        <v>0</v>
      </c>
      <c r="J205" s="276">
        <f t="shared" si="36"/>
        <v>0</v>
      </c>
      <c r="K205" s="277">
        <f t="shared" si="37"/>
        <v>7.8096879256854486</v>
      </c>
      <c r="L205" s="58">
        <f>K205*D205*'B) D RI'!S207</f>
        <v>268153.44461633556</v>
      </c>
      <c r="M205" s="472">
        <f>(('B) D RI'!S207*C205)-(L205*$M$4))/'B) D RI'!S207</f>
        <v>42390.339442962628</v>
      </c>
      <c r="N205" s="266">
        <f t="shared" si="38"/>
        <v>71.605303113112541</v>
      </c>
      <c r="O205" s="63">
        <f t="shared" si="39"/>
        <v>1.5889943223125191</v>
      </c>
      <c r="R205" s="12"/>
    </row>
    <row r="206" spans="1:18" x14ac:dyDescent="0.25">
      <c r="A206" s="306">
        <f>'A) Base RI'!A208</f>
        <v>5729</v>
      </c>
      <c r="B206" s="33" t="str">
        <f>'A) Base RI'!B208</f>
        <v>Tannay</v>
      </c>
      <c r="C206" s="304">
        <f>'B) D RI'!U208</f>
        <v>146853.68284153001</v>
      </c>
      <c r="D206" s="33">
        <f>'B) D RI'!AR208</f>
        <v>1593</v>
      </c>
      <c r="E206" s="210">
        <f t="shared" si="31"/>
        <v>92.186869329271815</v>
      </c>
      <c r="F206" s="63">
        <f t="shared" si="32"/>
        <v>1.9926758901639023</v>
      </c>
      <c r="G206" s="276">
        <f t="shared" si="33"/>
        <v>36.671447207098666</v>
      </c>
      <c r="H206" s="276">
        <f t="shared" si="34"/>
        <v>22.792591676555375</v>
      </c>
      <c r="I206" s="276">
        <f t="shared" si="35"/>
        <v>0</v>
      </c>
      <c r="J206" s="276">
        <f t="shared" si="36"/>
        <v>0</v>
      </c>
      <c r="K206" s="277">
        <f t="shared" si="37"/>
        <v>15.480980162211058</v>
      </c>
      <c r="L206" s="58">
        <f>K206*D206*'B) D RI'!S208</f>
        <v>1504333.2853025352</v>
      </c>
      <c r="M206" s="472">
        <f>(('B) D RI'!S208*C206)-(L206*$M$4))/'B) D RI'!S208</f>
        <v>134523.0821423289</v>
      </c>
      <c r="N206" s="266">
        <f t="shared" si="38"/>
        <v>84.446379248166295</v>
      </c>
      <c r="O206" s="63">
        <f t="shared" si="39"/>
        <v>1.8739508294967853</v>
      </c>
      <c r="R206" s="12"/>
    </row>
    <row r="207" spans="1:18" x14ac:dyDescent="0.25">
      <c r="A207" s="306">
        <f>'A) Base RI'!A209</f>
        <v>5730</v>
      </c>
      <c r="B207" s="33" t="str">
        <f>'A) Base RI'!B209</f>
        <v>Trélex</v>
      </c>
      <c r="C207" s="304">
        <f>'B) D RI'!U209</f>
        <v>160027.19017543856</v>
      </c>
      <c r="D207" s="33">
        <f>'B) D RI'!AR209</f>
        <v>1408</v>
      </c>
      <c r="E207" s="210">
        <f t="shared" si="31"/>
        <v>113.65567484051034</v>
      </c>
      <c r="F207" s="63">
        <f t="shared" si="32"/>
        <v>2.4567373280250862</v>
      </c>
      <c r="G207" s="276">
        <f t="shared" si="33"/>
        <v>58.140252718337194</v>
      </c>
      <c r="H207" s="276">
        <f t="shared" si="34"/>
        <v>44.261397187793904</v>
      </c>
      <c r="I207" s="276">
        <f t="shared" si="35"/>
        <v>21.129971303555095</v>
      </c>
      <c r="J207" s="276">
        <f t="shared" si="36"/>
        <v>0</v>
      </c>
      <c r="K207" s="277">
        <f t="shared" si="37"/>
        <v>27.469627827736293</v>
      </c>
      <c r="L207" s="58">
        <f>K207*D207*'B) D RI'!S209</f>
        <v>2204602.4509428041</v>
      </c>
      <c r="M207" s="472">
        <f>(('B) D RI'!S209*C207)-(L207*$M$4))/'B) D RI'!S209</f>
        <v>140688.57218471222</v>
      </c>
      <c r="N207" s="266">
        <f t="shared" si="38"/>
        <v>99.920860926642206</v>
      </c>
      <c r="O207" s="63">
        <f t="shared" si="39"/>
        <v>2.2173452773770648</v>
      </c>
      <c r="R207" s="12"/>
    </row>
    <row r="208" spans="1:18" x14ac:dyDescent="0.25">
      <c r="A208" s="306">
        <f>'A) Base RI'!A210</f>
        <v>5731</v>
      </c>
      <c r="B208" s="33" t="str">
        <f>'A) Base RI'!B210</f>
        <v>Le Vaud</v>
      </c>
      <c r="C208" s="304">
        <f>'B) D RI'!U210</f>
        <v>52834.667955555553</v>
      </c>
      <c r="D208" s="33">
        <f>'B) D RI'!AR210</f>
        <v>1319</v>
      </c>
      <c r="E208" s="210">
        <f t="shared" si="31"/>
        <v>40.05660951899587</v>
      </c>
      <c r="F208" s="63">
        <f t="shared" si="32"/>
        <v>0.8658482559497005</v>
      </c>
      <c r="G208" s="276">
        <f t="shared" si="33"/>
        <v>0</v>
      </c>
      <c r="H208" s="276">
        <f t="shared" si="34"/>
        <v>0</v>
      </c>
      <c r="I208" s="276">
        <f t="shared" si="35"/>
        <v>0</v>
      </c>
      <c r="J208" s="276">
        <f t="shared" si="36"/>
        <v>0</v>
      </c>
      <c r="K208" s="277">
        <f t="shared" si="37"/>
        <v>0</v>
      </c>
      <c r="L208" s="58">
        <f>K208*D208*'B) D RI'!S210</f>
        <v>0</v>
      </c>
      <c r="M208" s="472">
        <f>(('B) D RI'!S210*C208)-(L208*$M$4))/'B) D RI'!S210</f>
        <v>52834.667955555553</v>
      </c>
      <c r="N208" s="266">
        <f t="shared" si="38"/>
        <v>40.05660951899587</v>
      </c>
      <c r="O208" s="63">
        <f t="shared" si="39"/>
        <v>0.88889680414073069</v>
      </c>
      <c r="R208" s="12"/>
    </row>
    <row r="209" spans="1:18" x14ac:dyDescent="0.25">
      <c r="A209" s="306">
        <f>'A) Base RI'!A211</f>
        <v>5732</v>
      </c>
      <c r="B209" s="33" t="str">
        <f>'A) Base RI'!B211</f>
        <v>Vich</v>
      </c>
      <c r="C209" s="304">
        <f>'B) D RI'!U211</f>
        <v>64551.747164179098</v>
      </c>
      <c r="D209" s="33">
        <f>'B) D RI'!AR211</f>
        <v>1039</v>
      </c>
      <c r="E209" s="210">
        <f t="shared" si="31"/>
        <v>62.128726818266699</v>
      </c>
      <c r="F209" s="63">
        <f t="shared" si="32"/>
        <v>1.3429506492420706</v>
      </c>
      <c r="G209" s="276">
        <f t="shared" si="33"/>
        <v>6.6133046960935502</v>
      </c>
      <c r="H209" s="276">
        <f t="shared" si="34"/>
        <v>0</v>
      </c>
      <c r="I209" s="276">
        <f t="shared" si="35"/>
        <v>0</v>
      </c>
      <c r="J209" s="276">
        <f t="shared" si="36"/>
        <v>0</v>
      </c>
      <c r="K209" s="277">
        <f t="shared" si="37"/>
        <v>2.3807896905936778</v>
      </c>
      <c r="L209" s="58">
        <f>K209*D209*'B) D RI'!S211</f>
        <v>165733.91273129769</v>
      </c>
      <c r="M209" s="472">
        <f>(('B) D RI'!S211*C209)-(L209*$M$4))/'B) D RI'!S211</f>
        <v>63314.926919915684</v>
      </c>
      <c r="N209" s="266">
        <f t="shared" si="38"/>
        <v>60.938331972969863</v>
      </c>
      <c r="O209" s="63">
        <f t="shared" si="39"/>
        <v>1.3522834106753847</v>
      </c>
      <c r="R209" s="12"/>
    </row>
    <row r="210" spans="1:18" x14ac:dyDescent="0.25">
      <c r="A210" s="306">
        <f>'A) Base RI'!A212</f>
        <v>5741</v>
      </c>
      <c r="B210" s="33" t="str">
        <f>'A) Base RI'!B212</f>
        <v>L'Abergement</v>
      </c>
      <c r="C210" s="304">
        <f>'B) D RI'!U212</f>
        <v>7464.3302469135806</v>
      </c>
      <c r="D210" s="33">
        <f>'B) D RI'!AR212</f>
        <v>248</v>
      </c>
      <c r="E210" s="210">
        <f t="shared" si="31"/>
        <v>30.098105834328955</v>
      </c>
      <c r="F210" s="63">
        <f t="shared" si="32"/>
        <v>0.65058907273928734</v>
      </c>
      <c r="G210" s="276">
        <f t="shared" si="33"/>
        <v>0</v>
      </c>
      <c r="H210" s="276">
        <f t="shared" si="34"/>
        <v>0</v>
      </c>
      <c r="I210" s="276">
        <f t="shared" si="35"/>
        <v>0</v>
      </c>
      <c r="J210" s="276">
        <f t="shared" si="36"/>
        <v>0</v>
      </c>
      <c r="K210" s="277">
        <f t="shared" si="37"/>
        <v>0</v>
      </c>
      <c r="L210" s="58">
        <f>K210*D210*'B) D RI'!S212</f>
        <v>0</v>
      </c>
      <c r="M210" s="472">
        <f>(('B) D RI'!S212*C210)-(L210*$M$4))/'B) D RI'!S212</f>
        <v>7464.3302469135806</v>
      </c>
      <c r="N210" s="266">
        <f t="shared" si="38"/>
        <v>30.098105834328955</v>
      </c>
      <c r="O210" s="63">
        <f t="shared" si="39"/>
        <v>0.66790750410708133</v>
      </c>
      <c r="R210" s="12"/>
    </row>
    <row r="211" spans="1:18" x14ac:dyDescent="0.25">
      <c r="A211" s="306">
        <f>'A) Base RI'!A213</f>
        <v>5742</v>
      </c>
      <c r="B211" s="33" t="str">
        <f>'A) Base RI'!B213</f>
        <v>Agiez</v>
      </c>
      <c r="C211" s="304">
        <f>'B) D RI'!U213</f>
        <v>9132.5030263157914</v>
      </c>
      <c r="D211" s="33">
        <f>'B) D RI'!AR213</f>
        <v>327</v>
      </c>
      <c r="E211" s="210">
        <f t="shared" si="31"/>
        <v>27.928143811363277</v>
      </c>
      <c r="F211" s="63">
        <f t="shared" si="32"/>
        <v>0.60368400874052541</v>
      </c>
      <c r="G211" s="276">
        <f t="shared" si="33"/>
        <v>0</v>
      </c>
      <c r="H211" s="276">
        <f t="shared" si="34"/>
        <v>0</v>
      </c>
      <c r="I211" s="276">
        <f t="shared" si="35"/>
        <v>0</v>
      </c>
      <c r="J211" s="276">
        <f t="shared" si="36"/>
        <v>0</v>
      </c>
      <c r="K211" s="277">
        <f t="shared" si="37"/>
        <v>0</v>
      </c>
      <c r="L211" s="58">
        <f>K211*D211*'B) D RI'!S213</f>
        <v>0</v>
      </c>
      <c r="M211" s="472">
        <f>(('B) D RI'!S213*C211)-(L211*$M$4))/'B) D RI'!S213</f>
        <v>9132.5030263157914</v>
      </c>
      <c r="N211" s="266">
        <f t="shared" si="38"/>
        <v>27.928143811363277</v>
      </c>
      <c r="O211" s="63">
        <f t="shared" si="39"/>
        <v>0.61975384531061672</v>
      </c>
      <c r="R211" s="12"/>
    </row>
    <row r="212" spans="1:18" x14ac:dyDescent="0.25">
      <c r="A212" s="306">
        <f>'A) Base RI'!A214</f>
        <v>5743</v>
      </c>
      <c r="B212" s="33" t="str">
        <f>'A) Base RI'!B214</f>
        <v>Arnex-sur-Orbe</v>
      </c>
      <c r="C212" s="304">
        <f>'B) D RI'!U214</f>
        <v>18362.90517123288</v>
      </c>
      <c r="D212" s="33">
        <f>'B) D RI'!AR214</f>
        <v>631</v>
      </c>
      <c r="E212" s="210">
        <f t="shared" si="31"/>
        <v>29.101276024140855</v>
      </c>
      <c r="F212" s="63">
        <f t="shared" si="32"/>
        <v>0.62904198318292504</v>
      </c>
      <c r="G212" s="276">
        <f t="shared" si="33"/>
        <v>0</v>
      </c>
      <c r="H212" s="276">
        <f t="shared" si="34"/>
        <v>0</v>
      </c>
      <c r="I212" s="276">
        <f t="shared" si="35"/>
        <v>0</v>
      </c>
      <c r="J212" s="276">
        <f t="shared" si="36"/>
        <v>0</v>
      </c>
      <c r="K212" s="277">
        <f t="shared" si="37"/>
        <v>0</v>
      </c>
      <c r="L212" s="58">
        <f>K212*D212*'B) D RI'!S214</f>
        <v>0</v>
      </c>
      <c r="M212" s="472">
        <f>(('B) D RI'!S214*C212)-(L212*$M$4))/'B) D RI'!S214</f>
        <v>18362.90517123288</v>
      </c>
      <c r="N212" s="266">
        <f t="shared" si="38"/>
        <v>29.101276024140855</v>
      </c>
      <c r="O212" s="63">
        <f t="shared" si="39"/>
        <v>0.64578683929823844</v>
      </c>
      <c r="R212" s="12"/>
    </row>
    <row r="213" spans="1:18" x14ac:dyDescent="0.25">
      <c r="A213" s="306">
        <f>'A) Base RI'!A215</f>
        <v>5744</v>
      </c>
      <c r="B213" s="33" t="str">
        <f>'A) Base RI'!B215</f>
        <v>Ballaigues</v>
      </c>
      <c r="C213" s="304">
        <f>'B) D RI'!U215</f>
        <v>46015.380909090905</v>
      </c>
      <c r="D213" s="33">
        <f>'B) D RI'!AR215</f>
        <v>1075</v>
      </c>
      <c r="E213" s="210">
        <f t="shared" si="31"/>
        <v>42.805005496828748</v>
      </c>
      <c r="F213" s="63">
        <f t="shared" si="32"/>
        <v>0.92525652571195427</v>
      </c>
      <c r="G213" s="276">
        <f t="shared" si="33"/>
        <v>0</v>
      </c>
      <c r="H213" s="276">
        <f t="shared" si="34"/>
        <v>0</v>
      </c>
      <c r="I213" s="276">
        <f t="shared" si="35"/>
        <v>0</v>
      </c>
      <c r="J213" s="276">
        <f t="shared" si="36"/>
        <v>0</v>
      </c>
      <c r="K213" s="277">
        <f t="shared" si="37"/>
        <v>0</v>
      </c>
      <c r="L213" s="58">
        <f>K213*D213*'B) D RI'!S215</f>
        <v>0</v>
      </c>
      <c r="M213" s="472">
        <f>(('B) D RI'!S215*C213)-(L213*$M$4))/'B) D RI'!S215</f>
        <v>46015.380909090905</v>
      </c>
      <c r="N213" s="266">
        <f t="shared" si="38"/>
        <v>42.805005496828748</v>
      </c>
      <c r="O213" s="63">
        <f t="shared" si="39"/>
        <v>0.94988649923837321</v>
      </c>
      <c r="R213" s="12"/>
    </row>
    <row r="214" spans="1:18" x14ac:dyDescent="0.25">
      <c r="A214" s="306">
        <f>'A) Base RI'!A216</f>
        <v>5745</v>
      </c>
      <c r="B214" s="33" t="str">
        <f>'A) Base RI'!B216</f>
        <v>Baulmes</v>
      </c>
      <c r="C214" s="304">
        <f>'B) D RI'!U216</f>
        <v>27038.675769230769</v>
      </c>
      <c r="D214" s="33">
        <f>'B) D RI'!AR216</f>
        <v>1027</v>
      </c>
      <c r="E214" s="210">
        <f t="shared" si="31"/>
        <v>26.327824507527527</v>
      </c>
      <c r="F214" s="63">
        <f t="shared" si="32"/>
        <v>0.56909212253678365</v>
      </c>
      <c r="G214" s="276">
        <f t="shared" si="33"/>
        <v>0</v>
      </c>
      <c r="H214" s="276">
        <f t="shared" si="34"/>
        <v>0</v>
      </c>
      <c r="I214" s="276">
        <f t="shared" si="35"/>
        <v>0</v>
      </c>
      <c r="J214" s="276">
        <f t="shared" si="36"/>
        <v>0</v>
      </c>
      <c r="K214" s="277">
        <f t="shared" si="37"/>
        <v>0</v>
      </c>
      <c r="L214" s="58">
        <f>K214*D214*'B) D RI'!S216</f>
        <v>0</v>
      </c>
      <c r="M214" s="472">
        <f>(('B) D RI'!S216*C214)-(L214*$M$4))/'B) D RI'!S216</f>
        <v>27038.675769230769</v>
      </c>
      <c r="N214" s="266">
        <f t="shared" si="38"/>
        <v>26.327824507527527</v>
      </c>
      <c r="O214" s="63">
        <f t="shared" si="39"/>
        <v>0.58424113637528552</v>
      </c>
      <c r="R214" s="12"/>
    </row>
    <row r="215" spans="1:18" x14ac:dyDescent="0.25">
      <c r="A215" s="306">
        <f>'A) Base RI'!A217</f>
        <v>5746</v>
      </c>
      <c r="B215" s="33" t="str">
        <f>'A) Base RI'!B217</f>
        <v>Bavois</v>
      </c>
      <c r="C215" s="304">
        <f>'B) D RI'!U217</f>
        <v>26753.53392694064</v>
      </c>
      <c r="D215" s="33">
        <f>'B) D RI'!AR217</f>
        <v>942</v>
      </c>
      <c r="E215" s="210">
        <f t="shared" si="31"/>
        <v>28.400779115648238</v>
      </c>
      <c r="F215" s="63">
        <f t="shared" si="32"/>
        <v>0.61390031158865643</v>
      </c>
      <c r="G215" s="276">
        <f t="shared" si="33"/>
        <v>0</v>
      </c>
      <c r="H215" s="276">
        <f t="shared" si="34"/>
        <v>0</v>
      </c>
      <c r="I215" s="276">
        <f t="shared" si="35"/>
        <v>0</v>
      </c>
      <c r="J215" s="276">
        <f t="shared" si="36"/>
        <v>0</v>
      </c>
      <c r="K215" s="277">
        <f t="shared" si="37"/>
        <v>0</v>
      </c>
      <c r="L215" s="58">
        <f>K215*D215*'B) D RI'!S217</f>
        <v>0</v>
      </c>
      <c r="M215" s="472">
        <f>(('B) D RI'!S217*C215)-(L215*$M$4))/'B) D RI'!S217</f>
        <v>26753.53392694064</v>
      </c>
      <c r="N215" s="266">
        <f t="shared" si="38"/>
        <v>28.400779115648238</v>
      </c>
      <c r="O215" s="63">
        <f t="shared" si="39"/>
        <v>0.63024210221872445</v>
      </c>
      <c r="R215" s="12"/>
    </row>
    <row r="216" spans="1:18" x14ac:dyDescent="0.25">
      <c r="A216" s="306">
        <f>'A) Base RI'!A218</f>
        <v>5747</v>
      </c>
      <c r="B216" s="33" t="str">
        <f>'A) Base RI'!B218</f>
        <v>Bofflens</v>
      </c>
      <c r="C216" s="304">
        <f>'B) D RI'!U218</f>
        <v>4985.4308695652171</v>
      </c>
      <c r="D216" s="33">
        <f>'B) D RI'!AR218</f>
        <v>196</v>
      </c>
      <c r="E216" s="210">
        <f t="shared" si="31"/>
        <v>25.435871783496005</v>
      </c>
      <c r="F216" s="63">
        <f t="shared" si="32"/>
        <v>0.54981201571381266</v>
      </c>
      <c r="G216" s="276">
        <f t="shared" si="33"/>
        <v>0</v>
      </c>
      <c r="H216" s="276">
        <f t="shared" si="34"/>
        <v>0</v>
      </c>
      <c r="I216" s="276">
        <f t="shared" si="35"/>
        <v>0</v>
      </c>
      <c r="J216" s="276">
        <f t="shared" si="36"/>
        <v>0</v>
      </c>
      <c r="K216" s="277">
        <f t="shared" si="37"/>
        <v>0</v>
      </c>
      <c r="L216" s="58">
        <f>K216*D216*'B) D RI'!S218</f>
        <v>0</v>
      </c>
      <c r="M216" s="472">
        <f>(('B) D RI'!S218*C216)-(L216*$M$4))/'B) D RI'!S218</f>
        <v>4985.4308695652171</v>
      </c>
      <c r="N216" s="266">
        <f t="shared" si="38"/>
        <v>25.435871783496005</v>
      </c>
      <c r="O216" s="63">
        <f t="shared" si="39"/>
        <v>0.56444780050994603</v>
      </c>
      <c r="R216" s="12"/>
    </row>
    <row r="217" spans="1:18" x14ac:dyDescent="0.25">
      <c r="A217" s="306">
        <f>'A) Base RI'!A219</f>
        <v>5748</v>
      </c>
      <c r="B217" s="33" t="str">
        <f>'A) Base RI'!B219</f>
        <v>Bretonnières</v>
      </c>
      <c r="C217" s="304">
        <f>'B) D RI'!U219</f>
        <v>5553.3427314814826</v>
      </c>
      <c r="D217" s="33">
        <f>'B) D RI'!AR219</f>
        <v>265</v>
      </c>
      <c r="E217" s="210">
        <f t="shared" si="31"/>
        <v>20.956010307477293</v>
      </c>
      <c r="F217" s="63">
        <f t="shared" si="32"/>
        <v>0.45297705408113653</v>
      </c>
      <c r="G217" s="276">
        <f t="shared" si="33"/>
        <v>0</v>
      </c>
      <c r="H217" s="276">
        <f t="shared" si="34"/>
        <v>0</v>
      </c>
      <c r="I217" s="276">
        <f t="shared" si="35"/>
        <v>0</v>
      </c>
      <c r="J217" s="276">
        <f t="shared" si="36"/>
        <v>0</v>
      </c>
      <c r="K217" s="277">
        <f t="shared" si="37"/>
        <v>0</v>
      </c>
      <c r="L217" s="58">
        <f>K217*D217*'B) D RI'!S219</f>
        <v>0</v>
      </c>
      <c r="M217" s="472">
        <f>(('B) D RI'!S219*C217)-(L217*$M$4))/'B) D RI'!S219</f>
        <v>5553.3427314814826</v>
      </c>
      <c r="N217" s="266">
        <f t="shared" si="38"/>
        <v>20.956010307477293</v>
      </c>
      <c r="O217" s="63">
        <f t="shared" si="39"/>
        <v>0.46503512937167157</v>
      </c>
      <c r="R217" s="12"/>
    </row>
    <row r="218" spans="1:18" x14ac:dyDescent="0.25">
      <c r="A218" s="306">
        <f>'A) Base RI'!A220</f>
        <v>5749</v>
      </c>
      <c r="B218" s="33" t="str">
        <f>'A) Base RI'!B220</f>
        <v>Chavornay</v>
      </c>
      <c r="C218" s="304">
        <f>'B) D RI'!U220</f>
        <v>140775.19611111109</v>
      </c>
      <c r="D218" s="33">
        <f>'B) D RI'!AR220</f>
        <v>4996</v>
      </c>
      <c r="E218" s="210">
        <f t="shared" si="31"/>
        <v>28.177581287252018</v>
      </c>
      <c r="F218" s="63">
        <f t="shared" si="32"/>
        <v>0.60907575322564811</v>
      </c>
      <c r="G218" s="276">
        <f t="shared" si="33"/>
        <v>0</v>
      </c>
      <c r="H218" s="276">
        <f t="shared" si="34"/>
        <v>0</v>
      </c>
      <c r="I218" s="276">
        <f t="shared" si="35"/>
        <v>0</v>
      </c>
      <c r="J218" s="276">
        <f t="shared" si="36"/>
        <v>0</v>
      </c>
      <c r="K218" s="277">
        <f t="shared" si="37"/>
        <v>0</v>
      </c>
      <c r="L218" s="58">
        <f>K218*D218*'B) D RI'!S220</f>
        <v>0</v>
      </c>
      <c r="M218" s="472">
        <f>(('B) D RI'!S220*C218)-(L218*$M$4))/'B) D RI'!S220</f>
        <v>140775.19611111109</v>
      </c>
      <c r="N218" s="266">
        <f t="shared" si="38"/>
        <v>28.177581287252018</v>
      </c>
      <c r="O218" s="63">
        <f t="shared" si="39"/>
        <v>0.62528911596414727</v>
      </c>
      <c r="R218" s="12"/>
    </row>
    <row r="219" spans="1:18" x14ac:dyDescent="0.25">
      <c r="A219" s="306">
        <f>'A) Base RI'!A221</f>
        <v>5750</v>
      </c>
      <c r="B219" s="33" t="str">
        <f>'A) Base RI'!B221</f>
        <v>Les Clées</v>
      </c>
      <c r="C219" s="304">
        <f>'B) D RI'!U221</f>
        <v>5155.3168750000004</v>
      </c>
      <c r="D219" s="33">
        <f>'B) D RI'!AR221</f>
        <v>185</v>
      </c>
      <c r="E219" s="210">
        <f t="shared" si="31"/>
        <v>27.866577702702706</v>
      </c>
      <c r="F219" s="63">
        <f t="shared" si="32"/>
        <v>0.60235321942886177</v>
      </c>
      <c r="G219" s="276">
        <f t="shared" si="33"/>
        <v>0</v>
      </c>
      <c r="H219" s="276">
        <f t="shared" si="34"/>
        <v>0</v>
      </c>
      <c r="I219" s="276">
        <f t="shared" si="35"/>
        <v>0</v>
      </c>
      <c r="J219" s="276">
        <f t="shared" si="36"/>
        <v>0</v>
      </c>
      <c r="K219" s="277">
        <f t="shared" si="37"/>
        <v>0</v>
      </c>
      <c r="L219" s="58">
        <f>K219*D219*'B) D RI'!S221</f>
        <v>0</v>
      </c>
      <c r="M219" s="472">
        <f>(('B) D RI'!S221*C219)-(L219*$M$4))/'B) D RI'!S221</f>
        <v>5155.3168750000004</v>
      </c>
      <c r="N219" s="266">
        <f t="shared" si="38"/>
        <v>27.866577702702706</v>
      </c>
      <c r="O219" s="63">
        <f t="shared" si="39"/>
        <v>0.6183876308983407</v>
      </c>
      <c r="R219" s="12"/>
    </row>
    <row r="220" spans="1:18" x14ac:dyDescent="0.25">
      <c r="A220" s="306">
        <f>'A) Base RI'!A222</f>
        <v>5752</v>
      </c>
      <c r="B220" s="33" t="str">
        <f>'A) Base RI'!B222</f>
        <v>Croy</v>
      </c>
      <c r="C220" s="304">
        <f>'B) D RI'!U222</f>
        <v>10753.005424710425</v>
      </c>
      <c r="D220" s="33">
        <f>'B) D RI'!AR222</f>
        <v>404</v>
      </c>
      <c r="E220" s="210">
        <f t="shared" si="31"/>
        <v>26.616350061164418</v>
      </c>
      <c r="F220" s="63">
        <f t="shared" si="32"/>
        <v>0.57532877986782793</v>
      </c>
      <c r="G220" s="276">
        <f t="shared" si="33"/>
        <v>0</v>
      </c>
      <c r="H220" s="276">
        <f t="shared" si="34"/>
        <v>0</v>
      </c>
      <c r="I220" s="276">
        <f t="shared" si="35"/>
        <v>0</v>
      </c>
      <c r="J220" s="276">
        <f t="shared" si="36"/>
        <v>0</v>
      </c>
      <c r="K220" s="277">
        <f t="shared" si="37"/>
        <v>0</v>
      </c>
      <c r="L220" s="58">
        <f>K220*D220*'B) D RI'!S222</f>
        <v>0</v>
      </c>
      <c r="M220" s="472">
        <f>(('B) D RI'!S222*C220)-(L220*$M$4))/'B) D RI'!S222</f>
        <v>10753.005424710425</v>
      </c>
      <c r="N220" s="266">
        <f t="shared" si="38"/>
        <v>26.616350061164418</v>
      </c>
      <c r="O220" s="63">
        <f t="shared" si="39"/>
        <v>0.59064381113035036</v>
      </c>
      <c r="R220" s="12"/>
    </row>
    <row r="221" spans="1:18" x14ac:dyDescent="0.25">
      <c r="A221" s="306">
        <f>'A) Base RI'!A223</f>
        <v>5754</v>
      </c>
      <c r="B221" s="33" t="str">
        <f>'A) Base RI'!B223</f>
        <v>Juriens</v>
      </c>
      <c r="C221" s="304">
        <f>'B) D RI'!U223</f>
        <v>8035.95670886076</v>
      </c>
      <c r="D221" s="33">
        <f>'B) D RI'!AR223</f>
        <v>308</v>
      </c>
      <c r="E221" s="210">
        <f t="shared" si="31"/>
        <v>26.090768535262207</v>
      </c>
      <c r="F221" s="63">
        <f t="shared" si="32"/>
        <v>0.56396801186907852</v>
      </c>
      <c r="G221" s="276">
        <f t="shared" si="33"/>
        <v>0</v>
      </c>
      <c r="H221" s="276">
        <f t="shared" si="34"/>
        <v>0</v>
      </c>
      <c r="I221" s="276">
        <f t="shared" si="35"/>
        <v>0</v>
      </c>
      <c r="J221" s="276">
        <f t="shared" si="36"/>
        <v>0</v>
      </c>
      <c r="K221" s="277">
        <f t="shared" si="37"/>
        <v>0</v>
      </c>
      <c r="L221" s="58">
        <f>K221*D221*'B) D RI'!S223</f>
        <v>0</v>
      </c>
      <c r="M221" s="472">
        <f>(('B) D RI'!S223*C221)-(L221*$M$4))/'B) D RI'!S223</f>
        <v>8035.95670886076</v>
      </c>
      <c r="N221" s="266">
        <f t="shared" si="38"/>
        <v>26.090768535262207</v>
      </c>
      <c r="O221" s="63">
        <f t="shared" si="39"/>
        <v>0.57898062384865268</v>
      </c>
      <c r="R221" s="12"/>
    </row>
    <row r="222" spans="1:18" x14ac:dyDescent="0.25">
      <c r="A222" s="306">
        <f>'A) Base RI'!A224</f>
        <v>5755</v>
      </c>
      <c r="B222" s="33" t="str">
        <f>'A) Base RI'!B224</f>
        <v>Lignerolle</v>
      </c>
      <c r="C222" s="304">
        <f>'B) D RI'!U224</f>
        <v>9584.7876607142862</v>
      </c>
      <c r="D222" s="33">
        <f>'B) D RI'!AR224</f>
        <v>422</v>
      </c>
      <c r="E222" s="210">
        <f t="shared" si="31"/>
        <v>22.712766968517265</v>
      </c>
      <c r="F222" s="63">
        <f t="shared" si="32"/>
        <v>0.49095042999474559</v>
      </c>
      <c r="G222" s="276">
        <f t="shared" si="33"/>
        <v>0</v>
      </c>
      <c r="H222" s="276">
        <f t="shared" si="34"/>
        <v>0</v>
      </c>
      <c r="I222" s="276">
        <f t="shared" si="35"/>
        <v>0</v>
      </c>
      <c r="J222" s="276">
        <f t="shared" si="36"/>
        <v>0</v>
      </c>
      <c r="K222" s="277">
        <f t="shared" si="37"/>
        <v>0</v>
      </c>
      <c r="L222" s="58">
        <f>K222*D222*'B) D RI'!S224</f>
        <v>0</v>
      </c>
      <c r="M222" s="472">
        <f>(('B) D RI'!S224*C222)-(L222*$M$4))/'B) D RI'!S224</f>
        <v>9584.7876607142862</v>
      </c>
      <c r="N222" s="266">
        <f t="shared" si="38"/>
        <v>22.712766968517265</v>
      </c>
      <c r="O222" s="63">
        <f t="shared" si="39"/>
        <v>0.50401934197485843</v>
      </c>
      <c r="R222" s="12"/>
    </row>
    <row r="223" spans="1:18" x14ac:dyDescent="0.25">
      <c r="A223" s="306">
        <f>'A) Base RI'!A225</f>
        <v>5756</v>
      </c>
      <c r="B223" s="33" t="str">
        <f>'A) Base RI'!B225</f>
        <v>Montcherand</v>
      </c>
      <c r="C223" s="304">
        <f>'B) D RI'!U225</f>
        <v>15844.670555555553</v>
      </c>
      <c r="D223" s="33">
        <f>'B) D RI'!AR225</f>
        <v>489</v>
      </c>
      <c r="E223" s="210">
        <f t="shared" si="31"/>
        <v>32.40218927516473</v>
      </c>
      <c r="F223" s="63">
        <f t="shared" si="32"/>
        <v>0.7003932536913513</v>
      </c>
      <c r="G223" s="276">
        <f t="shared" si="33"/>
        <v>0</v>
      </c>
      <c r="H223" s="276">
        <f t="shared" si="34"/>
        <v>0</v>
      </c>
      <c r="I223" s="276">
        <f t="shared" si="35"/>
        <v>0</v>
      </c>
      <c r="J223" s="276">
        <f t="shared" si="36"/>
        <v>0</v>
      </c>
      <c r="K223" s="277">
        <f t="shared" si="37"/>
        <v>0</v>
      </c>
      <c r="L223" s="58">
        <f>K223*D223*'B) D RI'!S225</f>
        <v>0</v>
      </c>
      <c r="M223" s="472">
        <f>(('B) D RI'!S225*C223)-(L223*$M$4))/'B) D RI'!S225</f>
        <v>15844.670555555553</v>
      </c>
      <c r="N223" s="266">
        <f t="shared" si="38"/>
        <v>32.40218927516473</v>
      </c>
      <c r="O223" s="63">
        <f t="shared" si="39"/>
        <v>0.71903745323723023</v>
      </c>
      <c r="R223" s="12"/>
    </row>
    <row r="224" spans="1:18" x14ac:dyDescent="0.25">
      <c r="A224" s="306">
        <f>'A) Base RI'!A226</f>
        <v>5757</v>
      </c>
      <c r="B224" s="33" t="str">
        <f>'A) Base RI'!B226</f>
        <v>Orbe</v>
      </c>
      <c r="C224" s="304">
        <f>'B) D RI'!U226</f>
        <v>227545.70272727273</v>
      </c>
      <c r="D224" s="33">
        <f>'B) D RI'!AR226</f>
        <v>6942</v>
      </c>
      <c r="E224" s="210">
        <f t="shared" si="31"/>
        <v>32.778119090647181</v>
      </c>
      <c r="F224" s="63">
        <f t="shared" si="32"/>
        <v>0.70851920790973355</v>
      </c>
      <c r="G224" s="276">
        <f t="shared" si="33"/>
        <v>0</v>
      </c>
      <c r="H224" s="276">
        <f t="shared" si="34"/>
        <v>0</v>
      </c>
      <c r="I224" s="276">
        <f t="shared" si="35"/>
        <v>0</v>
      </c>
      <c r="J224" s="276">
        <f t="shared" si="36"/>
        <v>0</v>
      </c>
      <c r="K224" s="277">
        <f t="shared" si="37"/>
        <v>0</v>
      </c>
      <c r="L224" s="58">
        <f>K224*D224*'B) D RI'!S226</f>
        <v>0</v>
      </c>
      <c r="M224" s="472">
        <f>(('B) D RI'!S226*C224)-(L224*$M$4))/'B) D RI'!S226</f>
        <v>227545.70272727273</v>
      </c>
      <c r="N224" s="266">
        <f t="shared" si="38"/>
        <v>32.778119090647181</v>
      </c>
      <c r="O224" s="63">
        <f t="shared" si="39"/>
        <v>0.7273797172375096</v>
      </c>
      <c r="R224" s="12"/>
    </row>
    <row r="225" spans="1:18" x14ac:dyDescent="0.25">
      <c r="A225" s="306">
        <f>'A) Base RI'!A227</f>
        <v>5758</v>
      </c>
      <c r="B225" s="33" t="str">
        <f>'A) Base RI'!B227</f>
        <v>La Praz</v>
      </c>
      <c r="C225" s="304">
        <f>'B) D RI'!U227</f>
        <v>4452.397389558233</v>
      </c>
      <c r="D225" s="33">
        <f>'B) D RI'!AR227</f>
        <v>165</v>
      </c>
      <c r="E225" s="210">
        <f t="shared" si="31"/>
        <v>26.984226603383231</v>
      </c>
      <c r="F225" s="63">
        <f t="shared" si="32"/>
        <v>0.58328065763057046</v>
      </c>
      <c r="G225" s="276">
        <f t="shared" si="33"/>
        <v>0</v>
      </c>
      <c r="H225" s="276">
        <f t="shared" si="34"/>
        <v>0</v>
      </c>
      <c r="I225" s="276">
        <f t="shared" si="35"/>
        <v>0</v>
      </c>
      <c r="J225" s="276">
        <f t="shared" si="36"/>
        <v>0</v>
      </c>
      <c r="K225" s="277">
        <f t="shared" si="37"/>
        <v>0</v>
      </c>
      <c r="L225" s="58">
        <f>K225*D225*'B) D RI'!S227</f>
        <v>0</v>
      </c>
      <c r="M225" s="472">
        <f>(('B) D RI'!S227*C225)-(L225*$M$4))/'B) D RI'!S227</f>
        <v>4452.397389558233</v>
      </c>
      <c r="N225" s="266">
        <f t="shared" si="38"/>
        <v>26.984226603383231</v>
      </c>
      <c r="O225" s="63">
        <f t="shared" si="39"/>
        <v>0.59880736482656549</v>
      </c>
      <c r="R225" s="12"/>
    </row>
    <row r="226" spans="1:18" x14ac:dyDescent="0.25">
      <c r="A226" s="306">
        <f>'A) Base RI'!A228</f>
        <v>5759</v>
      </c>
      <c r="B226" s="33" t="str">
        <f>'A) Base RI'!B228</f>
        <v>Premier</v>
      </c>
      <c r="C226" s="304">
        <f>'B) D RI'!U228</f>
        <v>4744.6671604938274</v>
      </c>
      <c r="D226" s="33">
        <f>'B) D RI'!AR228</f>
        <v>213</v>
      </c>
      <c r="E226" s="210">
        <f t="shared" si="31"/>
        <v>22.275432678374777</v>
      </c>
      <c r="F226" s="63">
        <f t="shared" si="32"/>
        <v>0.48149718028305188</v>
      </c>
      <c r="G226" s="276">
        <f t="shared" si="33"/>
        <v>0</v>
      </c>
      <c r="H226" s="276">
        <f t="shared" si="34"/>
        <v>0</v>
      </c>
      <c r="I226" s="276">
        <f t="shared" si="35"/>
        <v>0</v>
      </c>
      <c r="J226" s="276">
        <f t="shared" si="36"/>
        <v>0</v>
      </c>
      <c r="K226" s="277">
        <f t="shared" si="37"/>
        <v>0</v>
      </c>
      <c r="L226" s="58">
        <f>K226*D226*'B) D RI'!S228</f>
        <v>0</v>
      </c>
      <c r="M226" s="472">
        <f>(('B) D RI'!S228*C226)-(L226*$M$4))/'B) D RI'!S228</f>
        <v>4744.6671604938274</v>
      </c>
      <c r="N226" s="266">
        <f t="shared" si="38"/>
        <v>22.275432678374777</v>
      </c>
      <c r="O226" s="63">
        <f t="shared" si="39"/>
        <v>0.49431445038475863</v>
      </c>
      <c r="R226" s="12"/>
    </row>
    <row r="227" spans="1:18" x14ac:dyDescent="0.25">
      <c r="A227" s="306">
        <f>'A) Base RI'!A229</f>
        <v>5760</v>
      </c>
      <c r="B227" s="33" t="str">
        <f>'A) Base RI'!B229</f>
        <v>Rances</v>
      </c>
      <c r="C227" s="304">
        <f>'B) D RI'!U229</f>
        <v>11427.8147008547</v>
      </c>
      <c r="D227" s="33">
        <f>'B) D RI'!AR229</f>
        <v>482</v>
      </c>
      <c r="E227" s="210">
        <f t="shared" si="31"/>
        <v>23.709159130403943</v>
      </c>
      <c r="F227" s="63">
        <f t="shared" si="32"/>
        <v>0.51248805951384913</v>
      </c>
      <c r="G227" s="276">
        <f t="shared" si="33"/>
        <v>0</v>
      </c>
      <c r="H227" s="276">
        <f t="shared" si="34"/>
        <v>0</v>
      </c>
      <c r="I227" s="276">
        <f t="shared" si="35"/>
        <v>0</v>
      </c>
      <c r="J227" s="276">
        <f t="shared" si="36"/>
        <v>0</v>
      </c>
      <c r="K227" s="277">
        <f t="shared" si="37"/>
        <v>0</v>
      </c>
      <c r="L227" s="58">
        <f>K227*D227*'B) D RI'!S229</f>
        <v>0</v>
      </c>
      <c r="M227" s="472">
        <f>(('B) D RI'!S229*C227)-(L227*$M$4))/'B) D RI'!S229</f>
        <v>11427.8147008547</v>
      </c>
      <c r="N227" s="266">
        <f t="shared" si="38"/>
        <v>23.709159130403943</v>
      </c>
      <c r="O227" s="63">
        <f t="shared" si="39"/>
        <v>0.5261302949238823</v>
      </c>
      <c r="R227" s="12"/>
    </row>
    <row r="228" spans="1:18" x14ac:dyDescent="0.25">
      <c r="A228" s="306">
        <f>'A) Base RI'!A230</f>
        <v>5761</v>
      </c>
      <c r="B228" s="33" t="str">
        <f>'A) Base RI'!B230</f>
        <v>Romainmôtier-Envy</v>
      </c>
      <c r="C228" s="304">
        <f>'B) D RI'!U230</f>
        <v>14843.375263748598</v>
      </c>
      <c r="D228" s="33">
        <f>'B) D RI'!AR230</f>
        <v>540</v>
      </c>
      <c r="E228" s="210">
        <f t="shared" si="31"/>
        <v>27.487731969904811</v>
      </c>
      <c r="F228" s="63">
        <f t="shared" si="32"/>
        <v>0.59416423586395251</v>
      </c>
      <c r="G228" s="276">
        <f t="shared" si="33"/>
        <v>0</v>
      </c>
      <c r="H228" s="276">
        <f t="shared" si="34"/>
        <v>0</v>
      </c>
      <c r="I228" s="276">
        <f t="shared" si="35"/>
        <v>0</v>
      </c>
      <c r="J228" s="276">
        <f t="shared" si="36"/>
        <v>0</v>
      </c>
      <c r="K228" s="277">
        <f t="shared" si="37"/>
        <v>0</v>
      </c>
      <c r="L228" s="58">
        <f>K228*D228*'B) D RI'!S230</f>
        <v>0</v>
      </c>
      <c r="M228" s="472">
        <f>(('B) D RI'!S230*C228)-(L228*$M$4))/'B) D RI'!S230</f>
        <v>14843.375263748598</v>
      </c>
      <c r="N228" s="266">
        <f t="shared" si="38"/>
        <v>27.487731969904811</v>
      </c>
      <c r="O228" s="63">
        <f t="shared" si="39"/>
        <v>0.60998065973452553</v>
      </c>
      <c r="R228" s="12"/>
    </row>
    <row r="229" spans="1:18" x14ac:dyDescent="0.25">
      <c r="A229" s="306">
        <f>'A) Base RI'!A231</f>
        <v>5762</v>
      </c>
      <c r="B229" s="33" t="str">
        <f>'A) Base RI'!B231</f>
        <v>Sergey</v>
      </c>
      <c r="C229" s="304">
        <f>'B) D RI'!U231</f>
        <v>3817.1048717948711</v>
      </c>
      <c r="D229" s="33">
        <f>'B) D RI'!AR231</f>
        <v>146</v>
      </c>
      <c r="E229" s="210">
        <f t="shared" si="31"/>
        <v>26.144553916403225</v>
      </c>
      <c r="F229" s="63">
        <f t="shared" si="32"/>
        <v>0.56513061596902003</v>
      </c>
      <c r="G229" s="276">
        <f t="shared" si="33"/>
        <v>0</v>
      </c>
      <c r="H229" s="276">
        <f t="shared" si="34"/>
        <v>0</v>
      </c>
      <c r="I229" s="276">
        <f t="shared" si="35"/>
        <v>0</v>
      </c>
      <c r="J229" s="276">
        <f t="shared" si="36"/>
        <v>0</v>
      </c>
      <c r="K229" s="277">
        <f t="shared" si="37"/>
        <v>0</v>
      </c>
      <c r="L229" s="58">
        <f>K229*D229*'B) D RI'!S231</f>
        <v>0</v>
      </c>
      <c r="M229" s="472">
        <f>(('B) D RI'!S231*C229)-(L229*$M$4))/'B) D RI'!S231</f>
        <v>3817.1048717948711</v>
      </c>
      <c r="N229" s="266">
        <f t="shared" si="38"/>
        <v>26.144553916403225</v>
      </c>
      <c r="O229" s="63">
        <f t="shared" si="39"/>
        <v>0.58017417602343346</v>
      </c>
      <c r="R229" s="12"/>
    </row>
    <row r="230" spans="1:18" x14ac:dyDescent="0.25">
      <c r="A230" s="306">
        <f>'A) Base RI'!A232</f>
        <v>5763</v>
      </c>
      <c r="B230" s="33" t="str">
        <f>'A) Base RI'!B232</f>
        <v>Valeyres-sous-Rances</v>
      </c>
      <c r="C230" s="304">
        <f>'B) D RI'!U232</f>
        <v>21043.479230769233</v>
      </c>
      <c r="D230" s="33">
        <f>'B) D RI'!AR232</f>
        <v>622</v>
      </c>
      <c r="E230" s="210">
        <f t="shared" si="31"/>
        <v>33.831960178085581</v>
      </c>
      <c r="F230" s="63">
        <f t="shared" si="32"/>
        <v>0.73129863129487949</v>
      </c>
      <c r="G230" s="276">
        <f t="shared" si="33"/>
        <v>0</v>
      </c>
      <c r="H230" s="276">
        <f t="shared" si="34"/>
        <v>0</v>
      </c>
      <c r="I230" s="276">
        <f t="shared" si="35"/>
        <v>0</v>
      </c>
      <c r="J230" s="276">
        <f t="shared" si="36"/>
        <v>0</v>
      </c>
      <c r="K230" s="277">
        <f t="shared" si="37"/>
        <v>0</v>
      </c>
      <c r="L230" s="58">
        <f>K230*D230*'B) D RI'!S232</f>
        <v>0</v>
      </c>
      <c r="M230" s="472">
        <f>(('B) D RI'!S232*C230)-(L230*$M$4))/'B) D RI'!S232</f>
        <v>21043.479230769233</v>
      </c>
      <c r="N230" s="266">
        <f t="shared" si="38"/>
        <v>33.831960178085581</v>
      </c>
      <c r="O230" s="63">
        <f t="shared" si="39"/>
        <v>0.75076552012858933</v>
      </c>
      <c r="R230" s="12"/>
    </row>
    <row r="231" spans="1:18" x14ac:dyDescent="0.25">
      <c r="A231" s="306">
        <f>'A) Base RI'!A233</f>
        <v>5764</v>
      </c>
      <c r="B231" s="33" t="str">
        <f>'A) Base RI'!B233</f>
        <v>Vallorbe</v>
      </c>
      <c r="C231" s="304">
        <f>'B) D RI'!U233</f>
        <v>86289.103835616435</v>
      </c>
      <c r="D231" s="33">
        <f>'B) D RI'!AR233</f>
        <v>3852</v>
      </c>
      <c r="E231" s="210">
        <f t="shared" si="31"/>
        <v>22.401117298965843</v>
      </c>
      <c r="F231" s="63">
        <f t="shared" si="32"/>
        <v>0.48421393067319335</v>
      </c>
      <c r="G231" s="276">
        <f t="shared" si="33"/>
        <v>0</v>
      </c>
      <c r="H231" s="276">
        <f t="shared" si="34"/>
        <v>0</v>
      </c>
      <c r="I231" s="276">
        <f t="shared" si="35"/>
        <v>0</v>
      </c>
      <c r="J231" s="276">
        <f t="shared" si="36"/>
        <v>0</v>
      </c>
      <c r="K231" s="277">
        <f t="shared" si="37"/>
        <v>0</v>
      </c>
      <c r="L231" s="58">
        <f>K231*D231*'B) D RI'!S233</f>
        <v>0</v>
      </c>
      <c r="M231" s="472">
        <f>(('B) D RI'!S233*C231)-(L231*$M$4))/'B) D RI'!S233</f>
        <v>86289.103835616435</v>
      </c>
      <c r="N231" s="266">
        <f t="shared" si="38"/>
        <v>22.401117298965843</v>
      </c>
      <c r="O231" s="63">
        <f t="shared" si="39"/>
        <v>0.49710351962737787</v>
      </c>
      <c r="R231" s="12"/>
    </row>
    <row r="232" spans="1:18" x14ac:dyDescent="0.25">
      <c r="A232" s="306">
        <f>'A) Base RI'!A234</f>
        <v>5765</v>
      </c>
      <c r="B232" s="33" t="str">
        <f>'A) Base RI'!B234</f>
        <v>Vaulion</v>
      </c>
      <c r="C232" s="304">
        <f>'B) D RI'!U234</f>
        <v>9839.660864197529</v>
      </c>
      <c r="D232" s="33">
        <f>'B) D RI'!AR234</f>
        <v>469</v>
      </c>
      <c r="E232" s="210">
        <f t="shared" si="31"/>
        <v>20.980087130485135</v>
      </c>
      <c r="F232" s="63">
        <f t="shared" si="32"/>
        <v>0.45349748942153312</v>
      </c>
      <c r="G232" s="276">
        <f t="shared" si="33"/>
        <v>0</v>
      </c>
      <c r="H232" s="276">
        <f t="shared" si="34"/>
        <v>0</v>
      </c>
      <c r="I232" s="276">
        <f t="shared" si="35"/>
        <v>0</v>
      </c>
      <c r="J232" s="276">
        <f t="shared" si="36"/>
        <v>0</v>
      </c>
      <c r="K232" s="277">
        <f t="shared" si="37"/>
        <v>0</v>
      </c>
      <c r="L232" s="58">
        <f>K232*D232*'B) D RI'!S234</f>
        <v>0</v>
      </c>
      <c r="M232" s="472">
        <f>(('B) D RI'!S234*C232)-(L232*$M$4))/'B) D RI'!S234</f>
        <v>9839.660864197529</v>
      </c>
      <c r="N232" s="266">
        <f t="shared" si="38"/>
        <v>20.980087130485135</v>
      </c>
      <c r="O232" s="63">
        <f t="shared" si="39"/>
        <v>0.46556941850104444</v>
      </c>
      <c r="R232" s="12"/>
    </row>
    <row r="233" spans="1:18" x14ac:dyDescent="0.25">
      <c r="A233" s="306">
        <f>'A) Base RI'!A235</f>
        <v>5766</v>
      </c>
      <c r="B233" s="33" t="str">
        <f>'A) Base RI'!B235</f>
        <v>Vuiteboeuf</v>
      </c>
      <c r="C233" s="304">
        <f>'B) D RI'!U235</f>
        <v>13336.017235621519</v>
      </c>
      <c r="D233" s="33">
        <f>'B) D RI'!AR235</f>
        <v>584</v>
      </c>
      <c r="E233" s="210">
        <f t="shared" si="31"/>
        <v>22.835645951406711</v>
      </c>
      <c r="F233" s="63">
        <f t="shared" si="32"/>
        <v>0.49360653480005229</v>
      </c>
      <c r="G233" s="276">
        <f t="shared" si="33"/>
        <v>0</v>
      </c>
      <c r="H233" s="276">
        <f t="shared" si="34"/>
        <v>0</v>
      </c>
      <c r="I233" s="276">
        <f t="shared" si="35"/>
        <v>0</v>
      </c>
      <c r="J233" s="276">
        <f t="shared" si="36"/>
        <v>0</v>
      </c>
      <c r="K233" s="277">
        <f t="shared" si="37"/>
        <v>0</v>
      </c>
      <c r="L233" s="58">
        <f>K233*D233*'B) D RI'!S235</f>
        <v>0</v>
      </c>
      <c r="M233" s="472">
        <f>(('B) D RI'!S235*C233)-(L233*$M$4))/'B) D RI'!S235</f>
        <v>13336.017235621519</v>
      </c>
      <c r="N233" s="266">
        <f t="shared" si="38"/>
        <v>22.835645951406711</v>
      </c>
      <c r="O233" s="63">
        <f t="shared" si="39"/>
        <v>0.5067461512704553</v>
      </c>
      <c r="R233" s="12"/>
    </row>
    <row r="234" spans="1:18" x14ac:dyDescent="0.25">
      <c r="A234" s="306">
        <f>'A) Base RI'!A236</f>
        <v>5785</v>
      </c>
      <c r="B234" s="33" t="str">
        <f>'A) Base RI'!B236</f>
        <v>Corcelles-le-Jorat</v>
      </c>
      <c r="C234" s="304">
        <f>'B) D RI'!U236</f>
        <v>15649.981168831173</v>
      </c>
      <c r="D234" s="33">
        <f>'B) D RI'!AR236</f>
        <v>445</v>
      </c>
      <c r="E234" s="210">
        <f t="shared" si="31"/>
        <v>35.168497008609378</v>
      </c>
      <c r="F234" s="63">
        <f t="shared" si="32"/>
        <v>0.76018869706973691</v>
      </c>
      <c r="G234" s="276">
        <f t="shared" si="33"/>
        <v>0</v>
      </c>
      <c r="H234" s="276">
        <f t="shared" si="34"/>
        <v>0</v>
      </c>
      <c r="I234" s="276">
        <f t="shared" si="35"/>
        <v>0</v>
      </c>
      <c r="J234" s="276">
        <f t="shared" si="36"/>
        <v>0</v>
      </c>
      <c r="K234" s="277">
        <f t="shared" si="37"/>
        <v>0</v>
      </c>
      <c r="L234" s="58">
        <f>K234*D234*'B) D RI'!S236</f>
        <v>0</v>
      </c>
      <c r="M234" s="472">
        <f>(('B) D RI'!S236*C234)-(L234*$M$4))/'B) D RI'!S236</f>
        <v>15649.981168831173</v>
      </c>
      <c r="N234" s="266">
        <f t="shared" si="38"/>
        <v>35.168497008609378</v>
      </c>
      <c r="O234" s="63">
        <f t="shared" si="39"/>
        <v>0.78042462836403759</v>
      </c>
      <c r="R234" s="12"/>
    </row>
    <row r="235" spans="1:18" x14ac:dyDescent="0.25">
      <c r="A235" s="306">
        <f>'A) Base RI'!A237</f>
        <v>5788</v>
      </c>
      <c r="B235" s="33" t="str">
        <f>'A) Base RI'!B237</f>
        <v>Essertes</v>
      </c>
      <c r="C235" s="304">
        <f>'B) D RI'!U237</f>
        <v>11949.454583333332</v>
      </c>
      <c r="D235" s="33">
        <f>'B) D RI'!AR237</f>
        <v>374</v>
      </c>
      <c r="E235" s="210">
        <f t="shared" si="31"/>
        <v>31.950413324420676</v>
      </c>
      <c r="F235" s="63">
        <f t="shared" si="32"/>
        <v>0.69062783860183274</v>
      </c>
      <c r="G235" s="276">
        <f t="shared" si="33"/>
        <v>0</v>
      </c>
      <c r="H235" s="276">
        <f t="shared" si="34"/>
        <v>0</v>
      </c>
      <c r="I235" s="276">
        <f t="shared" si="35"/>
        <v>0</v>
      </c>
      <c r="J235" s="276">
        <f t="shared" si="36"/>
        <v>0</v>
      </c>
      <c r="K235" s="277">
        <f t="shared" si="37"/>
        <v>0</v>
      </c>
      <c r="L235" s="58">
        <f>K235*D235*'B) D RI'!S237</f>
        <v>0</v>
      </c>
      <c r="M235" s="472">
        <f>(('B) D RI'!S237*C235)-(L235*$M$4))/'B) D RI'!S237</f>
        <v>11949.454583333332</v>
      </c>
      <c r="N235" s="266">
        <f t="shared" si="38"/>
        <v>31.950413324420676</v>
      </c>
      <c r="O235" s="63">
        <f t="shared" si="39"/>
        <v>0.70901208654678216</v>
      </c>
      <c r="R235" s="12"/>
    </row>
    <row r="236" spans="1:18" x14ac:dyDescent="0.25">
      <c r="A236" s="306">
        <f>'A) Base RI'!A238</f>
        <v>5790</v>
      </c>
      <c r="B236" s="33" t="str">
        <f>'A) Base RI'!B238</f>
        <v>Maracon</v>
      </c>
      <c r="C236" s="304">
        <f>'B) D RI'!U238</f>
        <v>13289.151710526314</v>
      </c>
      <c r="D236" s="33">
        <f>'B) D RI'!AR238</f>
        <v>492</v>
      </c>
      <c r="E236" s="210">
        <f t="shared" si="31"/>
        <v>27.010470956354297</v>
      </c>
      <c r="F236" s="63">
        <f t="shared" si="32"/>
        <v>0.58384794546449836</v>
      </c>
      <c r="G236" s="276">
        <f t="shared" si="33"/>
        <v>0</v>
      </c>
      <c r="H236" s="276">
        <f t="shared" si="34"/>
        <v>0</v>
      </c>
      <c r="I236" s="276">
        <f t="shared" si="35"/>
        <v>0</v>
      </c>
      <c r="J236" s="276">
        <f t="shared" si="36"/>
        <v>0</v>
      </c>
      <c r="K236" s="277">
        <f t="shared" si="37"/>
        <v>0</v>
      </c>
      <c r="L236" s="58">
        <f>K236*D236*'B) D RI'!S238</f>
        <v>0</v>
      </c>
      <c r="M236" s="472">
        <f>(('B) D RI'!S238*C236)-(L236*$M$4))/'B) D RI'!S238</f>
        <v>13289.151710526314</v>
      </c>
      <c r="N236" s="266">
        <f t="shared" si="38"/>
        <v>27.010470956354297</v>
      </c>
      <c r="O236" s="63">
        <f t="shared" si="39"/>
        <v>0.5993897536448618</v>
      </c>
      <c r="R236" s="12"/>
    </row>
    <row r="237" spans="1:18" x14ac:dyDescent="0.25">
      <c r="A237" s="306">
        <f>'A) Base RI'!A239</f>
        <v>5792</v>
      </c>
      <c r="B237" s="33" t="str">
        <f>'A) Base RI'!B239</f>
        <v>Montpreveyres</v>
      </c>
      <c r="C237" s="304">
        <f>'B) D RI'!U239</f>
        <v>18753.372987012986</v>
      </c>
      <c r="D237" s="33">
        <f>'B) D RI'!AR239</f>
        <v>643</v>
      </c>
      <c r="E237" s="210">
        <f t="shared" si="31"/>
        <v>29.165432328169498</v>
      </c>
      <c r="F237" s="63">
        <f t="shared" si="32"/>
        <v>0.63042876116085245</v>
      </c>
      <c r="G237" s="276">
        <f t="shared" si="33"/>
        <v>0</v>
      </c>
      <c r="H237" s="276">
        <f t="shared" si="34"/>
        <v>0</v>
      </c>
      <c r="I237" s="276">
        <f t="shared" si="35"/>
        <v>0</v>
      </c>
      <c r="J237" s="276">
        <f t="shared" si="36"/>
        <v>0</v>
      </c>
      <c r="K237" s="277">
        <f t="shared" si="37"/>
        <v>0</v>
      </c>
      <c r="L237" s="58">
        <f>K237*D237*'B) D RI'!S239</f>
        <v>0</v>
      </c>
      <c r="M237" s="472">
        <f>(('B) D RI'!S239*C237)-(L237*$M$4))/'B) D RI'!S239</f>
        <v>18753.372987012986</v>
      </c>
      <c r="N237" s="266">
        <f t="shared" si="38"/>
        <v>29.165432328169498</v>
      </c>
      <c r="O237" s="63">
        <f t="shared" si="39"/>
        <v>0.64721053277358109</v>
      </c>
      <c r="R237" s="12"/>
    </row>
    <row r="238" spans="1:18" x14ac:dyDescent="0.25">
      <c r="A238" s="306">
        <f>'A) Base RI'!A240</f>
        <v>5798</v>
      </c>
      <c r="B238" s="33" t="str">
        <f>'A) Base RI'!B240</f>
        <v>Ropraz</v>
      </c>
      <c r="C238" s="304">
        <f>'B) D RI'!U240</f>
        <v>13764.738967741932</v>
      </c>
      <c r="D238" s="33">
        <f>'B) D RI'!AR240</f>
        <v>494</v>
      </c>
      <c r="E238" s="210">
        <f t="shared" si="31"/>
        <v>27.863844064254923</v>
      </c>
      <c r="F238" s="63">
        <f t="shared" si="32"/>
        <v>0.60229413015218969</v>
      </c>
      <c r="G238" s="276">
        <f t="shared" si="33"/>
        <v>0</v>
      </c>
      <c r="H238" s="276">
        <f t="shared" si="34"/>
        <v>0</v>
      </c>
      <c r="I238" s="276">
        <f t="shared" si="35"/>
        <v>0</v>
      </c>
      <c r="J238" s="276">
        <f t="shared" si="36"/>
        <v>0</v>
      </c>
      <c r="K238" s="277">
        <f t="shared" si="37"/>
        <v>0</v>
      </c>
      <c r="L238" s="58">
        <f>K238*D238*'B) D RI'!S240</f>
        <v>0</v>
      </c>
      <c r="M238" s="472">
        <f>(('B) D RI'!S240*C238)-(L238*$M$4))/'B) D RI'!S240</f>
        <v>13764.738967741932</v>
      </c>
      <c r="N238" s="266">
        <f t="shared" si="38"/>
        <v>27.863844064254923</v>
      </c>
      <c r="O238" s="63">
        <f t="shared" si="39"/>
        <v>0.6183269686878069</v>
      </c>
      <c r="R238" s="12"/>
    </row>
    <row r="239" spans="1:18" x14ac:dyDescent="0.25">
      <c r="A239" s="306">
        <f>'A) Base RI'!A241</f>
        <v>5799</v>
      </c>
      <c r="B239" s="33" t="str">
        <f>'A) Base RI'!B241</f>
        <v>Servion</v>
      </c>
      <c r="C239" s="304">
        <f>'B) D RI'!U241</f>
        <v>69335.991449275345</v>
      </c>
      <c r="D239" s="33">
        <f>'B) D RI'!AR241</f>
        <v>1942</v>
      </c>
      <c r="E239" s="210">
        <f t="shared" si="31"/>
        <v>35.703394155136635</v>
      </c>
      <c r="F239" s="63">
        <f t="shared" si="32"/>
        <v>0.77175082793888761</v>
      </c>
      <c r="G239" s="276">
        <f t="shared" si="33"/>
        <v>0</v>
      </c>
      <c r="H239" s="276">
        <f t="shared" si="34"/>
        <v>0</v>
      </c>
      <c r="I239" s="276">
        <f t="shared" si="35"/>
        <v>0</v>
      </c>
      <c r="J239" s="276">
        <f t="shared" si="36"/>
        <v>0</v>
      </c>
      <c r="K239" s="277">
        <f t="shared" si="37"/>
        <v>0</v>
      </c>
      <c r="L239" s="58">
        <f>K239*D239*'B) D RI'!S241</f>
        <v>0</v>
      </c>
      <c r="M239" s="472">
        <f>(('B) D RI'!S241*C239)-(L239*$M$4))/'B) D RI'!S241</f>
        <v>69335.991449275345</v>
      </c>
      <c r="N239" s="266">
        <f t="shared" si="38"/>
        <v>35.703394155136635</v>
      </c>
      <c r="O239" s="63">
        <f t="shared" si="39"/>
        <v>0.79229453871844724</v>
      </c>
      <c r="R239" s="12"/>
    </row>
    <row r="240" spans="1:18" x14ac:dyDescent="0.25">
      <c r="A240" s="306">
        <f>'A) Base RI'!A242</f>
        <v>5803</v>
      </c>
      <c r="B240" s="33" t="str">
        <f>'A) Base RI'!B242</f>
        <v>Vulliens</v>
      </c>
      <c r="C240" s="304">
        <f>'B) D RI'!U242</f>
        <v>16619.681923076922</v>
      </c>
      <c r="D240" s="33">
        <f>'B) D RI'!AR242</f>
        <v>595</v>
      </c>
      <c r="E240" s="210">
        <f t="shared" si="31"/>
        <v>27.932238526179699</v>
      </c>
      <c r="F240" s="63">
        <f t="shared" si="32"/>
        <v>0.60377251852018432</v>
      </c>
      <c r="G240" s="276">
        <f t="shared" si="33"/>
        <v>0</v>
      </c>
      <c r="H240" s="276">
        <f t="shared" si="34"/>
        <v>0</v>
      </c>
      <c r="I240" s="276">
        <f t="shared" si="35"/>
        <v>0</v>
      </c>
      <c r="J240" s="276">
        <f t="shared" si="36"/>
        <v>0</v>
      </c>
      <c r="K240" s="277">
        <f t="shared" si="37"/>
        <v>0</v>
      </c>
      <c r="L240" s="58">
        <f>K240*D240*'B) D RI'!S242</f>
        <v>0</v>
      </c>
      <c r="M240" s="472">
        <f>(('B) D RI'!S242*C240)-(L240*$M$4))/'B) D RI'!S242</f>
        <v>16619.681923076922</v>
      </c>
      <c r="N240" s="266">
        <f t="shared" si="38"/>
        <v>27.932238526179699</v>
      </c>
      <c r="O240" s="63">
        <f t="shared" si="39"/>
        <v>0.61984471118663298</v>
      </c>
      <c r="R240" s="12"/>
    </row>
    <row r="241" spans="1:18" x14ac:dyDescent="0.25">
      <c r="A241" s="306">
        <f>'A) Base RI'!A243</f>
        <v>5804</v>
      </c>
      <c r="B241" s="33" t="str">
        <f>'A) Base RI'!B243</f>
        <v>Jorat-Menthue</v>
      </c>
      <c r="C241" s="304">
        <f>'B) D RI'!U243</f>
        <v>47559.531944444454</v>
      </c>
      <c r="D241" s="33">
        <f>'B) D RI'!AR243</f>
        <v>1586</v>
      </c>
      <c r="E241" s="210">
        <f t="shared" si="31"/>
        <v>29.987094542524876</v>
      </c>
      <c r="F241" s="63">
        <f t="shared" si="32"/>
        <v>0.64818949537731152</v>
      </c>
      <c r="G241" s="276">
        <f t="shared" si="33"/>
        <v>0</v>
      </c>
      <c r="H241" s="276">
        <f t="shared" si="34"/>
        <v>0</v>
      </c>
      <c r="I241" s="276">
        <f t="shared" si="35"/>
        <v>0</v>
      </c>
      <c r="J241" s="276">
        <f t="shared" si="36"/>
        <v>0</v>
      </c>
      <c r="K241" s="277">
        <f t="shared" si="37"/>
        <v>0</v>
      </c>
      <c r="L241" s="58">
        <f>K241*D241*'B) D RI'!S243</f>
        <v>0</v>
      </c>
      <c r="M241" s="472">
        <f>(('B) D RI'!S243*C241)-(L241*$M$4))/'B) D RI'!S243</f>
        <v>47559.531944444454</v>
      </c>
      <c r="N241" s="266">
        <f t="shared" si="38"/>
        <v>29.987094542524876</v>
      </c>
      <c r="O241" s="63">
        <f t="shared" si="39"/>
        <v>0.66544405091688097</v>
      </c>
      <c r="R241" s="12"/>
    </row>
    <row r="242" spans="1:18" x14ac:dyDescent="0.25">
      <c r="A242" s="306">
        <f>'A) Base RI'!A244</f>
        <v>5805</v>
      </c>
      <c r="B242" s="33" t="str">
        <f>'A) Base RI'!B244</f>
        <v>Oron</v>
      </c>
      <c r="C242" s="304">
        <f>'B) D RI'!U244</f>
        <v>157344.05109354414</v>
      </c>
      <c r="D242" s="33">
        <f>'B) D RI'!AR244</f>
        <v>5501</v>
      </c>
      <c r="E242" s="210">
        <f t="shared" si="31"/>
        <v>28.6028087790482</v>
      </c>
      <c r="F242" s="63">
        <f t="shared" si="32"/>
        <v>0.61826730704347665</v>
      </c>
      <c r="G242" s="276">
        <f t="shared" si="33"/>
        <v>0</v>
      </c>
      <c r="H242" s="276">
        <f t="shared" si="34"/>
        <v>0</v>
      </c>
      <c r="I242" s="276">
        <f t="shared" si="35"/>
        <v>0</v>
      </c>
      <c r="J242" s="276">
        <f t="shared" si="36"/>
        <v>0</v>
      </c>
      <c r="K242" s="277">
        <f t="shared" si="37"/>
        <v>0</v>
      </c>
      <c r="L242" s="58">
        <f>K242*D242*'B) D RI'!S244</f>
        <v>0</v>
      </c>
      <c r="M242" s="472">
        <f>(('B) D RI'!S244*C242)-(L242*$M$4))/'B) D RI'!S244</f>
        <v>157344.05109354414</v>
      </c>
      <c r="N242" s="266">
        <f t="shared" si="38"/>
        <v>28.6028087790482</v>
      </c>
      <c r="O242" s="63">
        <f t="shared" si="39"/>
        <v>0.63472534541614711</v>
      </c>
      <c r="R242" s="12"/>
    </row>
    <row r="243" spans="1:18" x14ac:dyDescent="0.25">
      <c r="A243" s="306">
        <f>'A) Base RI'!A245</f>
        <v>5806</v>
      </c>
      <c r="B243" s="33" t="str">
        <f>'A) Base RI'!B245</f>
        <v>Jorat-Mézières</v>
      </c>
      <c r="C243" s="304">
        <f>'B) D RI'!U245</f>
        <v>90571.355131578952</v>
      </c>
      <c r="D243" s="33">
        <f>'B) D RI'!AR245</f>
        <v>2869</v>
      </c>
      <c r="E243" s="210">
        <f t="shared" si="31"/>
        <v>31.568963099190992</v>
      </c>
      <c r="F243" s="63">
        <f t="shared" si="32"/>
        <v>0.68238255733083253</v>
      </c>
      <c r="G243" s="276">
        <f t="shared" si="33"/>
        <v>0</v>
      </c>
      <c r="H243" s="276">
        <f t="shared" si="34"/>
        <v>0</v>
      </c>
      <c r="I243" s="276">
        <f t="shared" si="35"/>
        <v>0</v>
      </c>
      <c r="J243" s="276">
        <f t="shared" si="36"/>
        <v>0</v>
      </c>
      <c r="K243" s="277">
        <f t="shared" si="37"/>
        <v>0</v>
      </c>
      <c r="L243" s="58">
        <f>K243*D243*'B) D RI'!S245</f>
        <v>0</v>
      </c>
      <c r="M243" s="472">
        <f>(('B) D RI'!S245*C243)-(L243*$M$4))/'B) D RI'!S245</f>
        <v>90571.355131578952</v>
      </c>
      <c r="N243" s="266">
        <f t="shared" si="38"/>
        <v>31.568963099190992</v>
      </c>
      <c r="O243" s="63">
        <f t="shared" si="39"/>
        <v>0.7005473190535515</v>
      </c>
      <c r="R243" s="12"/>
    </row>
    <row r="244" spans="1:18" x14ac:dyDescent="0.25">
      <c r="A244" s="306">
        <f>'A) Base RI'!A246</f>
        <v>5812</v>
      </c>
      <c r="B244" s="33" t="str">
        <f>'A) Base RI'!B246</f>
        <v>Champtauroz</v>
      </c>
      <c r="C244" s="304">
        <f>'B) D RI'!U246</f>
        <v>2425.1270779220786</v>
      </c>
      <c r="D244" s="33">
        <f>'B) D RI'!AR246</f>
        <v>122</v>
      </c>
      <c r="E244" s="210">
        <f t="shared" si="31"/>
        <v>19.878090802639989</v>
      </c>
      <c r="F244" s="63">
        <f t="shared" si="32"/>
        <v>0.42967716089185043</v>
      </c>
      <c r="G244" s="276">
        <f t="shared" si="33"/>
        <v>0</v>
      </c>
      <c r="H244" s="276">
        <f t="shared" si="34"/>
        <v>0</v>
      </c>
      <c r="I244" s="276">
        <f t="shared" si="35"/>
        <v>0</v>
      </c>
      <c r="J244" s="276">
        <f t="shared" si="36"/>
        <v>0</v>
      </c>
      <c r="K244" s="277">
        <f t="shared" si="37"/>
        <v>0</v>
      </c>
      <c r="L244" s="58">
        <f>K244*D244*'B) D RI'!S246</f>
        <v>0</v>
      </c>
      <c r="M244" s="472">
        <f>(('B) D RI'!S246*C244)-(L244*$M$4))/'B) D RI'!S246</f>
        <v>2425.1270779220786</v>
      </c>
      <c r="N244" s="266">
        <f t="shared" si="38"/>
        <v>19.878090802639989</v>
      </c>
      <c r="O244" s="63">
        <f t="shared" si="39"/>
        <v>0.44111500197006376</v>
      </c>
      <c r="R244" s="12"/>
    </row>
    <row r="245" spans="1:18" x14ac:dyDescent="0.25">
      <c r="A245" s="306">
        <f>'A) Base RI'!A247</f>
        <v>5813</v>
      </c>
      <c r="B245" s="33" t="str">
        <f>'A) Base RI'!B247</f>
        <v>Chevroux</v>
      </c>
      <c r="C245" s="304">
        <f>'B) D RI'!U247</f>
        <v>13114.094904761907</v>
      </c>
      <c r="D245" s="33">
        <f>'B) D RI'!AR247</f>
        <v>480</v>
      </c>
      <c r="E245" s="210">
        <f t="shared" si="31"/>
        <v>27.321031051587305</v>
      </c>
      <c r="F245" s="63">
        <f t="shared" si="32"/>
        <v>0.59056089296689629</v>
      </c>
      <c r="G245" s="276">
        <f t="shared" si="33"/>
        <v>0</v>
      </c>
      <c r="H245" s="276">
        <f t="shared" si="34"/>
        <v>0</v>
      </c>
      <c r="I245" s="276">
        <f t="shared" si="35"/>
        <v>0</v>
      </c>
      <c r="J245" s="276">
        <f t="shared" si="36"/>
        <v>0</v>
      </c>
      <c r="K245" s="277">
        <f t="shared" si="37"/>
        <v>0</v>
      </c>
      <c r="L245" s="58">
        <f>K245*D245*'B) D RI'!S247</f>
        <v>0</v>
      </c>
      <c r="M245" s="472">
        <f>(('B) D RI'!S247*C245)-(L245*$M$4))/'B) D RI'!S247</f>
        <v>13114.094904761907</v>
      </c>
      <c r="N245" s="266">
        <f t="shared" si="38"/>
        <v>27.321031051587305</v>
      </c>
      <c r="O245" s="63">
        <f t="shared" si="39"/>
        <v>0.60628139723280317</v>
      </c>
      <c r="R245" s="12"/>
    </row>
    <row r="246" spans="1:18" x14ac:dyDescent="0.25">
      <c r="A246" s="306">
        <f>'A) Base RI'!A248</f>
        <v>5816</v>
      </c>
      <c r="B246" s="33" t="str">
        <f>'A) Base RI'!B248</f>
        <v>Corcelles-près-Payerne</v>
      </c>
      <c r="C246" s="304">
        <f>'B) D RI'!U248</f>
        <v>56247.882400793642</v>
      </c>
      <c r="D246" s="33">
        <f>'B) D RI'!AR248</f>
        <v>2479</v>
      </c>
      <c r="E246" s="210">
        <f t="shared" si="31"/>
        <v>22.689746833720712</v>
      </c>
      <c r="F246" s="63">
        <f t="shared" si="32"/>
        <v>0.49045283562006764</v>
      </c>
      <c r="G246" s="276">
        <f t="shared" si="33"/>
        <v>0</v>
      </c>
      <c r="H246" s="276">
        <f t="shared" si="34"/>
        <v>0</v>
      </c>
      <c r="I246" s="276">
        <f t="shared" si="35"/>
        <v>0</v>
      </c>
      <c r="J246" s="276">
        <f t="shared" si="36"/>
        <v>0</v>
      </c>
      <c r="K246" s="277">
        <f t="shared" si="37"/>
        <v>0</v>
      </c>
      <c r="L246" s="58">
        <f>K246*D246*'B) D RI'!S248</f>
        <v>0</v>
      </c>
      <c r="M246" s="472">
        <f>(('B) D RI'!S248*C246)-(L246*$M$4))/'B) D RI'!S248</f>
        <v>56247.882400793642</v>
      </c>
      <c r="N246" s="266">
        <f t="shared" si="38"/>
        <v>22.689746833720712</v>
      </c>
      <c r="O246" s="63">
        <f t="shared" si="39"/>
        <v>0.50350850182894336</v>
      </c>
      <c r="R246" s="12"/>
    </row>
    <row r="247" spans="1:18" x14ac:dyDescent="0.25">
      <c r="A247" s="306">
        <f>'A) Base RI'!A249</f>
        <v>5817</v>
      </c>
      <c r="B247" s="33" t="str">
        <f>'A) Base RI'!B249</f>
        <v>Grandcour</v>
      </c>
      <c r="C247" s="304">
        <f>'B) D RI'!U249</f>
        <v>23573.392337662339</v>
      </c>
      <c r="D247" s="33">
        <f>'B) D RI'!AR249</f>
        <v>929</v>
      </c>
      <c r="E247" s="210">
        <f t="shared" si="31"/>
        <v>25.37501866271511</v>
      </c>
      <c r="F247" s="63">
        <f t="shared" si="32"/>
        <v>0.54849663807376936</v>
      </c>
      <c r="G247" s="276">
        <f t="shared" si="33"/>
        <v>0</v>
      </c>
      <c r="H247" s="276">
        <f t="shared" si="34"/>
        <v>0</v>
      </c>
      <c r="I247" s="276">
        <f t="shared" si="35"/>
        <v>0</v>
      </c>
      <c r="J247" s="276">
        <f t="shared" si="36"/>
        <v>0</v>
      </c>
      <c r="K247" s="277">
        <f t="shared" si="37"/>
        <v>0</v>
      </c>
      <c r="L247" s="58">
        <f>K247*D247*'B) D RI'!S249</f>
        <v>0</v>
      </c>
      <c r="M247" s="472">
        <f>(('B) D RI'!S249*C247)-(L247*$M$4))/'B) D RI'!S249</f>
        <v>23573.392337662339</v>
      </c>
      <c r="N247" s="266">
        <f t="shared" si="38"/>
        <v>25.37501866271511</v>
      </c>
      <c r="O247" s="63">
        <f t="shared" si="39"/>
        <v>0.56309740802207264</v>
      </c>
      <c r="R247" s="12"/>
    </row>
    <row r="248" spans="1:18" x14ac:dyDescent="0.25">
      <c r="A248" s="306">
        <f>'A) Base RI'!A250</f>
        <v>5819</v>
      </c>
      <c r="B248" s="33" t="str">
        <f>'A) Base RI'!B250</f>
        <v>Henniez</v>
      </c>
      <c r="C248" s="304">
        <f>'B) D RI'!U250</f>
        <v>13558.497971014494</v>
      </c>
      <c r="D248" s="33">
        <f>'B) D RI'!AR250</f>
        <v>341</v>
      </c>
      <c r="E248" s="210">
        <f t="shared" si="31"/>
        <v>39.76099111734456</v>
      </c>
      <c r="F248" s="63">
        <f t="shared" si="32"/>
        <v>0.85945828234559307</v>
      </c>
      <c r="G248" s="276">
        <f t="shared" si="33"/>
        <v>0</v>
      </c>
      <c r="H248" s="276">
        <f t="shared" si="34"/>
        <v>0</v>
      </c>
      <c r="I248" s="276">
        <f t="shared" si="35"/>
        <v>0</v>
      </c>
      <c r="J248" s="276">
        <f t="shared" si="36"/>
        <v>0</v>
      </c>
      <c r="K248" s="277">
        <f t="shared" si="37"/>
        <v>0</v>
      </c>
      <c r="L248" s="58">
        <f>K248*D248*'B) D RI'!S250</f>
        <v>0</v>
      </c>
      <c r="M248" s="472">
        <f>(('B) D RI'!S250*C248)-(L248*$M$4))/'B) D RI'!S250</f>
        <v>13558.497971014494</v>
      </c>
      <c r="N248" s="266">
        <f t="shared" si="38"/>
        <v>39.76099111734456</v>
      </c>
      <c r="O248" s="63">
        <f t="shared" si="39"/>
        <v>0.88233673189226869</v>
      </c>
      <c r="R248" s="12"/>
    </row>
    <row r="249" spans="1:18" x14ac:dyDescent="0.25">
      <c r="A249" s="306">
        <f>'A) Base RI'!A251</f>
        <v>5821</v>
      </c>
      <c r="B249" s="33" t="str">
        <f>'A) Base RI'!B251</f>
        <v>Missy</v>
      </c>
      <c r="C249" s="304">
        <f>'B) D RI'!U251</f>
        <v>8603.5648611111101</v>
      </c>
      <c r="D249" s="33">
        <f>'B) D RI'!AR251</f>
        <v>368</v>
      </c>
      <c r="E249" s="210">
        <f t="shared" si="31"/>
        <v>23.379252339975842</v>
      </c>
      <c r="F249" s="63">
        <f t="shared" si="32"/>
        <v>0.50535692129350951</v>
      </c>
      <c r="G249" s="276">
        <f t="shared" si="33"/>
        <v>0</v>
      </c>
      <c r="H249" s="276">
        <f t="shared" si="34"/>
        <v>0</v>
      </c>
      <c r="I249" s="276">
        <f t="shared" si="35"/>
        <v>0</v>
      </c>
      <c r="J249" s="276">
        <f t="shared" si="36"/>
        <v>0</v>
      </c>
      <c r="K249" s="277">
        <f t="shared" si="37"/>
        <v>0</v>
      </c>
      <c r="L249" s="58">
        <f>K249*D249*'B) D RI'!S251</f>
        <v>0</v>
      </c>
      <c r="M249" s="472">
        <f>(('B) D RI'!S251*C249)-(L249*$M$4))/'B) D RI'!S251</f>
        <v>8603.5648611111101</v>
      </c>
      <c r="N249" s="266">
        <f t="shared" si="38"/>
        <v>23.379252339975842</v>
      </c>
      <c r="O249" s="63">
        <f t="shared" si="39"/>
        <v>0.51880932854162287</v>
      </c>
      <c r="R249" s="12"/>
    </row>
    <row r="250" spans="1:18" x14ac:dyDescent="0.25">
      <c r="A250" s="306">
        <f>'A) Base RI'!A252</f>
        <v>5822</v>
      </c>
      <c r="B250" s="33" t="str">
        <f>'A) Base RI'!B252</f>
        <v>Payerne</v>
      </c>
      <c r="C250" s="304">
        <f>'B) D RI'!U252</f>
        <v>249319.03186666669</v>
      </c>
      <c r="D250" s="33">
        <f>'B) D RI'!AR252</f>
        <v>9971</v>
      </c>
      <c r="E250" s="210">
        <f t="shared" si="31"/>
        <v>25.004415993046504</v>
      </c>
      <c r="F250" s="63">
        <f t="shared" si="32"/>
        <v>0.54048583338919676</v>
      </c>
      <c r="G250" s="276">
        <f t="shared" si="33"/>
        <v>0</v>
      </c>
      <c r="H250" s="276">
        <f t="shared" si="34"/>
        <v>0</v>
      </c>
      <c r="I250" s="276">
        <f t="shared" si="35"/>
        <v>0</v>
      </c>
      <c r="J250" s="276">
        <f t="shared" si="36"/>
        <v>0</v>
      </c>
      <c r="K250" s="277">
        <f t="shared" si="37"/>
        <v>0</v>
      </c>
      <c r="L250" s="58">
        <f>K250*D250*'B) D RI'!S252</f>
        <v>0</v>
      </c>
      <c r="M250" s="472">
        <f>(('B) D RI'!S252*C250)-(L250*$M$4))/'B) D RI'!S252</f>
        <v>249319.03186666669</v>
      </c>
      <c r="N250" s="266">
        <f t="shared" si="38"/>
        <v>25.004415993046504</v>
      </c>
      <c r="O250" s="63">
        <f t="shared" si="39"/>
        <v>0.55487335879198929</v>
      </c>
      <c r="R250" s="12"/>
    </row>
    <row r="251" spans="1:18" x14ac:dyDescent="0.25">
      <c r="A251" s="306">
        <f>'A) Base RI'!A253</f>
        <v>5827</v>
      </c>
      <c r="B251" s="33" t="str">
        <f>'A) Base RI'!B253</f>
        <v>Trey</v>
      </c>
      <c r="C251" s="304">
        <f>'B) D RI'!U253</f>
        <v>7228.8600000000006</v>
      </c>
      <c r="D251" s="33">
        <f>'B) D RI'!AR253</f>
        <v>267</v>
      </c>
      <c r="E251" s="210">
        <f t="shared" si="31"/>
        <v>27.074382022471912</v>
      </c>
      <c r="F251" s="63">
        <f t="shared" si="32"/>
        <v>0.58522942247411847</v>
      </c>
      <c r="G251" s="276">
        <f t="shared" si="33"/>
        <v>0</v>
      </c>
      <c r="H251" s="276">
        <f t="shared" si="34"/>
        <v>0</v>
      </c>
      <c r="I251" s="276">
        <f t="shared" si="35"/>
        <v>0</v>
      </c>
      <c r="J251" s="276">
        <f t="shared" si="36"/>
        <v>0</v>
      </c>
      <c r="K251" s="277">
        <f t="shared" si="37"/>
        <v>0</v>
      </c>
      <c r="L251" s="58">
        <f>K251*D251*'B) D RI'!S253</f>
        <v>0</v>
      </c>
      <c r="M251" s="472">
        <f>(('B) D RI'!S253*C251)-(L251*$M$4))/'B) D RI'!S253</f>
        <v>7228.8600000000006</v>
      </c>
      <c r="N251" s="266">
        <f t="shared" si="38"/>
        <v>27.074382022471912</v>
      </c>
      <c r="O251" s="63">
        <f t="shared" si="39"/>
        <v>0.6008080050421557</v>
      </c>
      <c r="R251" s="12"/>
    </row>
    <row r="252" spans="1:18" x14ac:dyDescent="0.25">
      <c r="A252" s="306">
        <f>'A) Base RI'!A254</f>
        <v>5828</v>
      </c>
      <c r="B252" s="33" t="str">
        <f>'A) Base RI'!B254</f>
        <v>Treytorrens (Payerne)</v>
      </c>
      <c r="C252" s="304">
        <f>'B) D RI'!U254</f>
        <v>2672.2867063492063</v>
      </c>
      <c r="D252" s="33">
        <f>'B) D RI'!AR254</f>
        <v>119</v>
      </c>
      <c r="E252" s="210">
        <f t="shared" si="31"/>
        <v>22.456190809657194</v>
      </c>
      <c r="F252" s="63">
        <f t="shared" si="32"/>
        <v>0.48540437848577017</v>
      </c>
      <c r="G252" s="276">
        <f t="shared" si="33"/>
        <v>0</v>
      </c>
      <c r="H252" s="276">
        <f t="shared" si="34"/>
        <v>0</v>
      </c>
      <c r="I252" s="276">
        <f t="shared" si="35"/>
        <v>0</v>
      </c>
      <c r="J252" s="276">
        <f t="shared" si="36"/>
        <v>0</v>
      </c>
      <c r="K252" s="277">
        <f t="shared" si="37"/>
        <v>0</v>
      </c>
      <c r="L252" s="58">
        <f>K252*D252*'B) D RI'!S254</f>
        <v>0</v>
      </c>
      <c r="M252" s="472">
        <f>(('B) D RI'!S254*C252)-(L252*$M$4))/'B) D RI'!S254</f>
        <v>2672.2867063492063</v>
      </c>
      <c r="N252" s="266">
        <f t="shared" si="38"/>
        <v>22.456190809657194</v>
      </c>
      <c r="O252" s="63">
        <f t="shared" si="39"/>
        <v>0.49832565670373569</v>
      </c>
      <c r="R252" s="12"/>
    </row>
    <row r="253" spans="1:18" x14ac:dyDescent="0.25">
      <c r="A253" s="306">
        <f>'A) Base RI'!A255</f>
        <v>5830</v>
      </c>
      <c r="B253" s="33" t="str">
        <f>'A) Base RI'!B255</f>
        <v>Villarzel</v>
      </c>
      <c r="C253" s="304">
        <f>'B) D RI'!U255</f>
        <v>12137.70417721519</v>
      </c>
      <c r="D253" s="33">
        <f>'B) D RI'!AR255</f>
        <v>446</v>
      </c>
      <c r="E253" s="210">
        <f t="shared" si="31"/>
        <v>27.214583356984729</v>
      </c>
      <c r="F253" s="63">
        <f t="shared" si="32"/>
        <v>0.58825996056577046</v>
      </c>
      <c r="G253" s="276">
        <f t="shared" si="33"/>
        <v>0</v>
      </c>
      <c r="H253" s="276">
        <f t="shared" si="34"/>
        <v>0</v>
      </c>
      <c r="I253" s="276">
        <f t="shared" si="35"/>
        <v>0</v>
      </c>
      <c r="J253" s="276">
        <f t="shared" si="36"/>
        <v>0</v>
      </c>
      <c r="K253" s="277">
        <f t="shared" si="37"/>
        <v>0</v>
      </c>
      <c r="L253" s="58">
        <f>K253*D253*'B) D RI'!S255</f>
        <v>0</v>
      </c>
      <c r="M253" s="472">
        <f>(('B) D RI'!S255*C253)-(L253*$M$4))/'B) D RI'!S255</f>
        <v>12137.70417721519</v>
      </c>
      <c r="N253" s="266">
        <f t="shared" si="38"/>
        <v>27.214583356984729</v>
      </c>
      <c r="O253" s="63">
        <f t="shared" si="39"/>
        <v>0.60391921489444267</v>
      </c>
      <c r="R253" s="12"/>
    </row>
    <row r="254" spans="1:18" x14ac:dyDescent="0.25">
      <c r="A254" s="306">
        <f>'A) Base RI'!A256</f>
        <v>5831</v>
      </c>
      <c r="B254" s="33" t="str">
        <f>'A) Base RI'!B256</f>
        <v>Valbroye</v>
      </c>
      <c r="C254" s="304">
        <f>'B) D RI'!U256</f>
        <v>85960.311415525095</v>
      </c>
      <c r="D254" s="33">
        <f>'B) D RI'!AR256</f>
        <v>3174</v>
      </c>
      <c r="E254" s="210">
        <f t="shared" si="31"/>
        <v>27.082643798212064</v>
      </c>
      <c r="F254" s="63">
        <f t="shared" si="32"/>
        <v>0.58540800583905028</v>
      </c>
      <c r="G254" s="276">
        <f t="shared" si="33"/>
        <v>0</v>
      </c>
      <c r="H254" s="276">
        <f t="shared" si="34"/>
        <v>0</v>
      </c>
      <c r="I254" s="276">
        <f t="shared" si="35"/>
        <v>0</v>
      </c>
      <c r="J254" s="276">
        <f t="shared" si="36"/>
        <v>0</v>
      </c>
      <c r="K254" s="277">
        <f t="shared" si="37"/>
        <v>0</v>
      </c>
      <c r="L254" s="58">
        <f>K254*D254*'B) D RI'!S256</f>
        <v>0</v>
      </c>
      <c r="M254" s="472">
        <f>(('B) D RI'!S256*C254)-(L254*$M$4))/'B) D RI'!S256</f>
        <v>85960.311415525095</v>
      </c>
      <c r="N254" s="266">
        <f t="shared" si="38"/>
        <v>27.082643798212064</v>
      </c>
      <c r="O254" s="63">
        <f t="shared" si="39"/>
        <v>0.60099134222770723</v>
      </c>
      <c r="R254" s="12"/>
    </row>
    <row r="255" spans="1:18" x14ac:dyDescent="0.25">
      <c r="A255" s="306">
        <f>'A) Base RI'!A257</f>
        <v>5841</v>
      </c>
      <c r="B255" s="33" t="str">
        <f>'A) Base RI'!B257</f>
        <v>Château-d'Oex</v>
      </c>
      <c r="C255" s="304">
        <f>'B) D RI'!U257</f>
        <v>118196.91686746987</v>
      </c>
      <c r="D255" s="33">
        <f>'B) D RI'!AR257</f>
        <v>3460</v>
      </c>
      <c r="E255" s="210">
        <f t="shared" si="31"/>
        <v>34.160958632216726</v>
      </c>
      <c r="F255" s="63">
        <f t="shared" si="32"/>
        <v>0.73841013526738897</v>
      </c>
      <c r="G255" s="276">
        <f t="shared" si="33"/>
        <v>0</v>
      </c>
      <c r="H255" s="276">
        <f t="shared" si="34"/>
        <v>0</v>
      </c>
      <c r="I255" s="276">
        <f t="shared" si="35"/>
        <v>0</v>
      </c>
      <c r="J255" s="276">
        <f t="shared" si="36"/>
        <v>0</v>
      </c>
      <c r="K255" s="277">
        <f t="shared" si="37"/>
        <v>0</v>
      </c>
      <c r="L255" s="58">
        <f>K255*D255*'B) D RI'!S257</f>
        <v>0</v>
      </c>
      <c r="M255" s="472">
        <f>(('B) D RI'!S257*C255)-(L255*$M$4))/'B) D RI'!S257</f>
        <v>118196.91686746987</v>
      </c>
      <c r="N255" s="266">
        <f t="shared" si="38"/>
        <v>34.160958632216726</v>
      </c>
      <c r="O255" s="63">
        <f t="shared" si="39"/>
        <v>0.75806632960687859</v>
      </c>
      <c r="R255" s="12"/>
    </row>
    <row r="256" spans="1:18" x14ac:dyDescent="0.25">
      <c r="A256" s="306">
        <f>'A) Base RI'!A258</f>
        <v>5842</v>
      </c>
      <c r="B256" s="33" t="str">
        <f>'A) Base RI'!B258</f>
        <v>Rossinière</v>
      </c>
      <c r="C256" s="304">
        <f>'B) D RI'!U258</f>
        <v>16178.883744855966</v>
      </c>
      <c r="D256" s="33">
        <f>'B) D RI'!AR258</f>
        <v>548</v>
      </c>
      <c r="E256" s="210">
        <f t="shared" si="31"/>
        <v>29.523510483313807</v>
      </c>
      <c r="F256" s="63">
        <f t="shared" si="32"/>
        <v>0.63816884075941049</v>
      </c>
      <c r="G256" s="276">
        <f t="shared" si="33"/>
        <v>0</v>
      </c>
      <c r="H256" s="276">
        <f t="shared" si="34"/>
        <v>0</v>
      </c>
      <c r="I256" s="276">
        <f t="shared" si="35"/>
        <v>0</v>
      </c>
      <c r="J256" s="276">
        <f t="shared" si="36"/>
        <v>0</v>
      </c>
      <c r="K256" s="277">
        <f t="shared" si="37"/>
        <v>0</v>
      </c>
      <c r="L256" s="58">
        <f>K256*D256*'B) D RI'!S258</f>
        <v>0</v>
      </c>
      <c r="M256" s="472">
        <f>(('B) D RI'!S258*C256)-(L256*$M$4))/'B) D RI'!S258</f>
        <v>16178.883744855966</v>
      </c>
      <c r="N256" s="266">
        <f t="shared" si="38"/>
        <v>29.523510483313807</v>
      </c>
      <c r="O256" s="63">
        <f t="shared" si="39"/>
        <v>0.65515665031978632</v>
      </c>
      <c r="R256" s="12"/>
    </row>
    <row r="257" spans="1:18" x14ac:dyDescent="0.25">
      <c r="A257" s="306">
        <f>'A) Base RI'!A259</f>
        <v>5843</v>
      </c>
      <c r="B257" s="33" t="str">
        <f>'A) Base RI'!B259</f>
        <v>Rougemont</v>
      </c>
      <c r="C257" s="304">
        <f>'B) D RI'!U259</f>
        <v>96518.030855855861</v>
      </c>
      <c r="D257" s="33">
        <f>'B) D RI'!AR259</f>
        <v>882</v>
      </c>
      <c r="E257" s="210">
        <f t="shared" si="31"/>
        <v>109.43087398623113</v>
      </c>
      <c r="F257" s="63">
        <f t="shared" si="32"/>
        <v>2.3654156586342276</v>
      </c>
      <c r="G257" s="276">
        <f t="shared" si="33"/>
        <v>53.915451864057985</v>
      </c>
      <c r="H257" s="276">
        <f t="shared" si="34"/>
        <v>40.036596333514694</v>
      </c>
      <c r="I257" s="276">
        <f t="shared" si="35"/>
        <v>16.905170449275886</v>
      </c>
      <c r="J257" s="276">
        <f t="shared" si="36"/>
        <v>0</v>
      </c>
      <c r="K257" s="277">
        <f t="shared" si="37"/>
        <v>25.103739349339936</v>
      </c>
      <c r="L257" s="58">
        <f>K257*D257*'B) D RI'!S259</f>
        <v>1638470.8598527189</v>
      </c>
      <c r="M257" s="472">
        <f>(('B) D RI'!S259*C257)-(L257*$M$4))/'B) D RI'!S259</f>
        <v>85447.281802796962</v>
      </c>
      <c r="N257" s="266">
        <f t="shared" si="38"/>
        <v>96.879004311561175</v>
      </c>
      <c r="O257" s="63">
        <f t="shared" si="39"/>
        <v>2.1498433930121981</v>
      </c>
      <c r="R257" s="12"/>
    </row>
    <row r="258" spans="1:18" x14ac:dyDescent="0.25">
      <c r="A258" s="306">
        <f>'A) Base RI'!A260</f>
        <v>5851</v>
      </c>
      <c r="B258" s="33" t="str">
        <f>'A) Base RI'!B260</f>
        <v>Allaman</v>
      </c>
      <c r="C258" s="304">
        <f>'B) D RI'!U260</f>
        <v>29511.189985337249</v>
      </c>
      <c r="D258" s="33">
        <f>'B) D RI'!AR260</f>
        <v>434</v>
      </c>
      <c r="E258" s="210">
        <f t="shared" si="31"/>
        <v>67.998133606767851</v>
      </c>
      <c r="F258" s="63">
        <f t="shared" si="32"/>
        <v>1.4698214875958018</v>
      </c>
      <c r="G258" s="276">
        <f t="shared" si="33"/>
        <v>12.482711484594702</v>
      </c>
      <c r="H258" s="276">
        <f t="shared" si="34"/>
        <v>0</v>
      </c>
      <c r="I258" s="276">
        <f t="shared" si="35"/>
        <v>0</v>
      </c>
      <c r="J258" s="276">
        <f t="shared" si="36"/>
        <v>0</v>
      </c>
      <c r="K258" s="277">
        <f t="shared" si="37"/>
        <v>4.4937761344540927</v>
      </c>
      <c r="L258" s="58">
        <f>K258*D258*'B) D RI'!S260</f>
        <v>120918.52822589072</v>
      </c>
      <c r="M258" s="472">
        <f>(('B) D RI'!S260*C258)-(L258*$M$4))/'B) D RI'!S260</f>
        <v>28536.04056416071</v>
      </c>
      <c r="N258" s="266">
        <f t="shared" si="38"/>
        <v>65.751245539540804</v>
      </c>
      <c r="O258" s="63">
        <f t="shared" si="39"/>
        <v>1.4590868455966965</v>
      </c>
      <c r="R258" s="12"/>
    </row>
    <row r="259" spans="1:18" x14ac:dyDescent="0.25">
      <c r="A259" s="306">
        <f>'A) Base RI'!A261</f>
        <v>5852</v>
      </c>
      <c r="B259" s="33" t="str">
        <f>'A) Base RI'!B261</f>
        <v>Bursinel</v>
      </c>
      <c r="C259" s="304">
        <f>'B) D RI'!U261</f>
        <v>39767.165954198477</v>
      </c>
      <c r="D259" s="33">
        <f>'B) D RI'!AR261</f>
        <v>471</v>
      </c>
      <c r="E259" s="210">
        <f t="shared" si="31"/>
        <v>84.431350221228186</v>
      </c>
      <c r="F259" s="63">
        <f t="shared" si="32"/>
        <v>1.8250355737636919</v>
      </c>
      <c r="G259" s="276">
        <f t="shared" si="33"/>
        <v>28.915928099055037</v>
      </c>
      <c r="H259" s="276">
        <f t="shared" si="34"/>
        <v>15.037072568511746</v>
      </c>
      <c r="I259" s="276">
        <f t="shared" si="35"/>
        <v>0</v>
      </c>
      <c r="J259" s="276">
        <f t="shared" si="36"/>
        <v>0</v>
      </c>
      <c r="K259" s="277">
        <f t="shared" si="37"/>
        <v>11.913441372510988</v>
      </c>
      <c r="L259" s="58">
        <f>K259*D259*'B) D RI'!S261</f>
        <v>367535.62306265021</v>
      </c>
      <c r="M259" s="472">
        <f>(('B) D RI'!S261*C259)-(L259*$M$4))/'B) D RI'!S261</f>
        <v>36961.550510972142</v>
      </c>
      <c r="N259" s="266">
        <f t="shared" si="38"/>
        <v>78.474629534972706</v>
      </c>
      <c r="O259" s="63">
        <f t="shared" si="39"/>
        <v>1.7414316447997182</v>
      </c>
      <c r="R259" s="12"/>
    </row>
    <row r="260" spans="1:18" x14ac:dyDescent="0.25">
      <c r="A260" s="306">
        <f>'A) Base RI'!A262</f>
        <v>5853</v>
      </c>
      <c r="B260" s="33" t="str">
        <f>'A) Base RI'!B262</f>
        <v>Bursins</v>
      </c>
      <c r="C260" s="304">
        <f>'B) D RI'!U262</f>
        <v>36845.197464788725</v>
      </c>
      <c r="D260" s="33">
        <f>'B) D RI'!AR262</f>
        <v>752</v>
      </c>
      <c r="E260" s="210">
        <f t="shared" si="31"/>
        <v>48.996273224453091</v>
      </c>
      <c r="F260" s="63">
        <f t="shared" si="32"/>
        <v>1.0590845862605891</v>
      </c>
      <c r="G260" s="276">
        <f t="shared" si="33"/>
        <v>0</v>
      </c>
      <c r="H260" s="276">
        <f t="shared" si="34"/>
        <v>0</v>
      </c>
      <c r="I260" s="276">
        <f t="shared" si="35"/>
        <v>0</v>
      </c>
      <c r="J260" s="276">
        <f t="shared" si="36"/>
        <v>0</v>
      </c>
      <c r="K260" s="277">
        <f t="shared" si="37"/>
        <v>0</v>
      </c>
      <c r="L260" s="58">
        <f>K260*D260*'B) D RI'!S262</f>
        <v>0</v>
      </c>
      <c r="M260" s="472">
        <f>(('B) D RI'!S262*C260)-(L260*$M$4))/'B) D RI'!S262</f>
        <v>36845.197464788725</v>
      </c>
      <c r="N260" s="266">
        <f t="shared" si="38"/>
        <v>48.996273224453091</v>
      </c>
      <c r="O260" s="63">
        <f t="shared" si="39"/>
        <v>1.087277011384816</v>
      </c>
      <c r="R260" s="12"/>
    </row>
    <row r="261" spans="1:18" x14ac:dyDescent="0.25">
      <c r="A261" s="306">
        <f>'A) Base RI'!A263</f>
        <v>5854</v>
      </c>
      <c r="B261" s="33" t="str">
        <f>'A) Base RI'!B263</f>
        <v>Burtigny</v>
      </c>
      <c r="C261" s="304">
        <f>'B) D RI'!U263</f>
        <v>15320.932833333329</v>
      </c>
      <c r="D261" s="33">
        <f>'B) D RI'!AR263</f>
        <v>391</v>
      </c>
      <c r="E261" s="210">
        <f t="shared" si="31"/>
        <v>39.183971440750199</v>
      </c>
      <c r="F261" s="63">
        <f t="shared" si="32"/>
        <v>0.84698564707697499</v>
      </c>
      <c r="G261" s="276">
        <f t="shared" si="33"/>
        <v>0</v>
      </c>
      <c r="H261" s="276">
        <f t="shared" si="34"/>
        <v>0</v>
      </c>
      <c r="I261" s="276">
        <f t="shared" si="35"/>
        <v>0</v>
      </c>
      <c r="J261" s="276">
        <f t="shared" si="36"/>
        <v>0</v>
      </c>
      <c r="K261" s="277">
        <f t="shared" si="37"/>
        <v>0</v>
      </c>
      <c r="L261" s="58">
        <f>K261*D261*'B) D RI'!S263</f>
        <v>0</v>
      </c>
      <c r="M261" s="472">
        <f>(('B) D RI'!S263*C261)-(L261*$M$4))/'B) D RI'!S263</f>
        <v>15320.932833333329</v>
      </c>
      <c r="N261" s="266">
        <f t="shared" si="38"/>
        <v>39.183971440750199</v>
      </c>
      <c r="O261" s="63">
        <f t="shared" si="39"/>
        <v>0.86953207986080283</v>
      </c>
      <c r="R261" s="12"/>
    </row>
    <row r="262" spans="1:18" x14ac:dyDescent="0.25">
      <c r="A262" s="306">
        <f>'A) Base RI'!A264</f>
        <v>5855</v>
      </c>
      <c r="B262" s="33" t="str">
        <f>'A) Base RI'!B264</f>
        <v>Dully</v>
      </c>
      <c r="C262" s="304">
        <f>'B) D RI'!U264</f>
        <v>91198.462040816317</v>
      </c>
      <c r="D262" s="33">
        <f>'B) D RI'!AR264</f>
        <v>635</v>
      </c>
      <c r="E262" s="210">
        <f t="shared" ref="E262:E313" si="40">C262/D262</f>
        <v>143.61962526112805</v>
      </c>
      <c r="F262" s="63">
        <f t="shared" ref="F262:F313" si="41">E262/$E$314</f>
        <v>3.1044265489700518</v>
      </c>
      <c r="G262" s="276">
        <f t="shared" ref="G262:G313" si="42">IF(E262-$G$2&lt;0,0,E262-$G$2)</f>
        <v>88.104203138954901</v>
      </c>
      <c r="H262" s="276">
        <f t="shared" ref="H262:H313" si="43">IF(E262-$H$2&lt;0,0,E262-$H$2)</f>
        <v>74.22534760841161</v>
      </c>
      <c r="I262" s="276">
        <f t="shared" ref="I262:I313" si="44">IF(E262-$I$2&lt;0,0,E262-$I$2)</f>
        <v>51.093921724172802</v>
      </c>
      <c r="J262" s="276">
        <f t="shared" ref="J262:J313" si="45">IF(E262-$J$2&lt;0,0,E262-$J$2)</f>
        <v>4.8310699556951704</v>
      </c>
      <c r="K262" s="277">
        <f t="shared" ref="K262:K313" si="46">(G262-H262)*$G$3+(H262-I262)*$H$3+(I262-J262)*$I$3+(J262*$J$3)</f>
        <v>44.732547058851729</v>
      </c>
      <c r="L262" s="58">
        <f>K262*D262*'B) D RI'!S264</f>
        <v>1391853.2017361715</v>
      </c>
      <c r="M262" s="472">
        <f>(('B) D RI'!S264*C262)-(L262*$M$4))/'B) D RI'!S264</f>
        <v>76995.87834963089</v>
      </c>
      <c r="N262" s="266">
        <f t="shared" ref="N262:N313" si="47">M262/D262</f>
        <v>121.25335173170218</v>
      </c>
      <c r="O262" s="63">
        <f t="shared" ref="O262:O313" si="48">N262/N$314</f>
        <v>2.6907348909435069</v>
      </c>
      <c r="Q262" s="15"/>
      <c r="R262" s="12"/>
    </row>
    <row r="263" spans="1:18" x14ac:dyDescent="0.25">
      <c r="A263" s="306">
        <f>'A) Base RI'!A265</f>
        <v>5856</v>
      </c>
      <c r="B263" s="33" t="str">
        <f>'A) Base RI'!B265</f>
        <v>Essertines-sur-Rolle</v>
      </c>
      <c r="C263" s="304">
        <f>'B) D RI'!U265</f>
        <v>37425.966018099534</v>
      </c>
      <c r="D263" s="33">
        <f>'B) D RI'!AR265</f>
        <v>726</v>
      </c>
      <c r="E263" s="210">
        <f t="shared" si="40"/>
        <v>51.550917380302387</v>
      </c>
      <c r="F263" s="63">
        <f t="shared" si="41"/>
        <v>1.1143047912024291</v>
      </c>
      <c r="G263" s="276">
        <f t="shared" si="42"/>
        <v>0</v>
      </c>
      <c r="H263" s="276">
        <f t="shared" si="43"/>
        <v>0</v>
      </c>
      <c r="I263" s="276">
        <f t="shared" si="44"/>
        <v>0</v>
      </c>
      <c r="J263" s="276">
        <f t="shared" si="45"/>
        <v>0</v>
      </c>
      <c r="K263" s="277">
        <f t="shared" si="46"/>
        <v>0</v>
      </c>
      <c r="L263" s="58">
        <f>K263*D263*'B) D RI'!S265</f>
        <v>0</v>
      </c>
      <c r="M263" s="472">
        <f>(('B) D RI'!S265*C263)-(L263*$M$4))/'B) D RI'!S265</f>
        <v>37425.966018099534</v>
      </c>
      <c r="N263" s="266">
        <f t="shared" si="47"/>
        <v>51.550917380302387</v>
      </c>
      <c r="O263" s="63">
        <f t="shared" si="48"/>
        <v>1.1439671569842422</v>
      </c>
      <c r="R263" s="12"/>
    </row>
    <row r="264" spans="1:18" x14ac:dyDescent="0.25">
      <c r="A264" s="306">
        <f>'A) Base RI'!A266</f>
        <v>5857</v>
      </c>
      <c r="B264" s="33" t="str">
        <f>'A) Base RI'!B266</f>
        <v>Gilly</v>
      </c>
      <c r="C264" s="304">
        <f>'B) D RI'!U266</f>
        <v>89905.642121212135</v>
      </c>
      <c r="D264" s="33">
        <f>'B) D RI'!AR266</f>
        <v>1324</v>
      </c>
      <c r="E264" s="210">
        <f t="shared" si="40"/>
        <v>67.90456353565871</v>
      </c>
      <c r="F264" s="63">
        <f t="shared" si="41"/>
        <v>1.4677989129482765</v>
      </c>
      <c r="G264" s="276">
        <f t="shared" si="42"/>
        <v>12.389141413485561</v>
      </c>
      <c r="H264" s="276">
        <f t="shared" si="43"/>
        <v>0</v>
      </c>
      <c r="I264" s="276">
        <f t="shared" si="44"/>
        <v>0</v>
      </c>
      <c r="J264" s="276">
        <f t="shared" si="45"/>
        <v>0</v>
      </c>
      <c r="K264" s="277">
        <f t="shared" si="46"/>
        <v>4.4600909088548013</v>
      </c>
      <c r="L264" s="58">
        <f>K264*D264*'B) D RI'!S266</f>
        <v>389740.58397936798</v>
      </c>
      <c r="M264" s="472">
        <f>(('B) D RI'!S266*C264)-(L264*$M$4))/'B) D RI'!S266</f>
        <v>86953.061939550258</v>
      </c>
      <c r="N264" s="266">
        <f t="shared" si="47"/>
        <v>65.674518081231312</v>
      </c>
      <c r="O264" s="63">
        <f t="shared" si="48"/>
        <v>1.4573841854539602</v>
      </c>
      <c r="R264" s="12"/>
    </row>
    <row r="265" spans="1:18" x14ac:dyDescent="0.25">
      <c r="A265" s="306">
        <f>'A) Base RI'!A267</f>
        <v>5858</v>
      </c>
      <c r="B265" s="33" t="str">
        <f>'A) Base RI'!B267</f>
        <v>Luins</v>
      </c>
      <c r="C265" s="304">
        <f>'B) D RI'!U267</f>
        <v>43824.152277777779</v>
      </c>
      <c r="D265" s="33">
        <f>'B) D RI'!AR267</f>
        <v>613</v>
      </c>
      <c r="E265" s="210">
        <f t="shared" si="40"/>
        <v>71.491276146456414</v>
      </c>
      <c r="F265" s="63">
        <f t="shared" si="41"/>
        <v>1.5453279124303534</v>
      </c>
      <c r="G265" s="276">
        <f t="shared" si="42"/>
        <v>15.975854024283265</v>
      </c>
      <c r="H265" s="276">
        <f t="shared" si="43"/>
        <v>2.0969984937399744</v>
      </c>
      <c r="I265" s="276">
        <f t="shared" si="44"/>
        <v>0</v>
      </c>
      <c r="J265" s="276">
        <f t="shared" si="45"/>
        <v>0</v>
      </c>
      <c r="K265" s="277">
        <f t="shared" si="46"/>
        <v>5.9610072981159732</v>
      </c>
      <c r="L265" s="58">
        <f>K265*D265*'B) D RI'!S267</f>
        <v>219245.8484247055</v>
      </c>
      <c r="M265" s="472">
        <f>(('B) D RI'!S267*C265)-(L265*$M$4))/'B) D RI'!S267</f>
        <v>41997.103540905235</v>
      </c>
      <c r="N265" s="266">
        <f t="shared" si="47"/>
        <v>68.51077249739842</v>
      </c>
      <c r="O265" s="63">
        <f t="shared" si="48"/>
        <v>1.5203235484338795</v>
      </c>
      <c r="R265" s="12"/>
    </row>
    <row r="266" spans="1:18" x14ac:dyDescent="0.25">
      <c r="A266" s="306">
        <f>'A) Base RI'!A268</f>
        <v>5859</v>
      </c>
      <c r="B266" s="33" t="str">
        <f>'A) Base RI'!B268</f>
        <v>Mont-sur-Rolle</v>
      </c>
      <c r="C266" s="304">
        <f>'B) D RI'!U268</f>
        <v>142920.65553846155</v>
      </c>
      <c r="D266" s="33">
        <f>'B) D RI'!AR268</f>
        <v>2651</v>
      </c>
      <c r="E266" s="210">
        <f t="shared" si="40"/>
        <v>53.91197870179613</v>
      </c>
      <c r="F266" s="63">
        <f t="shared" si="41"/>
        <v>1.1653405840953894</v>
      </c>
      <c r="G266" s="276">
        <f t="shared" si="42"/>
        <v>0</v>
      </c>
      <c r="H266" s="276">
        <f t="shared" si="43"/>
        <v>0</v>
      </c>
      <c r="I266" s="276">
        <f t="shared" si="44"/>
        <v>0</v>
      </c>
      <c r="J266" s="276">
        <f t="shared" si="45"/>
        <v>0</v>
      </c>
      <c r="K266" s="277">
        <f t="shared" si="46"/>
        <v>0</v>
      </c>
      <c r="L266" s="58">
        <f>K266*D266*'B) D RI'!S268</f>
        <v>0</v>
      </c>
      <c r="M266" s="472">
        <f>(('B) D RI'!S268*C266)-(L266*$M$4))/'B) D RI'!S268</f>
        <v>142920.65553846155</v>
      </c>
      <c r="N266" s="266">
        <f t="shared" si="47"/>
        <v>53.91197870179613</v>
      </c>
      <c r="O266" s="63">
        <f t="shared" si="48"/>
        <v>1.196361503092362</v>
      </c>
      <c r="R266" s="12"/>
    </row>
    <row r="267" spans="1:18" x14ac:dyDescent="0.25">
      <c r="A267" s="306">
        <f>'A) Base RI'!A269</f>
        <v>5860</v>
      </c>
      <c r="B267" s="33" t="str">
        <f>'A) Base RI'!B269</f>
        <v>Perroy</v>
      </c>
      <c r="C267" s="304">
        <f>'B) D RI'!U269</f>
        <v>95739.614192307679</v>
      </c>
      <c r="D267" s="33">
        <f>'B) D RI'!AR269</f>
        <v>1542</v>
      </c>
      <c r="E267" s="210">
        <f t="shared" si="40"/>
        <v>62.087946947021841</v>
      </c>
      <c r="F267" s="63">
        <f t="shared" si="41"/>
        <v>1.3420691672389953</v>
      </c>
      <c r="G267" s="276">
        <f t="shared" si="42"/>
        <v>6.572524824848692</v>
      </c>
      <c r="H267" s="276">
        <f t="shared" si="43"/>
        <v>0</v>
      </c>
      <c r="I267" s="276">
        <f t="shared" si="44"/>
        <v>0</v>
      </c>
      <c r="J267" s="276">
        <f t="shared" si="45"/>
        <v>0</v>
      </c>
      <c r="K267" s="277">
        <f t="shared" si="46"/>
        <v>2.3661089369455293</v>
      </c>
      <c r="L267" s="58">
        <f>K267*D267*'B) D RI'!S269</f>
        <v>218912.39884620035</v>
      </c>
      <c r="M267" s="472">
        <f>(('B) D RI'!S269*C267)-(L267*$M$4))/'B) D RI'!S269</f>
        <v>93915.344201922679</v>
      </c>
      <c r="N267" s="266">
        <f t="shared" si="47"/>
        <v>60.90489247854908</v>
      </c>
      <c r="O267" s="63">
        <f t="shared" si="48"/>
        <v>1.3515413543685817</v>
      </c>
      <c r="R267" s="12"/>
    </row>
    <row r="268" spans="1:18" x14ac:dyDescent="0.25">
      <c r="A268" s="306">
        <f>'A) Base RI'!A270</f>
        <v>5861</v>
      </c>
      <c r="B268" s="33" t="str">
        <f>'A) Base RI'!B270</f>
        <v>Rolle</v>
      </c>
      <c r="C268" s="304">
        <f>'B) D RI'!U270</f>
        <v>654027.21747899149</v>
      </c>
      <c r="D268" s="33">
        <f>'B) D RI'!AR270</f>
        <v>6246</v>
      </c>
      <c r="E268" s="210">
        <f t="shared" si="40"/>
        <v>104.71137007348567</v>
      </c>
      <c r="F268" s="63">
        <f t="shared" si="41"/>
        <v>2.2634006783134244</v>
      </c>
      <c r="G268" s="276">
        <f t="shared" si="42"/>
        <v>49.195947951312519</v>
      </c>
      <c r="H268" s="276">
        <f t="shared" si="43"/>
        <v>35.317092420769228</v>
      </c>
      <c r="I268" s="276">
        <f t="shared" si="44"/>
        <v>12.18566653653042</v>
      </c>
      <c r="J268" s="276">
        <f t="shared" si="45"/>
        <v>0</v>
      </c>
      <c r="K268" s="277">
        <f t="shared" si="46"/>
        <v>22.460817158202474</v>
      </c>
      <c r="L268" s="58">
        <f>K268*D268*'B) D RI'!S270</f>
        <v>8347270.7062228927</v>
      </c>
      <c r="M268" s="472">
        <f>(('B) D RI'!S270*C268)-(L268*$M$4))/'B) D RI'!S270</f>
        <v>583882.08549392514</v>
      </c>
      <c r="N268" s="266">
        <f t="shared" si="47"/>
        <v>93.480961494384431</v>
      </c>
      <c r="O268" s="63">
        <f t="shared" si="48"/>
        <v>2.0744373754587313</v>
      </c>
      <c r="R268" s="12"/>
    </row>
    <row r="269" spans="1:18" x14ac:dyDescent="0.25">
      <c r="A269" s="306">
        <f>'A) Base RI'!A271</f>
        <v>5862</v>
      </c>
      <c r="B269" s="33" t="str">
        <f>'A) Base RI'!B271</f>
        <v>Tartegnin</v>
      </c>
      <c r="C269" s="304">
        <f>'B) D RI'!U271</f>
        <v>12310.23827160494</v>
      </c>
      <c r="D269" s="33">
        <f>'B) D RI'!AR271</f>
        <v>246</v>
      </c>
      <c r="E269" s="210">
        <f t="shared" si="40"/>
        <v>50.041618990263984</v>
      </c>
      <c r="F269" s="63">
        <f t="shared" si="41"/>
        <v>1.0816803780427804</v>
      </c>
      <c r="G269" s="276">
        <f t="shared" si="42"/>
        <v>0</v>
      </c>
      <c r="H269" s="276">
        <f t="shared" si="43"/>
        <v>0</v>
      </c>
      <c r="I269" s="276">
        <f t="shared" si="44"/>
        <v>0</v>
      </c>
      <c r="J269" s="276">
        <f t="shared" si="45"/>
        <v>0</v>
      </c>
      <c r="K269" s="277">
        <f t="shared" si="46"/>
        <v>0</v>
      </c>
      <c r="L269" s="58">
        <f>K269*D269*'B) D RI'!S271</f>
        <v>0</v>
      </c>
      <c r="M269" s="472">
        <f>(('B) D RI'!S271*C269)-(L269*$M$4))/'B) D RI'!S271</f>
        <v>12310.23827160494</v>
      </c>
      <c r="N269" s="266">
        <f t="shared" si="47"/>
        <v>50.041618990263984</v>
      </c>
      <c r="O269" s="63">
        <f t="shared" si="48"/>
        <v>1.1104742944701629</v>
      </c>
      <c r="R269" s="12"/>
    </row>
    <row r="270" spans="1:18" x14ac:dyDescent="0.25">
      <c r="A270" s="306">
        <f>'A) Base RI'!A272</f>
        <v>5863</v>
      </c>
      <c r="B270" s="33" t="str">
        <f>'A) Base RI'!B272</f>
        <v>Vinzel</v>
      </c>
      <c r="C270" s="304">
        <f>'B) D RI'!U272</f>
        <v>22498.98940298508</v>
      </c>
      <c r="D270" s="33">
        <f>'B) D RI'!AR272</f>
        <v>358</v>
      </c>
      <c r="E270" s="210">
        <f t="shared" si="40"/>
        <v>62.846339114483463</v>
      </c>
      <c r="F270" s="63">
        <f t="shared" si="41"/>
        <v>1.358462280470687</v>
      </c>
      <c r="G270" s="276">
        <f t="shared" si="42"/>
        <v>7.3309169923103141</v>
      </c>
      <c r="H270" s="276">
        <f t="shared" si="43"/>
        <v>0</v>
      </c>
      <c r="I270" s="276">
        <f t="shared" si="44"/>
        <v>0</v>
      </c>
      <c r="J270" s="276">
        <f t="shared" si="45"/>
        <v>0</v>
      </c>
      <c r="K270" s="277">
        <f t="shared" si="46"/>
        <v>2.639130117231713</v>
      </c>
      <c r="L270" s="58">
        <f>K270*D270*'B) D RI'!S272</f>
        <v>63302.17499191987</v>
      </c>
      <c r="M270" s="472">
        <f>(('B) D RI'!S272*C270)-(L270*$M$4))/'B) D RI'!S272</f>
        <v>22026.585112000605</v>
      </c>
      <c r="N270" s="266">
        <f t="shared" si="47"/>
        <v>61.526774055867612</v>
      </c>
      <c r="O270" s="63">
        <f t="shared" si="48"/>
        <v>1.365341537491177</v>
      </c>
      <c r="R270" s="12"/>
    </row>
    <row r="271" spans="1:18" x14ac:dyDescent="0.25">
      <c r="A271" s="306">
        <f>'A) Base RI'!A273</f>
        <v>5871</v>
      </c>
      <c r="B271" s="33" t="str">
        <f>'A) Base RI'!B273</f>
        <v>L'Abbaye</v>
      </c>
      <c r="C271" s="304">
        <f>'B) D RI'!U273</f>
        <v>44627.892122623205</v>
      </c>
      <c r="D271" s="33">
        <f>'B) D RI'!AR273</f>
        <v>1481</v>
      </c>
      <c r="E271" s="210">
        <f t="shared" si="40"/>
        <v>30.133620609468739</v>
      </c>
      <c r="F271" s="63">
        <f t="shared" si="41"/>
        <v>0.65135674645117858</v>
      </c>
      <c r="G271" s="276">
        <f t="shared" si="42"/>
        <v>0</v>
      </c>
      <c r="H271" s="276">
        <f t="shared" si="43"/>
        <v>0</v>
      </c>
      <c r="I271" s="276">
        <f t="shared" si="44"/>
        <v>0</v>
      </c>
      <c r="J271" s="276">
        <f t="shared" si="45"/>
        <v>0</v>
      </c>
      <c r="K271" s="277">
        <f t="shared" si="46"/>
        <v>0</v>
      </c>
      <c r="L271" s="58">
        <f>K271*D271*'B) D RI'!S273</f>
        <v>0</v>
      </c>
      <c r="M271" s="472">
        <f>(('B) D RI'!S273*C271)-(L271*$M$4))/'B) D RI'!S273</f>
        <v>44627.892122623205</v>
      </c>
      <c r="N271" s="266">
        <f t="shared" si="47"/>
        <v>30.133620609468739</v>
      </c>
      <c r="O271" s="63">
        <f t="shared" si="48"/>
        <v>0.66869561299848812</v>
      </c>
      <c r="R271" s="12"/>
    </row>
    <row r="272" spans="1:18" x14ac:dyDescent="0.25">
      <c r="A272" s="306">
        <f>'A) Base RI'!A274</f>
        <v>5872</v>
      </c>
      <c r="B272" s="33" t="str">
        <f>'A) Base RI'!B274</f>
        <v>Le Chenit</v>
      </c>
      <c r="C272" s="304">
        <f>'B) D RI'!U274</f>
        <v>195855.08877191509</v>
      </c>
      <c r="D272" s="33">
        <f>'B) D RI'!AR274</f>
        <v>4605</v>
      </c>
      <c r="E272" s="210">
        <f t="shared" si="40"/>
        <v>42.530963902696001</v>
      </c>
      <c r="F272" s="63">
        <f t="shared" si="41"/>
        <v>0.91933294807553478</v>
      </c>
      <c r="G272" s="276">
        <f t="shared" si="42"/>
        <v>0</v>
      </c>
      <c r="H272" s="276">
        <f t="shared" si="43"/>
        <v>0</v>
      </c>
      <c r="I272" s="276">
        <f t="shared" si="44"/>
        <v>0</v>
      </c>
      <c r="J272" s="276">
        <f t="shared" si="45"/>
        <v>0</v>
      </c>
      <c r="K272" s="277">
        <f t="shared" si="46"/>
        <v>0</v>
      </c>
      <c r="L272" s="58">
        <f>K272*D272*'B) D RI'!S274</f>
        <v>0</v>
      </c>
      <c r="M272" s="472">
        <f>(('B) D RI'!S274*C272)-(L272*$M$4))/'B) D RI'!S274</f>
        <v>195855.08877191509</v>
      </c>
      <c r="N272" s="266">
        <f t="shared" si="47"/>
        <v>42.530963902696001</v>
      </c>
      <c r="O272" s="63">
        <f t="shared" si="48"/>
        <v>0.94380523823921869</v>
      </c>
      <c r="R272" s="12"/>
    </row>
    <row r="273" spans="1:18" x14ac:dyDescent="0.25">
      <c r="A273" s="306">
        <f>'A) Base RI'!A275</f>
        <v>5873</v>
      </c>
      <c r="B273" s="33" t="str">
        <f>'A) Base RI'!B275</f>
        <v>Le Lieu</v>
      </c>
      <c r="C273" s="304">
        <f>'B) D RI'!U275</f>
        <v>31663.23595238095</v>
      </c>
      <c r="D273" s="33">
        <f>'B) D RI'!AR275</f>
        <v>875</v>
      </c>
      <c r="E273" s="210">
        <f t="shared" si="40"/>
        <v>36.186555374149656</v>
      </c>
      <c r="F273" s="63">
        <f t="shared" si="41"/>
        <v>0.7821946549089801</v>
      </c>
      <c r="G273" s="276">
        <f t="shared" si="42"/>
        <v>0</v>
      </c>
      <c r="H273" s="276">
        <f t="shared" si="43"/>
        <v>0</v>
      </c>
      <c r="I273" s="276">
        <f t="shared" si="44"/>
        <v>0</v>
      </c>
      <c r="J273" s="276">
        <f t="shared" si="45"/>
        <v>0</v>
      </c>
      <c r="K273" s="277">
        <f t="shared" si="46"/>
        <v>0</v>
      </c>
      <c r="L273" s="58">
        <f>K273*D273*'B) D RI'!S275</f>
        <v>0</v>
      </c>
      <c r="M273" s="472">
        <f>(('B) D RI'!S275*C273)-(L273*$M$4))/'B) D RI'!S275</f>
        <v>31663.23595238095</v>
      </c>
      <c r="N273" s="266">
        <f t="shared" si="47"/>
        <v>36.186555374149656</v>
      </c>
      <c r="O273" s="63">
        <f t="shared" si="48"/>
        <v>0.80301637635330103</v>
      </c>
      <c r="R273" s="12"/>
    </row>
    <row r="274" spans="1:18" x14ac:dyDescent="0.25">
      <c r="A274" s="306">
        <f>'A) Base RI'!A276</f>
        <v>5881</v>
      </c>
      <c r="B274" s="33" t="str">
        <f>'A) Base RI'!B276</f>
        <v>Blonay</v>
      </c>
      <c r="C274" s="304">
        <f>'B) D RI'!U276</f>
        <v>333471.52885714278</v>
      </c>
      <c r="D274" s="33">
        <f>'B) D RI'!AR276</f>
        <v>6175</v>
      </c>
      <c r="E274" s="210">
        <f t="shared" si="40"/>
        <v>54.003486454598018</v>
      </c>
      <c r="F274" s="63">
        <f t="shared" si="41"/>
        <v>1.1673185804640489</v>
      </c>
      <c r="G274" s="276">
        <f t="shared" si="42"/>
        <v>0</v>
      </c>
      <c r="H274" s="276">
        <f t="shared" si="43"/>
        <v>0</v>
      </c>
      <c r="I274" s="276">
        <f t="shared" si="44"/>
        <v>0</v>
      </c>
      <c r="J274" s="276">
        <f t="shared" si="45"/>
        <v>0</v>
      </c>
      <c r="K274" s="277">
        <f t="shared" si="46"/>
        <v>0</v>
      </c>
      <c r="L274" s="58">
        <f>K274*D274*'B) D RI'!S276</f>
        <v>0</v>
      </c>
      <c r="M274" s="472">
        <f>(('B) D RI'!S276*C274)-(L274*$M$4))/'B) D RI'!S276</f>
        <v>333471.52885714278</v>
      </c>
      <c r="N274" s="266">
        <f t="shared" si="47"/>
        <v>54.003486454598018</v>
      </c>
      <c r="O274" s="63">
        <f t="shared" si="48"/>
        <v>1.198392152965041</v>
      </c>
      <c r="R274" s="12"/>
    </row>
    <row r="275" spans="1:18" x14ac:dyDescent="0.25">
      <c r="A275" s="306">
        <f>'A) Base RI'!A277</f>
        <v>5882</v>
      </c>
      <c r="B275" s="33" t="str">
        <f>'A) Base RI'!B277</f>
        <v>Chardonne</v>
      </c>
      <c r="C275" s="304">
        <f>'B) D RI'!U277</f>
        <v>161419.68117647059</v>
      </c>
      <c r="D275" s="33">
        <f>'B) D RI'!AR277</f>
        <v>2941</v>
      </c>
      <c r="E275" s="210">
        <f t="shared" si="40"/>
        <v>54.885984759085545</v>
      </c>
      <c r="F275" s="63">
        <f t="shared" si="41"/>
        <v>1.1863943241926023</v>
      </c>
      <c r="G275" s="276">
        <f t="shared" si="42"/>
        <v>0</v>
      </c>
      <c r="H275" s="276">
        <f t="shared" si="43"/>
        <v>0</v>
      </c>
      <c r="I275" s="276">
        <f t="shared" si="44"/>
        <v>0</v>
      </c>
      <c r="J275" s="276">
        <f t="shared" si="45"/>
        <v>0</v>
      </c>
      <c r="K275" s="277">
        <f t="shared" si="46"/>
        <v>0</v>
      </c>
      <c r="L275" s="58">
        <f>K275*D275*'B) D RI'!S277</f>
        <v>0</v>
      </c>
      <c r="M275" s="472">
        <f>(('B) D RI'!S277*C275)-(L275*$M$4))/'B) D RI'!S277</f>
        <v>161419.68117647059</v>
      </c>
      <c r="N275" s="266">
        <f t="shared" si="47"/>
        <v>54.885984759085545</v>
      </c>
      <c r="O275" s="63">
        <f t="shared" si="48"/>
        <v>1.2179756856688404</v>
      </c>
      <c r="R275" s="12"/>
    </row>
    <row r="276" spans="1:18" x14ac:dyDescent="0.25">
      <c r="A276" s="306">
        <f>'A) Base RI'!A278</f>
        <v>5883</v>
      </c>
      <c r="B276" s="33" t="str">
        <f>'A) Base RI'!B278</f>
        <v>Corseaux</v>
      </c>
      <c r="C276" s="304">
        <f>'B) D RI'!U278</f>
        <v>156359.79318840581</v>
      </c>
      <c r="D276" s="33">
        <f>'B) D RI'!AR278</f>
        <v>2282</v>
      </c>
      <c r="E276" s="210">
        <f t="shared" si="40"/>
        <v>68.518752492728225</v>
      </c>
      <c r="F276" s="63">
        <f t="shared" si="41"/>
        <v>1.4810749850793943</v>
      </c>
      <c r="G276" s="276">
        <f t="shared" si="42"/>
        <v>13.003330370555076</v>
      </c>
      <c r="H276" s="276">
        <f t="shared" si="43"/>
        <v>0</v>
      </c>
      <c r="I276" s="276">
        <f t="shared" si="44"/>
        <v>0</v>
      </c>
      <c r="J276" s="276">
        <f t="shared" si="45"/>
        <v>0</v>
      </c>
      <c r="K276" s="277">
        <f t="shared" si="46"/>
        <v>4.681198933399827</v>
      </c>
      <c r="L276" s="58">
        <f>K276*D276*'B) D RI'!S278</f>
        <v>737092.22165526997</v>
      </c>
      <c r="M276" s="472">
        <f>(('B) D RI'!S278*C276)-(L276*$M$4))/'B) D RI'!S278</f>
        <v>151018.5452053966</v>
      </c>
      <c r="N276" s="266">
        <f t="shared" si="47"/>
        <v>66.178153026028312</v>
      </c>
      <c r="O276" s="63">
        <f t="shared" si="48"/>
        <v>1.4685603558353137</v>
      </c>
      <c r="R276" s="12"/>
    </row>
    <row r="277" spans="1:18" x14ac:dyDescent="0.25">
      <c r="A277" s="306">
        <f>'A) Base RI'!A279</f>
        <v>5884</v>
      </c>
      <c r="B277" s="33" t="str">
        <f>'A) Base RI'!B279</f>
        <v>Corsier-sur-Vevey</v>
      </c>
      <c r="C277" s="304">
        <f>'B) D RI'!U279</f>
        <v>119111.03626262626</v>
      </c>
      <c r="D277" s="33">
        <f>'B) D RI'!AR279</f>
        <v>3386</v>
      </c>
      <c r="E277" s="210">
        <f t="shared" si="40"/>
        <v>35.177506279570665</v>
      </c>
      <c r="F277" s="63">
        <f t="shared" si="41"/>
        <v>0.76038343800370212</v>
      </c>
      <c r="G277" s="276">
        <f t="shared" si="42"/>
        <v>0</v>
      </c>
      <c r="H277" s="276">
        <f t="shared" si="43"/>
        <v>0</v>
      </c>
      <c r="I277" s="276">
        <f t="shared" si="44"/>
        <v>0</v>
      </c>
      <c r="J277" s="276">
        <f t="shared" si="45"/>
        <v>0</v>
      </c>
      <c r="K277" s="277">
        <f t="shared" si="46"/>
        <v>0</v>
      </c>
      <c r="L277" s="58">
        <f>K277*D277*'B) D RI'!S279</f>
        <v>0</v>
      </c>
      <c r="M277" s="472">
        <f>(('B) D RI'!S279*C277)-(L277*$M$4))/'B) D RI'!S279</f>
        <v>119111.03626262626</v>
      </c>
      <c r="N277" s="266">
        <f t="shared" si="47"/>
        <v>35.177506279570665</v>
      </c>
      <c r="O277" s="63">
        <f t="shared" si="48"/>
        <v>0.7806245532269076</v>
      </c>
      <c r="R277" s="12"/>
    </row>
    <row r="278" spans="1:18" x14ac:dyDescent="0.25">
      <c r="A278" s="306">
        <f>'A) Base RI'!A280</f>
        <v>5885</v>
      </c>
      <c r="B278" s="33" t="str">
        <f>'A) Base RI'!B280</f>
        <v>Jongny</v>
      </c>
      <c r="C278" s="304">
        <f>'B) D RI'!U280</f>
        <v>83805.46166666667</v>
      </c>
      <c r="D278" s="33">
        <f>'B) D RI'!AR280</f>
        <v>1536</v>
      </c>
      <c r="E278" s="210">
        <f t="shared" si="40"/>
        <v>54.560847439236113</v>
      </c>
      <c r="F278" s="63">
        <f t="shared" si="41"/>
        <v>1.1793662810128047</v>
      </c>
      <c r="G278" s="276">
        <f t="shared" si="42"/>
        <v>0</v>
      </c>
      <c r="H278" s="276">
        <f t="shared" si="43"/>
        <v>0</v>
      </c>
      <c r="I278" s="276">
        <f t="shared" si="44"/>
        <v>0</v>
      </c>
      <c r="J278" s="276">
        <f t="shared" si="45"/>
        <v>0</v>
      </c>
      <c r="K278" s="277">
        <f t="shared" si="46"/>
        <v>0</v>
      </c>
      <c r="L278" s="58">
        <f>K278*D278*'B) D RI'!S280</f>
        <v>0</v>
      </c>
      <c r="M278" s="472">
        <f>(('B) D RI'!S280*C278)-(L278*$M$4))/'B) D RI'!S280</f>
        <v>83805.46166666667</v>
      </c>
      <c r="N278" s="266">
        <f t="shared" si="47"/>
        <v>54.560847439236113</v>
      </c>
      <c r="O278" s="63">
        <f t="shared" si="48"/>
        <v>1.2107605586775261</v>
      </c>
      <c r="R278" s="12"/>
    </row>
    <row r="279" spans="1:18" x14ac:dyDescent="0.25">
      <c r="A279" s="306">
        <f>'A) Base RI'!A281</f>
        <v>5886</v>
      </c>
      <c r="B279" s="33" t="str">
        <f>'A) Base RI'!B281</f>
        <v>Montreux</v>
      </c>
      <c r="C279" s="304">
        <f>'B) D RI'!U281</f>
        <v>1120949.2064615386</v>
      </c>
      <c r="D279" s="33">
        <f>'B) D RI'!AR281</f>
        <v>26006</v>
      </c>
      <c r="E279" s="210">
        <f t="shared" si="40"/>
        <v>43.103484059891507</v>
      </c>
      <c r="F279" s="63">
        <f t="shared" si="41"/>
        <v>0.93170832346442523</v>
      </c>
      <c r="G279" s="276">
        <f t="shared" si="42"/>
        <v>0</v>
      </c>
      <c r="H279" s="276">
        <f t="shared" si="43"/>
        <v>0</v>
      </c>
      <c r="I279" s="276">
        <f t="shared" si="44"/>
        <v>0</v>
      </c>
      <c r="J279" s="276">
        <f t="shared" si="45"/>
        <v>0</v>
      </c>
      <c r="K279" s="277">
        <f t="shared" si="46"/>
        <v>0</v>
      </c>
      <c r="L279" s="58">
        <f>K279*D279*'B) D RI'!S281</f>
        <v>0</v>
      </c>
      <c r="M279" s="472">
        <f>(('B) D RI'!S281*C279)-(L279*$M$4))/'B) D RI'!S281</f>
        <v>1120949.2064615386</v>
      </c>
      <c r="N279" s="266">
        <f t="shared" si="47"/>
        <v>43.103484059891507</v>
      </c>
      <c r="O279" s="63">
        <f t="shared" si="48"/>
        <v>0.95651004137029483</v>
      </c>
      <c r="R279" s="12"/>
    </row>
    <row r="280" spans="1:18" x14ac:dyDescent="0.25">
      <c r="A280" s="306">
        <f>'A) Base RI'!A282</f>
        <v>5888</v>
      </c>
      <c r="B280" s="33" t="str">
        <f>'A) Base RI'!B282</f>
        <v>Saint-Légier-La Chiésaz</v>
      </c>
      <c r="C280" s="304">
        <f>'B) D RI'!U282</f>
        <v>318719.43035714288</v>
      </c>
      <c r="D280" s="33">
        <f>'B) D RI'!AR282</f>
        <v>5185</v>
      </c>
      <c r="E280" s="210">
        <f t="shared" si="40"/>
        <v>61.469514051522253</v>
      </c>
      <c r="F280" s="63">
        <f t="shared" si="41"/>
        <v>1.3287013597680133</v>
      </c>
      <c r="G280" s="276">
        <f t="shared" si="42"/>
        <v>5.9540919293491044</v>
      </c>
      <c r="H280" s="276">
        <f t="shared" si="43"/>
        <v>0</v>
      </c>
      <c r="I280" s="276">
        <f t="shared" si="44"/>
        <v>0</v>
      </c>
      <c r="J280" s="276">
        <f t="shared" si="45"/>
        <v>0</v>
      </c>
      <c r="K280" s="277">
        <f t="shared" si="46"/>
        <v>2.1434730945656777</v>
      </c>
      <c r="L280" s="58">
        <f>K280*D280*'B) D RI'!S282</f>
        <v>777973.5596726127</v>
      </c>
      <c r="M280" s="472">
        <f>(('B) D RI'!S282*C280)-(L280*$M$4))/'B) D RI'!S282</f>
        <v>313162.47635948134</v>
      </c>
      <c r="N280" s="266">
        <f t="shared" si="47"/>
        <v>60.397777504239407</v>
      </c>
      <c r="O280" s="63">
        <f t="shared" si="48"/>
        <v>1.3402879586017231</v>
      </c>
      <c r="R280" s="12"/>
    </row>
    <row r="281" spans="1:18" x14ac:dyDescent="0.25">
      <c r="A281" s="306">
        <f>'A) Base RI'!A283</f>
        <v>5889</v>
      </c>
      <c r="B281" s="33" t="str">
        <f>'A) Base RI'!B283</f>
        <v>La Tour-de-Peilz</v>
      </c>
      <c r="C281" s="304">
        <f>'B) D RI'!U283</f>
        <v>645590.04875000007</v>
      </c>
      <c r="D281" s="33">
        <f>'B) D RI'!AR283</f>
        <v>11871</v>
      </c>
      <c r="E281" s="210">
        <f t="shared" si="40"/>
        <v>54.3837965419931</v>
      </c>
      <c r="F281" s="63">
        <f t="shared" si="41"/>
        <v>1.1755392169543877</v>
      </c>
      <c r="G281" s="276">
        <f t="shared" si="42"/>
        <v>0</v>
      </c>
      <c r="H281" s="276">
        <f t="shared" si="43"/>
        <v>0</v>
      </c>
      <c r="I281" s="276">
        <f t="shared" si="44"/>
        <v>0</v>
      </c>
      <c r="J281" s="276">
        <f t="shared" si="45"/>
        <v>0</v>
      </c>
      <c r="K281" s="277">
        <f t="shared" si="46"/>
        <v>0</v>
      </c>
      <c r="L281" s="58">
        <f>K281*D281*'B) D RI'!S283</f>
        <v>0</v>
      </c>
      <c r="M281" s="472">
        <f>(('B) D RI'!S283*C281)-(L281*$M$4))/'B) D RI'!S283</f>
        <v>645590.04875000007</v>
      </c>
      <c r="N281" s="266">
        <f t="shared" si="47"/>
        <v>54.3837965419931</v>
      </c>
      <c r="O281" s="63">
        <f t="shared" si="48"/>
        <v>1.2068316196430098</v>
      </c>
      <c r="R281" s="12"/>
    </row>
    <row r="282" spans="1:18" x14ac:dyDescent="0.25">
      <c r="A282" s="306">
        <f>'A) Base RI'!A284</f>
        <v>5890</v>
      </c>
      <c r="B282" s="33" t="str">
        <f>'A) Base RI'!B284</f>
        <v>Vevey</v>
      </c>
      <c r="C282" s="304">
        <f>'B) D RI'!U284</f>
        <v>923815.49078947364</v>
      </c>
      <c r="D282" s="33">
        <f>'B) D RI'!AR284</f>
        <v>19904</v>
      </c>
      <c r="E282" s="210">
        <f t="shared" si="40"/>
        <v>46.413559625676932</v>
      </c>
      <c r="F282" s="63">
        <f t="shared" si="41"/>
        <v>1.0032576430427058</v>
      </c>
      <c r="G282" s="276">
        <f t="shared" si="42"/>
        <v>0</v>
      </c>
      <c r="H282" s="276">
        <f t="shared" si="43"/>
        <v>0</v>
      </c>
      <c r="I282" s="276">
        <f t="shared" si="44"/>
        <v>0</v>
      </c>
      <c r="J282" s="276">
        <f t="shared" si="45"/>
        <v>0</v>
      </c>
      <c r="K282" s="277">
        <f t="shared" si="46"/>
        <v>0</v>
      </c>
      <c r="L282" s="58">
        <f>K282*D282*'B) D RI'!S284</f>
        <v>0</v>
      </c>
      <c r="M282" s="472">
        <f>(('B) D RI'!S284*C282)-(L282*$M$4))/'B) D RI'!S284</f>
        <v>923815.49078947364</v>
      </c>
      <c r="N282" s="266">
        <f t="shared" si="47"/>
        <v>46.413559625676932</v>
      </c>
      <c r="O282" s="63">
        <f t="shared" si="48"/>
        <v>1.0299639763693531</v>
      </c>
      <c r="R282" s="12"/>
    </row>
    <row r="283" spans="1:18" x14ac:dyDescent="0.25">
      <c r="A283" s="306">
        <f>'A) Base RI'!A285</f>
        <v>5891</v>
      </c>
      <c r="B283" s="33" t="str">
        <f>'A) Base RI'!B285</f>
        <v>Veytaux</v>
      </c>
      <c r="C283" s="304">
        <f>'B) D RI'!U285</f>
        <v>37468.229154929577</v>
      </c>
      <c r="D283" s="33">
        <f>'B) D RI'!AR285</f>
        <v>884</v>
      </c>
      <c r="E283" s="210">
        <f t="shared" si="40"/>
        <v>42.38487460964884</v>
      </c>
      <c r="F283" s="63">
        <f t="shared" si="41"/>
        <v>0.91617513813813045</v>
      </c>
      <c r="G283" s="276">
        <f t="shared" si="42"/>
        <v>0</v>
      </c>
      <c r="H283" s="276">
        <f t="shared" si="43"/>
        <v>0</v>
      </c>
      <c r="I283" s="276">
        <f t="shared" si="44"/>
        <v>0</v>
      </c>
      <c r="J283" s="276">
        <f t="shared" si="45"/>
        <v>0</v>
      </c>
      <c r="K283" s="277">
        <f t="shared" si="46"/>
        <v>0</v>
      </c>
      <c r="L283" s="58">
        <f>K283*D283*'B) D RI'!S285</f>
        <v>0</v>
      </c>
      <c r="M283" s="472">
        <f>(('B) D RI'!S285*C283)-(L283*$M$4))/'B) D RI'!S285</f>
        <v>37468.229154929577</v>
      </c>
      <c r="N283" s="266">
        <f t="shared" si="47"/>
        <v>42.38487460964884</v>
      </c>
      <c r="O283" s="63">
        <f t="shared" si="48"/>
        <v>0.94056336861350265</v>
      </c>
      <c r="R283" s="12"/>
    </row>
    <row r="284" spans="1:18" x14ac:dyDescent="0.25">
      <c r="A284" s="306">
        <f>'A) Base RI'!A286</f>
        <v>5902</v>
      </c>
      <c r="B284" s="33" t="str">
        <f>'A) Base RI'!B286</f>
        <v>Belmont-sur-Yverdon</v>
      </c>
      <c r="C284" s="304">
        <f>'B) D RI'!U286</f>
        <v>10322.452500000001</v>
      </c>
      <c r="D284" s="33">
        <f>'B) D RI'!AR286</f>
        <v>384</v>
      </c>
      <c r="E284" s="210">
        <f t="shared" si="40"/>
        <v>26.881386718750004</v>
      </c>
      <c r="F284" s="63">
        <f t="shared" si="41"/>
        <v>0.58105771026131003</v>
      </c>
      <c r="G284" s="276">
        <f t="shared" si="42"/>
        <v>0</v>
      </c>
      <c r="H284" s="276">
        <f t="shared" si="43"/>
        <v>0</v>
      </c>
      <c r="I284" s="276">
        <f t="shared" si="44"/>
        <v>0</v>
      </c>
      <c r="J284" s="276">
        <f t="shared" si="45"/>
        <v>0</v>
      </c>
      <c r="K284" s="277">
        <f t="shared" si="46"/>
        <v>0</v>
      </c>
      <c r="L284" s="58">
        <f>K284*D284*'B) D RI'!S286</f>
        <v>0</v>
      </c>
      <c r="M284" s="472">
        <f>(('B) D RI'!S286*C284)-(L284*$M$4))/'B) D RI'!S286</f>
        <v>10322.452500000001</v>
      </c>
      <c r="N284" s="266">
        <f t="shared" si="47"/>
        <v>26.881386718750004</v>
      </c>
      <c r="O284" s="63">
        <f t="shared" si="48"/>
        <v>0.59652524345168167</v>
      </c>
      <c r="R284" s="12"/>
    </row>
    <row r="285" spans="1:18" x14ac:dyDescent="0.25">
      <c r="A285" s="306">
        <f>'A) Base RI'!A287</f>
        <v>5903</v>
      </c>
      <c r="B285" s="33" t="str">
        <f>'A) Base RI'!B287</f>
        <v>Bioley-Magnoux</v>
      </c>
      <c r="C285" s="304">
        <f>'B) D RI'!U287</f>
        <v>5492.9202895752896</v>
      </c>
      <c r="D285" s="33">
        <f>'B) D RI'!AR287</f>
        <v>225</v>
      </c>
      <c r="E285" s="210">
        <f t="shared" si="40"/>
        <v>24.412979064779066</v>
      </c>
      <c r="F285" s="63">
        <f t="shared" si="41"/>
        <v>0.52770156035675853</v>
      </c>
      <c r="G285" s="276">
        <f t="shared" si="42"/>
        <v>0</v>
      </c>
      <c r="H285" s="276">
        <f t="shared" si="43"/>
        <v>0</v>
      </c>
      <c r="I285" s="276">
        <f t="shared" si="44"/>
        <v>0</v>
      </c>
      <c r="J285" s="276">
        <f t="shared" si="45"/>
        <v>0</v>
      </c>
      <c r="K285" s="277">
        <f t="shared" si="46"/>
        <v>0</v>
      </c>
      <c r="L285" s="58">
        <f>K285*D285*'B) D RI'!S287</f>
        <v>0</v>
      </c>
      <c r="M285" s="472">
        <f>(('B) D RI'!S287*C285)-(L285*$M$4))/'B) D RI'!S287</f>
        <v>5492.9202895752896</v>
      </c>
      <c r="N285" s="266">
        <f t="shared" si="47"/>
        <v>24.412979064779066</v>
      </c>
      <c r="O285" s="63">
        <f t="shared" si="48"/>
        <v>0.54174877331906202</v>
      </c>
      <c r="R285" s="12"/>
    </row>
    <row r="286" spans="1:18" x14ac:dyDescent="0.25">
      <c r="A286" s="306">
        <f>'A) Base RI'!A288</f>
        <v>5904</v>
      </c>
      <c r="B286" s="33" t="str">
        <f>'A) Base RI'!B288</f>
        <v>Chamblon</v>
      </c>
      <c r="C286" s="304">
        <f>'B) D RI'!U288</f>
        <v>20041.272272727278</v>
      </c>
      <c r="D286" s="33">
        <f>'B) D RI'!AR288</f>
        <v>542</v>
      </c>
      <c r="E286" s="210">
        <f t="shared" si="40"/>
        <v>36.976517108352908</v>
      </c>
      <c r="F286" s="63">
        <f t="shared" si="41"/>
        <v>0.79927016374610527</v>
      </c>
      <c r="G286" s="276">
        <f t="shared" si="42"/>
        <v>0</v>
      </c>
      <c r="H286" s="276">
        <f t="shared" si="43"/>
        <v>0</v>
      </c>
      <c r="I286" s="276">
        <f t="shared" si="44"/>
        <v>0</v>
      </c>
      <c r="J286" s="276">
        <f t="shared" si="45"/>
        <v>0</v>
      </c>
      <c r="K286" s="277">
        <f t="shared" si="46"/>
        <v>0</v>
      </c>
      <c r="L286" s="58">
        <f>K286*D286*'B) D RI'!S288</f>
        <v>0</v>
      </c>
      <c r="M286" s="472">
        <f>(('B) D RI'!S288*C286)-(L286*$M$4))/'B) D RI'!S288</f>
        <v>20041.272272727278</v>
      </c>
      <c r="N286" s="266">
        <f t="shared" si="47"/>
        <v>36.976517108352908</v>
      </c>
      <c r="O286" s="63">
        <f t="shared" si="48"/>
        <v>0.82054642868071392</v>
      </c>
      <c r="R286" s="12"/>
    </row>
    <row r="287" spans="1:18" x14ac:dyDescent="0.25">
      <c r="A287" s="306">
        <f>'A) Base RI'!A289</f>
        <v>5905</v>
      </c>
      <c r="B287" s="33" t="str">
        <f>'A) Base RI'!B289</f>
        <v>Champvent</v>
      </c>
      <c r="C287" s="304">
        <f>'B) D RI'!U289</f>
        <v>24102.36943661972</v>
      </c>
      <c r="D287" s="33">
        <f>'B) D RI'!AR289</f>
        <v>685</v>
      </c>
      <c r="E287" s="210">
        <f t="shared" si="40"/>
        <v>35.185940783386449</v>
      </c>
      <c r="F287" s="63">
        <f t="shared" si="41"/>
        <v>0.76056575499224388</v>
      </c>
      <c r="G287" s="276">
        <f t="shared" si="42"/>
        <v>0</v>
      </c>
      <c r="H287" s="276">
        <f t="shared" si="43"/>
        <v>0</v>
      </c>
      <c r="I287" s="276">
        <f t="shared" si="44"/>
        <v>0</v>
      </c>
      <c r="J287" s="276">
        <f t="shared" si="45"/>
        <v>0</v>
      </c>
      <c r="K287" s="277">
        <f t="shared" si="46"/>
        <v>0</v>
      </c>
      <c r="L287" s="58">
        <f>K287*D287*'B) D RI'!S289</f>
        <v>0</v>
      </c>
      <c r="M287" s="472">
        <f>(('B) D RI'!S289*C287)-(L287*$M$4))/'B) D RI'!S289</f>
        <v>24102.36943661972</v>
      </c>
      <c r="N287" s="266">
        <f t="shared" si="47"/>
        <v>35.185940783386449</v>
      </c>
      <c r="O287" s="63">
        <f t="shared" si="48"/>
        <v>0.78081172342369654</v>
      </c>
      <c r="R287" s="12"/>
    </row>
    <row r="288" spans="1:18" x14ac:dyDescent="0.25">
      <c r="A288" s="306">
        <f>'A) Base RI'!A290</f>
        <v>5907</v>
      </c>
      <c r="B288" s="33" t="str">
        <f>'A) Base RI'!B290</f>
        <v>Chavannes-le-Chêne</v>
      </c>
      <c r="C288" s="304">
        <f>'B) D RI'!U290</f>
        <v>8071.0708974358949</v>
      </c>
      <c r="D288" s="33">
        <f>'B) D RI'!AR290</f>
        <v>308</v>
      </c>
      <c r="E288" s="210">
        <f t="shared" si="40"/>
        <v>26.204775641025634</v>
      </c>
      <c r="F288" s="63">
        <f t="shared" si="41"/>
        <v>0.5664323455926884</v>
      </c>
      <c r="G288" s="276">
        <f t="shared" si="42"/>
        <v>0</v>
      </c>
      <c r="H288" s="276">
        <f t="shared" si="43"/>
        <v>0</v>
      </c>
      <c r="I288" s="276">
        <f t="shared" si="44"/>
        <v>0</v>
      </c>
      <c r="J288" s="276">
        <f t="shared" si="45"/>
        <v>0</v>
      </c>
      <c r="K288" s="277">
        <f t="shared" si="46"/>
        <v>0</v>
      </c>
      <c r="L288" s="58">
        <f>K288*D288*'B) D RI'!S290</f>
        <v>0</v>
      </c>
      <c r="M288" s="472">
        <f>(('B) D RI'!S290*C288)-(L288*$M$4))/'B) D RI'!S290</f>
        <v>8071.0708974358949</v>
      </c>
      <c r="N288" s="266">
        <f t="shared" si="47"/>
        <v>26.204775641025634</v>
      </c>
      <c r="O288" s="63">
        <f t="shared" si="48"/>
        <v>0.58151055718997513</v>
      </c>
      <c r="R288" s="12"/>
    </row>
    <row r="289" spans="1:18" x14ac:dyDescent="0.25">
      <c r="A289" s="306">
        <f>'A) Base RI'!A291</f>
        <v>5908</v>
      </c>
      <c r="B289" s="33" t="str">
        <f>'A) Base RI'!B291</f>
        <v>Chêne-Pâquier</v>
      </c>
      <c r="C289" s="304">
        <f>'B) D RI'!U291</f>
        <v>3125.58</v>
      </c>
      <c r="D289" s="33">
        <f>'B) D RI'!AR291</f>
        <v>141</v>
      </c>
      <c r="E289" s="210">
        <f t="shared" si="40"/>
        <v>22.16723404255319</v>
      </c>
      <c r="F289" s="63">
        <f t="shared" si="41"/>
        <v>0.47915840021036926</v>
      </c>
      <c r="G289" s="276">
        <f t="shared" si="42"/>
        <v>0</v>
      </c>
      <c r="H289" s="276">
        <f t="shared" si="43"/>
        <v>0</v>
      </c>
      <c r="I289" s="276">
        <f t="shared" si="44"/>
        <v>0</v>
      </c>
      <c r="J289" s="276">
        <f t="shared" si="45"/>
        <v>0</v>
      </c>
      <c r="K289" s="277">
        <f t="shared" si="46"/>
        <v>0</v>
      </c>
      <c r="L289" s="58">
        <f>K289*D289*'B) D RI'!S291</f>
        <v>0</v>
      </c>
      <c r="M289" s="472">
        <f>(('B) D RI'!S291*C289)-(L289*$M$4))/'B) D RI'!S291</f>
        <v>3125.58</v>
      </c>
      <c r="N289" s="266">
        <f t="shared" si="47"/>
        <v>22.16723404255319</v>
      </c>
      <c r="O289" s="63">
        <f t="shared" si="48"/>
        <v>0.49191341288435347</v>
      </c>
      <c r="R289" s="12"/>
    </row>
    <row r="290" spans="1:18" x14ac:dyDescent="0.25">
      <c r="A290" s="306">
        <f>'A) Base RI'!A292</f>
        <v>5909</v>
      </c>
      <c r="B290" s="33" t="str">
        <f>'A) Base RI'!B292</f>
        <v>Cheseaux-Noréaz</v>
      </c>
      <c r="C290" s="304">
        <f>'B) D RI'!U292</f>
        <v>32763.333428571434</v>
      </c>
      <c r="D290" s="33">
        <f>'B) D RI'!AR292</f>
        <v>721</v>
      </c>
      <c r="E290" s="210">
        <f t="shared" si="40"/>
        <v>45.441516544481878</v>
      </c>
      <c r="F290" s="63">
        <f t="shared" si="41"/>
        <v>0.98224633388131544</v>
      </c>
      <c r="G290" s="276">
        <f t="shared" si="42"/>
        <v>0</v>
      </c>
      <c r="H290" s="276">
        <f t="shared" si="43"/>
        <v>0</v>
      </c>
      <c r="I290" s="276">
        <f t="shared" si="44"/>
        <v>0</v>
      </c>
      <c r="J290" s="276">
        <f t="shared" si="45"/>
        <v>0</v>
      </c>
      <c r="K290" s="277">
        <f t="shared" si="46"/>
        <v>0</v>
      </c>
      <c r="L290" s="58">
        <f>K290*D290*'B) D RI'!S292</f>
        <v>0</v>
      </c>
      <c r="M290" s="472">
        <f>(('B) D RI'!S292*C290)-(L290*$M$4))/'B) D RI'!S292</f>
        <v>32763.333428571434</v>
      </c>
      <c r="N290" s="266">
        <f t="shared" si="47"/>
        <v>45.441516544481878</v>
      </c>
      <c r="O290" s="63">
        <f t="shared" si="48"/>
        <v>1.0083933542239207</v>
      </c>
      <c r="R290" s="12"/>
    </row>
    <row r="291" spans="1:18" x14ac:dyDescent="0.25">
      <c r="A291" s="306">
        <f>'A) Base RI'!A293</f>
        <v>5910</v>
      </c>
      <c r="B291" s="33" t="str">
        <f>'A) Base RI'!B293</f>
        <v>Cronay</v>
      </c>
      <c r="C291" s="304">
        <f>'B) D RI'!U293</f>
        <v>9653.2049367088639</v>
      </c>
      <c r="D291" s="33">
        <f>'B) D RI'!AR293</f>
        <v>385</v>
      </c>
      <c r="E291" s="210">
        <f t="shared" si="40"/>
        <v>25.07325957586718</v>
      </c>
      <c r="F291" s="63">
        <f t="shared" si="41"/>
        <v>0.54197392978163716</v>
      </c>
      <c r="G291" s="276">
        <f t="shared" si="42"/>
        <v>0</v>
      </c>
      <c r="H291" s="276">
        <f t="shared" si="43"/>
        <v>0</v>
      </c>
      <c r="I291" s="276">
        <f t="shared" si="44"/>
        <v>0</v>
      </c>
      <c r="J291" s="276">
        <f t="shared" si="45"/>
        <v>0</v>
      </c>
      <c r="K291" s="277">
        <f t="shared" si="46"/>
        <v>0</v>
      </c>
      <c r="L291" s="58">
        <f>K291*D291*'B) D RI'!S293</f>
        <v>0</v>
      </c>
      <c r="M291" s="472">
        <f>(('B) D RI'!S293*C291)-(L291*$M$4))/'B) D RI'!S293</f>
        <v>9653.2049367088639</v>
      </c>
      <c r="N291" s="266">
        <f t="shared" si="47"/>
        <v>25.07325957586718</v>
      </c>
      <c r="O291" s="63">
        <f t="shared" si="48"/>
        <v>0.55640106773914511</v>
      </c>
      <c r="R291" s="12"/>
    </row>
    <row r="292" spans="1:18" x14ac:dyDescent="0.25">
      <c r="A292" s="306">
        <f>'A) Base RI'!A294</f>
        <v>5911</v>
      </c>
      <c r="B292" s="33" t="str">
        <f>'A) Base RI'!B294</f>
        <v>Cuarny</v>
      </c>
      <c r="C292" s="304">
        <f>'B) D RI'!U294</f>
        <v>6896.824556962024</v>
      </c>
      <c r="D292" s="33">
        <f>'B) D RI'!AR294</f>
        <v>243</v>
      </c>
      <c r="E292" s="210">
        <f t="shared" si="40"/>
        <v>28.381994061572115</v>
      </c>
      <c r="F292" s="63">
        <f t="shared" si="41"/>
        <v>0.61349426108899996</v>
      </c>
      <c r="G292" s="276">
        <f t="shared" si="42"/>
        <v>0</v>
      </c>
      <c r="H292" s="276">
        <f t="shared" si="43"/>
        <v>0</v>
      </c>
      <c r="I292" s="276">
        <f t="shared" si="44"/>
        <v>0</v>
      </c>
      <c r="J292" s="276">
        <f t="shared" si="45"/>
        <v>0</v>
      </c>
      <c r="K292" s="277">
        <f t="shared" si="46"/>
        <v>0</v>
      </c>
      <c r="L292" s="58">
        <f>K292*D292*'B) D RI'!S294</f>
        <v>0</v>
      </c>
      <c r="M292" s="472">
        <f>(('B) D RI'!S294*C292)-(L292*$M$4))/'B) D RI'!S294</f>
        <v>6896.824556962024</v>
      </c>
      <c r="N292" s="266">
        <f t="shared" si="47"/>
        <v>28.381994061572115</v>
      </c>
      <c r="O292" s="63">
        <f t="shared" si="48"/>
        <v>0.62982524281064201</v>
      </c>
      <c r="R292" s="12"/>
    </row>
    <row r="293" spans="1:18" x14ac:dyDescent="0.25">
      <c r="A293" s="306">
        <f>'A) Base RI'!A295</f>
        <v>5912</v>
      </c>
      <c r="B293" s="33" t="str">
        <f>'A) Base RI'!B295</f>
        <v>Démoret</v>
      </c>
      <c r="C293" s="304">
        <f>'B) D RI'!U295</f>
        <v>3136.4120987654323</v>
      </c>
      <c r="D293" s="33">
        <f>'B) D RI'!AR295</f>
        <v>141</v>
      </c>
      <c r="E293" s="210">
        <f t="shared" si="40"/>
        <v>22.24405743805271</v>
      </c>
      <c r="F293" s="63">
        <f t="shared" si="41"/>
        <v>0.48081898516271898</v>
      </c>
      <c r="G293" s="276">
        <f t="shared" si="42"/>
        <v>0</v>
      </c>
      <c r="H293" s="276">
        <f t="shared" si="43"/>
        <v>0</v>
      </c>
      <c r="I293" s="276">
        <f t="shared" si="44"/>
        <v>0</v>
      </c>
      <c r="J293" s="276">
        <f t="shared" si="45"/>
        <v>0</v>
      </c>
      <c r="K293" s="277">
        <f t="shared" si="46"/>
        <v>0</v>
      </c>
      <c r="L293" s="58">
        <f>K293*D293*'B) D RI'!S295</f>
        <v>0</v>
      </c>
      <c r="M293" s="472">
        <f>(('B) D RI'!S295*C293)-(L293*$M$4))/'B) D RI'!S295</f>
        <v>3136.4120987654323</v>
      </c>
      <c r="N293" s="266">
        <f t="shared" si="47"/>
        <v>22.24405743805271</v>
      </c>
      <c r="O293" s="63">
        <f t="shared" si="48"/>
        <v>0.49361820197066841</v>
      </c>
      <c r="R293" s="12"/>
    </row>
    <row r="294" spans="1:18" x14ac:dyDescent="0.25">
      <c r="A294" s="306">
        <f>'A) Base RI'!A296</f>
        <v>5913</v>
      </c>
      <c r="B294" s="33" t="str">
        <f>'A) Base RI'!B296</f>
        <v>Donneloye</v>
      </c>
      <c r="C294" s="304">
        <f>'B) D RI'!U296</f>
        <v>20372.909452054791</v>
      </c>
      <c r="D294" s="33">
        <f>'B) D RI'!AR296</f>
        <v>809</v>
      </c>
      <c r="E294" s="210">
        <f t="shared" si="40"/>
        <v>25.182829977818038</v>
      </c>
      <c r="F294" s="63">
        <f t="shared" si="41"/>
        <v>0.5443423614230587</v>
      </c>
      <c r="G294" s="276">
        <f t="shared" si="42"/>
        <v>0</v>
      </c>
      <c r="H294" s="276">
        <f t="shared" si="43"/>
        <v>0</v>
      </c>
      <c r="I294" s="276">
        <f t="shared" si="44"/>
        <v>0</v>
      </c>
      <c r="J294" s="276">
        <f t="shared" si="45"/>
        <v>0</v>
      </c>
      <c r="K294" s="277">
        <f t="shared" si="46"/>
        <v>0</v>
      </c>
      <c r="L294" s="58">
        <f>K294*D294*'B) D RI'!S296</f>
        <v>0</v>
      </c>
      <c r="M294" s="472">
        <f>(('B) D RI'!S296*C294)-(L294*$M$4))/'B) D RI'!S296</f>
        <v>20372.909452054791</v>
      </c>
      <c r="N294" s="266">
        <f t="shared" si="47"/>
        <v>25.182829977818038</v>
      </c>
      <c r="O294" s="63">
        <f t="shared" si="48"/>
        <v>0.55883254612166644</v>
      </c>
      <c r="R294" s="12"/>
    </row>
    <row r="295" spans="1:18" x14ac:dyDescent="0.25">
      <c r="A295" s="306">
        <f>'A) Base RI'!A297</f>
        <v>5914</v>
      </c>
      <c r="B295" s="33" t="str">
        <f>'A) Base RI'!B297</f>
        <v>Ependes</v>
      </c>
      <c r="C295" s="304">
        <f>'B) D RI'!U297</f>
        <v>9355.5792000000001</v>
      </c>
      <c r="D295" s="33">
        <f>'B) D RI'!AR297</f>
        <v>360</v>
      </c>
      <c r="E295" s="210">
        <f t="shared" si="40"/>
        <v>25.987719999999999</v>
      </c>
      <c r="F295" s="63">
        <f t="shared" si="41"/>
        <v>0.56174055438811921</v>
      </c>
      <c r="G295" s="276">
        <f t="shared" si="42"/>
        <v>0</v>
      </c>
      <c r="H295" s="276">
        <f t="shared" si="43"/>
        <v>0</v>
      </c>
      <c r="I295" s="276">
        <f t="shared" si="44"/>
        <v>0</v>
      </c>
      <c r="J295" s="276">
        <f t="shared" si="45"/>
        <v>0</v>
      </c>
      <c r="K295" s="277">
        <f t="shared" si="46"/>
        <v>0</v>
      </c>
      <c r="L295" s="58">
        <f>K295*D295*'B) D RI'!S297</f>
        <v>0</v>
      </c>
      <c r="M295" s="472">
        <f>(('B) D RI'!S297*C295)-(L295*$M$4))/'B) D RI'!S297</f>
        <v>9355.5792000000001</v>
      </c>
      <c r="N295" s="266">
        <f t="shared" si="47"/>
        <v>25.987719999999999</v>
      </c>
      <c r="O295" s="63">
        <f t="shared" si="48"/>
        <v>0.57669387230462799</v>
      </c>
      <c r="R295" s="12"/>
    </row>
    <row r="296" spans="1:18" x14ac:dyDescent="0.25">
      <c r="A296" s="306">
        <f>'A) Base RI'!A298</f>
        <v>5919</v>
      </c>
      <c r="B296" s="33" t="str">
        <f>'A) Base RI'!B298</f>
        <v>Mathod</v>
      </c>
      <c r="C296" s="304">
        <f>'B) D RI'!U298</f>
        <v>17162.928379629626</v>
      </c>
      <c r="D296" s="33">
        <f>'B) D RI'!AR298</f>
        <v>611</v>
      </c>
      <c r="E296" s="210">
        <f t="shared" si="40"/>
        <v>28.089899148329994</v>
      </c>
      <c r="F296" s="63">
        <f t="shared" si="41"/>
        <v>0.60718044985436381</v>
      </c>
      <c r="G296" s="276">
        <f t="shared" si="42"/>
        <v>0</v>
      </c>
      <c r="H296" s="276">
        <f t="shared" si="43"/>
        <v>0</v>
      </c>
      <c r="I296" s="276">
        <f t="shared" si="44"/>
        <v>0</v>
      </c>
      <c r="J296" s="276">
        <f t="shared" si="45"/>
        <v>0</v>
      </c>
      <c r="K296" s="277">
        <f t="shared" si="46"/>
        <v>0</v>
      </c>
      <c r="L296" s="58">
        <f>K296*D296*'B) D RI'!S298</f>
        <v>0</v>
      </c>
      <c r="M296" s="472">
        <f>(('B) D RI'!S298*C296)-(L296*$M$4))/'B) D RI'!S298</f>
        <v>17162.928379629626</v>
      </c>
      <c r="N296" s="266">
        <f t="shared" si="47"/>
        <v>28.089899148329994</v>
      </c>
      <c r="O296" s="63">
        <f t="shared" si="48"/>
        <v>0.62334336034468951</v>
      </c>
      <c r="R296" s="12"/>
    </row>
    <row r="297" spans="1:18" x14ac:dyDescent="0.25">
      <c r="A297" s="306">
        <f>'A) Base RI'!A299</f>
        <v>5921</v>
      </c>
      <c r="B297" s="33" t="str">
        <f>'A) Base RI'!B299</f>
        <v>Molondin</v>
      </c>
      <c r="C297" s="304">
        <f>'B) D RI'!U299</f>
        <v>5558.427777777777</v>
      </c>
      <c r="D297" s="33">
        <f>'B) D RI'!AR299</f>
        <v>235</v>
      </c>
      <c r="E297" s="210">
        <f t="shared" si="40"/>
        <v>23.652884160756496</v>
      </c>
      <c r="F297" s="63">
        <f t="shared" si="41"/>
        <v>0.51127164142684767</v>
      </c>
      <c r="G297" s="276">
        <f t="shared" si="42"/>
        <v>0</v>
      </c>
      <c r="H297" s="276">
        <f t="shared" si="43"/>
        <v>0</v>
      </c>
      <c r="I297" s="276">
        <f t="shared" si="44"/>
        <v>0</v>
      </c>
      <c r="J297" s="276">
        <f t="shared" si="45"/>
        <v>0</v>
      </c>
      <c r="K297" s="277">
        <f t="shared" si="46"/>
        <v>0</v>
      </c>
      <c r="L297" s="58">
        <f>K297*D297*'B) D RI'!S299</f>
        <v>0</v>
      </c>
      <c r="M297" s="472">
        <f>(('B) D RI'!S299*C297)-(L297*$M$4))/'B) D RI'!S299</f>
        <v>5558.427777777777</v>
      </c>
      <c r="N297" s="266">
        <f t="shared" si="47"/>
        <v>23.652884160756496</v>
      </c>
      <c r="O297" s="63">
        <f t="shared" si="48"/>
        <v>0.52488149625436409</v>
      </c>
      <c r="R297" s="12"/>
    </row>
    <row r="298" spans="1:18" x14ac:dyDescent="0.25">
      <c r="A298" s="306">
        <f>'A) Base RI'!A300</f>
        <v>5922</v>
      </c>
      <c r="B298" s="33" t="str">
        <f>'A) Base RI'!B300</f>
        <v>Montagny-près-Yverdon</v>
      </c>
      <c r="C298" s="304">
        <f>'B) D RI'!U300</f>
        <v>39297.928807692319</v>
      </c>
      <c r="D298" s="33">
        <f>'B) D RI'!AR300</f>
        <v>738</v>
      </c>
      <c r="E298" s="210">
        <f t="shared" si="40"/>
        <v>53.24922602668336</v>
      </c>
      <c r="F298" s="63">
        <f t="shared" si="41"/>
        <v>1.1510147773243431</v>
      </c>
      <c r="G298" s="276">
        <f t="shared" si="42"/>
        <v>0</v>
      </c>
      <c r="H298" s="276">
        <f t="shared" si="43"/>
        <v>0</v>
      </c>
      <c r="I298" s="276">
        <f t="shared" si="44"/>
        <v>0</v>
      </c>
      <c r="J298" s="276">
        <f t="shared" si="45"/>
        <v>0</v>
      </c>
      <c r="K298" s="277">
        <f t="shared" si="46"/>
        <v>0</v>
      </c>
      <c r="L298" s="58">
        <f>K298*D298*'B) D RI'!S300</f>
        <v>0</v>
      </c>
      <c r="M298" s="472">
        <f>(('B) D RI'!S300*C298)-(L298*$M$4))/'B) D RI'!S300</f>
        <v>39297.928807692319</v>
      </c>
      <c r="N298" s="266">
        <f t="shared" si="47"/>
        <v>53.24922602668336</v>
      </c>
      <c r="O298" s="63">
        <f t="shared" si="48"/>
        <v>1.1816543488444697</v>
      </c>
      <c r="R298" s="12"/>
    </row>
    <row r="299" spans="1:18" x14ac:dyDescent="0.25">
      <c r="A299" s="306">
        <f>'A) Base RI'!A301</f>
        <v>5923</v>
      </c>
      <c r="B299" s="33" t="str">
        <f>'A) Base RI'!B301</f>
        <v>Oppens</v>
      </c>
      <c r="C299" s="304">
        <f>'B) D RI'!U301</f>
        <v>5148.3425925925922</v>
      </c>
      <c r="D299" s="33">
        <f>'B) D RI'!AR301</f>
        <v>196</v>
      </c>
      <c r="E299" s="210">
        <f t="shared" si="40"/>
        <v>26.267054043839757</v>
      </c>
      <c r="F299" s="63">
        <f t="shared" si="41"/>
        <v>0.5677785315806555</v>
      </c>
      <c r="G299" s="276">
        <f t="shared" si="42"/>
        <v>0</v>
      </c>
      <c r="H299" s="276">
        <f t="shared" si="43"/>
        <v>0</v>
      </c>
      <c r="I299" s="276">
        <f t="shared" si="44"/>
        <v>0</v>
      </c>
      <c r="J299" s="276">
        <f t="shared" si="45"/>
        <v>0</v>
      </c>
      <c r="K299" s="277">
        <f t="shared" si="46"/>
        <v>0</v>
      </c>
      <c r="L299" s="58">
        <f>K299*D299*'B) D RI'!S301</f>
        <v>0</v>
      </c>
      <c r="M299" s="472">
        <f>(('B) D RI'!S301*C299)-(L299*$M$4))/'B) D RI'!S301</f>
        <v>5148.3425925925922</v>
      </c>
      <c r="N299" s="266">
        <f t="shared" si="47"/>
        <v>26.267054043839757</v>
      </c>
      <c r="O299" s="63">
        <f t="shared" si="48"/>
        <v>0.58289257813216722</v>
      </c>
      <c r="R299" s="12"/>
    </row>
    <row r="300" spans="1:18" x14ac:dyDescent="0.25">
      <c r="A300" s="306">
        <f>'A) Base RI'!A302</f>
        <v>5924</v>
      </c>
      <c r="B300" s="33" t="str">
        <f>'A) Base RI'!B302</f>
        <v>Orges</v>
      </c>
      <c r="C300" s="304">
        <f>'B) D RI'!U302</f>
        <v>10554.565405405407</v>
      </c>
      <c r="D300" s="33">
        <f>'B) D RI'!AR302</f>
        <v>332</v>
      </c>
      <c r="E300" s="210">
        <f t="shared" si="40"/>
        <v>31.790859654835561</v>
      </c>
      <c r="F300" s="63">
        <f t="shared" si="41"/>
        <v>0.68717898788282383</v>
      </c>
      <c r="G300" s="276">
        <f t="shared" si="42"/>
        <v>0</v>
      </c>
      <c r="H300" s="276">
        <f t="shared" si="43"/>
        <v>0</v>
      </c>
      <c r="I300" s="276">
        <f t="shared" si="44"/>
        <v>0</v>
      </c>
      <c r="J300" s="276">
        <f t="shared" si="45"/>
        <v>0</v>
      </c>
      <c r="K300" s="277">
        <f t="shared" si="46"/>
        <v>0</v>
      </c>
      <c r="L300" s="58">
        <f>K300*D300*'B) D RI'!S302</f>
        <v>0</v>
      </c>
      <c r="M300" s="472">
        <f>(('B) D RI'!S302*C300)-(L300*$M$4))/'B) D RI'!S302</f>
        <v>10554.565405405407</v>
      </c>
      <c r="N300" s="266">
        <f t="shared" si="47"/>
        <v>31.790859654835561</v>
      </c>
      <c r="O300" s="63">
        <f t="shared" si="48"/>
        <v>0.70547142874558011</v>
      </c>
      <c r="R300" s="12"/>
    </row>
    <row r="301" spans="1:18" x14ac:dyDescent="0.25">
      <c r="A301" s="306">
        <f>'A) Base RI'!A303</f>
        <v>5925</v>
      </c>
      <c r="B301" s="33" t="str">
        <f>'A) Base RI'!B303</f>
        <v>Orzens</v>
      </c>
      <c r="C301" s="304">
        <f>'B) D RI'!U303</f>
        <v>5593.0722784810123</v>
      </c>
      <c r="D301" s="33">
        <f>'B) D RI'!AR303</f>
        <v>196</v>
      </c>
      <c r="E301" s="210">
        <f t="shared" si="40"/>
        <v>28.536083053474552</v>
      </c>
      <c r="F301" s="63">
        <f t="shared" si="41"/>
        <v>0.61682498943825037</v>
      </c>
      <c r="G301" s="276">
        <f t="shared" si="42"/>
        <v>0</v>
      </c>
      <c r="H301" s="276">
        <f t="shared" si="43"/>
        <v>0</v>
      </c>
      <c r="I301" s="276">
        <f t="shared" si="44"/>
        <v>0</v>
      </c>
      <c r="J301" s="276">
        <f t="shared" si="45"/>
        <v>0</v>
      </c>
      <c r="K301" s="277">
        <f t="shared" si="46"/>
        <v>0</v>
      </c>
      <c r="L301" s="58">
        <f>K301*D301*'B) D RI'!S303</f>
        <v>0</v>
      </c>
      <c r="M301" s="472">
        <f>(('B) D RI'!S303*C301)-(L301*$M$4))/'B) D RI'!S303</f>
        <v>5593.0722784810123</v>
      </c>
      <c r="N301" s="266">
        <f t="shared" si="47"/>
        <v>28.536083053474552</v>
      </c>
      <c r="O301" s="63">
        <f t="shared" si="48"/>
        <v>0.63324463386994745</v>
      </c>
      <c r="R301" s="12"/>
    </row>
    <row r="302" spans="1:18" x14ac:dyDescent="0.25">
      <c r="A302" s="306">
        <f>'A) Base RI'!A304</f>
        <v>5926</v>
      </c>
      <c r="B302" s="33" t="str">
        <f>'A) Base RI'!B304</f>
        <v>Pomy</v>
      </c>
      <c r="C302" s="304">
        <f>'B) D RI'!U304</f>
        <v>26612.015633802817</v>
      </c>
      <c r="D302" s="33">
        <f>'B) D RI'!AR304</f>
        <v>780</v>
      </c>
      <c r="E302" s="210">
        <f t="shared" si="40"/>
        <v>34.11796876128566</v>
      </c>
      <c r="F302" s="63">
        <f t="shared" si="41"/>
        <v>0.73748088276159429</v>
      </c>
      <c r="G302" s="276">
        <f t="shared" si="42"/>
        <v>0</v>
      </c>
      <c r="H302" s="276">
        <f t="shared" si="43"/>
        <v>0</v>
      </c>
      <c r="I302" s="276">
        <f t="shared" si="44"/>
        <v>0</v>
      </c>
      <c r="J302" s="276">
        <f t="shared" si="45"/>
        <v>0</v>
      </c>
      <c r="K302" s="277">
        <f t="shared" si="46"/>
        <v>0</v>
      </c>
      <c r="L302" s="58">
        <f>K302*D302*'B) D RI'!S304</f>
        <v>0</v>
      </c>
      <c r="M302" s="472">
        <f>(('B) D RI'!S304*C302)-(L302*$M$4))/'B) D RI'!S304</f>
        <v>26612.015633802817</v>
      </c>
      <c r="N302" s="266">
        <f t="shared" si="47"/>
        <v>34.11796876128566</v>
      </c>
      <c r="O302" s="63">
        <f t="shared" si="48"/>
        <v>0.75711234075610168</v>
      </c>
      <c r="R302" s="12"/>
    </row>
    <row r="303" spans="1:18" x14ac:dyDescent="0.25">
      <c r="A303" s="306">
        <f>'A) Base RI'!A305</f>
        <v>5928</v>
      </c>
      <c r="B303" s="33" t="str">
        <f>'A) Base RI'!B305</f>
        <v>Rovray</v>
      </c>
      <c r="C303" s="304">
        <f>'B) D RI'!U305</f>
        <v>4333.9980821917816</v>
      </c>
      <c r="D303" s="33">
        <f>'B) D RI'!AR305</f>
        <v>180</v>
      </c>
      <c r="E303" s="210">
        <f t="shared" si="40"/>
        <v>24.077767123287675</v>
      </c>
      <c r="F303" s="63">
        <f t="shared" si="41"/>
        <v>0.52045574803267269</v>
      </c>
      <c r="G303" s="276">
        <f t="shared" si="42"/>
        <v>0</v>
      </c>
      <c r="H303" s="276">
        <f t="shared" si="43"/>
        <v>0</v>
      </c>
      <c r="I303" s="276">
        <f t="shared" si="44"/>
        <v>0</v>
      </c>
      <c r="J303" s="276">
        <f t="shared" si="45"/>
        <v>0</v>
      </c>
      <c r="K303" s="277">
        <f t="shared" si="46"/>
        <v>0</v>
      </c>
      <c r="L303" s="58">
        <f>K303*D303*'B) D RI'!S305</f>
        <v>0</v>
      </c>
      <c r="M303" s="472">
        <f>(('B) D RI'!S305*C303)-(L303*$M$4))/'B) D RI'!S305</f>
        <v>4333.9980821917816</v>
      </c>
      <c r="N303" s="266">
        <f t="shared" si="47"/>
        <v>24.077767123287675</v>
      </c>
      <c r="O303" s="63">
        <f t="shared" si="48"/>
        <v>0.53431008025243587</v>
      </c>
      <c r="R303" s="12"/>
    </row>
    <row r="304" spans="1:18" x14ac:dyDescent="0.25">
      <c r="A304" s="306">
        <f>'A) Base RI'!A306</f>
        <v>5929</v>
      </c>
      <c r="B304" s="33" t="str">
        <f>'A) Base RI'!B306</f>
        <v>Suchy</v>
      </c>
      <c r="C304" s="304">
        <f>'B) D RI'!U306</f>
        <v>17148.792607142859</v>
      </c>
      <c r="D304" s="33">
        <f>'B) D RI'!AR306</f>
        <v>599</v>
      </c>
      <c r="E304" s="210">
        <f t="shared" si="40"/>
        <v>28.629036072024807</v>
      </c>
      <c r="F304" s="63">
        <f t="shared" si="41"/>
        <v>0.61883422611512962</v>
      </c>
      <c r="G304" s="276">
        <f t="shared" si="42"/>
        <v>0</v>
      </c>
      <c r="H304" s="276">
        <f t="shared" si="43"/>
        <v>0</v>
      </c>
      <c r="I304" s="276">
        <f t="shared" si="44"/>
        <v>0</v>
      </c>
      <c r="J304" s="276">
        <f t="shared" si="45"/>
        <v>0</v>
      </c>
      <c r="K304" s="277">
        <f t="shared" si="46"/>
        <v>0</v>
      </c>
      <c r="L304" s="58">
        <f>K304*D304*'B) D RI'!S306</f>
        <v>0</v>
      </c>
      <c r="M304" s="472">
        <f>(('B) D RI'!S306*C304)-(L304*$M$4))/'B) D RI'!S306</f>
        <v>17148.792607142859</v>
      </c>
      <c r="N304" s="266">
        <f t="shared" si="47"/>
        <v>28.629036072024807</v>
      </c>
      <c r="O304" s="63">
        <f t="shared" si="48"/>
        <v>0.63530735565585827</v>
      </c>
      <c r="R304" s="12"/>
    </row>
    <row r="305" spans="1:18" x14ac:dyDescent="0.25">
      <c r="A305" s="306">
        <f>'A) Base RI'!A307</f>
        <v>5930</v>
      </c>
      <c r="B305" s="33" t="str">
        <f>'A) Base RI'!B307</f>
        <v>Suscévaz</v>
      </c>
      <c r="C305" s="304">
        <f>'B) D RI'!U307</f>
        <v>5907.1765277777777</v>
      </c>
      <c r="D305" s="33">
        <f>'B) D RI'!AR307</f>
        <v>213</v>
      </c>
      <c r="E305" s="210">
        <f t="shared" si="40"/>
        <v>27.733223135106936</v>
      </c>
      <c r="F305" s="63">
        <f t="shared" si="41"/>
        <v>0.59947067841597423</v>
      </c>
      <c r="G305" s="276">
        <f t="shared" si="42"/>
        <v>0</v>
      </c>
      <c r="H305" s="276">
        <f t="shared" si="43"/>
        <v>0</v>
      </c>
      <c r="I305" s="276">
        <f t="shared" si="44"/>
        <v>0</v>
      </c>
      <c r="J305" s="276">
        <f t="shared" si="45"/>
        <v>0</v>
      </c>
      <c r="K305" s="277">
        <f t="shared" si="46"/>
        <v>0</v>
      </c>
      <c r="L305" s="58">
        <f>K305*D305*'B) D RI'!S307</f>
        <v>0</v>
      </c>
      <c r="M305" s="472">
        <f>(('B) D RI'!S307*C305)-(L305*$M$4))/'B) D RI'!S307</f>
        <v>5907.1765277777777</v>
      </c>
      <c r="N305" s="266">
        <f t="shared" si="47"/>
        <v>27.733223135106936</v>
      </c>
      <c r="O305" s="63">
        <f t="shared" si="48"/>
        <v>0.61542835775024174</v>
      </c>
      <c r="R305" s="12"/>
    </row>
    <row r="306" spans="1:18" x14ac:dyDescent="0.25">
      <c r="A306" s="306">
        <f>'A) Base RI'!A308</f>
        <v>5931</v>
      </c>
      <c r="B306" s="33" t="str">
        <f>'A) Base RI'!B308</f>
        <v>Treycovagnes</v>
      </c>
      <c r="C306" s="304">
        <f>'B) D RI'!U308</f>
        <v>12973.060799999999</v>
      </c>
      <c r="D306" s="33">
        <f>'B) D RI'!AR308</f>
        <v>480</v>
      </c>
      <c r="E306" s="210">
        <f t="shared" si="40"/>
        <v>27.02721</v>
      </c>
      <c r="F306" s="63">
        <f t="shared" si="41"/>
        <v>0.58420977019007891</v>
      </c>
      <c r="G306" s="276">
        <f t="shared" si="42"/>
        <v>0</v>
      </c>
      <c r="H306" s="276">
        <f t="shared" si="43"/>
        <v>0</v>
      </c>
      <c r="I306" s="276">
        <f t="shared" si="44"/>
        <v>0</v>
      </c>
      <c r="J306" s="276">
        <f t="shared" si="45"/>
        <v>0</v>
      </c>
      <c r="K306" s="277">
        <f t="shared" si="46"/>
        <v>0</v>
      </c>
      <c r="L306" s="58">
        <f>K306*D306*'B) D RI'!S308</f>
        <v>0</v>
      </c>
      <c r="M306" s="472">
        <f>(('B) D RI'!S308*C306)-(L306*$M$4))/'B) D RI'!S308</f>
        <v>12973.060799999999</v>
      </c>
      <c r="N306" s="266">
        <f t="shared" si="47"/>
        <v>27.02721</v>
      </c>
      <c r="O306" s="63">
        <f t="shared" si="48"/>
        <v>0.59976121000573979</v>
      </c>
      <c r="R306" s="12"/>
    </row>
    <row r="307" spans="1:18" x14ac:dyDescent="0.25">
      <c r="A307" s="306">
        <f>'A) Base RI'!A309</f>
        <v>5932</v>
      </c>
      <c r="B307" s="33" t="str">
        <f>'A) Base RI'!B309</f>
        <v>Ursins</v>
      </c>
      <c r="C307" s="304">
        <f>'B) D RI'!U309</f>
        <v>6683.323116883118</v>
      </c>
      <c r="D307" s="33">
        <f>'B) D RI'!AR309</f>
        <v>230</v>
      </c>
      <c r="E307" s="210">
        <f t="shared" si="40"/>
        <v>29.057926595143993</v>
      </c>
      <c r="F307" s="63">
        <f t="shared" si="41"/>
        <v>0.62810495860835269</v>
      </c>
      <c r="G307" s="276">
        <f t="shared" si="42"/>
        <v>0</v>
      </c>
      <c r="H307" s="276">
        <f t="shared" si="43"/>
        <v>0</v>
      </c>
      <c r="I307" s="276">
        <f t="shared" si="44"/>
        <v>0</v>
      </c>
      <c r="J307" s="276">
        <f t="shared" si="45"/>
        <v>0</v>
      </c>
      <c r="K307" s="277">
        <f t="shared" si="46"/>
        <v>0</v>
      </c>
      <c r="L307" s="58">
        <f>K307*D307*'B) D RI'!S309</f>
        <v>0</v>
      </c>
      <c r="M307" s="472">
        <f>(('B) D RI'!S309*C307)-(L307*$M$4))/'B) D RI'!S309</f>
        <v>6683.323116883118</v>
      </c>
      <c r="N307" s="266">
        <f t="shared" si="47"/>
        <v>29.057926595143993</v>
      </c>
      <c r="O307" s="63">
        <f t="shared" si="48"/>
        <v>0.64482487148919654</v>
      </c>
      <c r="R307" s="12"/>
    </row>
    <row r="308" spans="1:18" x14ac:dyDescent="0.25">
      <c r="A308" s="306">
        <f>'A) Base RI'!A310</f>
        <v>5933</v>
      </c>
      <c r="B308" s="33" t="str">
        <f>'A) Base RI'!B310</f>
        <v>Valeyres-sous-Montagny</v>
      </c>
      <c r="C308" s="304">
        <f>'B) D RI'!U310</f>
        <v>22363.871527777774</v>
      </c>
      <c r="D308" s="33">
        <f>'B) D RI'!AR310</f>
        <v>708</v>
      </c>
      <c r="E308" s="210">
        <f t="shared" si="40"/>
        <v>31.587389163527931</v>
      </c>
      <c r="F308" s="63">
        <f t="shared" si="41"/>
        <v>0.68278084804644068</v>
      </c>
      <c r="G308" s="276">
        <f t="shared" si="42"/>
        <v>0</v>
      </c>
      <c r="H308" s="276">
        <f t="shared" si="43"/>
        <v>0</v>
      </c>
      <c r="I308" s="276">
        <f t="shared" si="44"/>
        <v>0</v>
      </c>
      <c r="J308" s="276">
        <f t="shared" si="45"/>
        <v>0</v>
      </c>
      <c r="K308" s="277">
        <f t="shared" si="46"/>
        <v>0</v>
      </c>
      <c r="L308" s="58">
        <f>K308*D308*'B) D RI'!S310</f>
        <v>0</v>
      </c>
      <c r="M308" s="472">
        <f>(('B) D RI'!S310*C308)-(L308*$M$4))/'B) D RI'!S310</f>
        <v>22363.871527777774</v>
      </c>
      <c r="N308" s="266">
        <f t="shared" si="47"/>
        <v>31.587389163527931</v>
      </c>
      <c r="O308" s="63">
        <f t="shared" si="48"/>
        <v>0.70095621211511305</v>
      </c>
      <c r="R308" s="12"/>
    </row>
    <row r="309" spans="1:18" x14ac:dyDescent="0.25">
      <c r="A309" s="306">
        <f>'A) Base RI'!A311</f>
        <v>5934</v>
      </c>
      <c r="B309" s="33" t="str">
        <f>'A) Base RI'!B311</f>
        <v>Valeyres-sous-Ursins</v>
      </c>
      <c r="C309" s="304">
        <f>'B) D RI'!U311</f>
        <v>7624.9658227848104</v>
      </c>
      <c r="D309" s="33">
        <f>'B) D RI'!AR311</f>
        <v>232</v>
      </c>
      <c r="E309" s="210">
        <f t="shared" si="40"/>
        <v>32.866231994762117</v>
      </c>
      <c r="F309" s="63">
        <f t="shared" si="41"/>
        <v>0.71042382253565195</v>
      </c>
      <c r="G309" s="276">
        <f t="shared" si="42"/>
        <v>0</v>
      </c>
      <c r="H309" s="276">
        <f t="shared" si="43"/>
        <v>0</v>
      </c>
      <c r="I309" s="276">
        <f t="shared" si="44"/>
        <v>0</v>
      </c>
      <c r="J309" s="276">
        <f t="shared" si="45"/>
        <v>0</v>
      </c>
      <c r="K309" s="277">
        <f t="shared" si="46"/>
        <v>0</v>
      </c>
      <c r="L309" s="58">
        <f>K309*D309*'B) D RI'!S311</f>
        <v>0</v>
      </c>
      <c r="M309" s="472">
        <f>(('B) D RI'!S311*C309)-(L309*$M$4))/'B) D RI'!S311</f>
        <v>7624.9658227848104</v>
      </c>
      <c r="N309" s="266">
        <f t="shared" si="47"/>
        <v>32.866231994762117</v>
      </c>
      <c r="O309" s="63">
        <f t="shared" si="48"/>
        <v>0.72933503197362526</v>
      </c>
      <c r="R309" s="12"/>
    </row>
    <row r="310" spans="1:18" x14ac:dyDescent="0.25">
      <c r="A310" s="306">
        <f>'A) Base RI'!A312</f>
        <v>5935</v>
      </c>
      <c r="B310" s="33" t="str">
        <f>'A) Base RI'!B312</f>
        <v>Villars-Epeney</v>
      </c>
      <c r="C310" s="304">
        <f>'B) D RI'!U312</f>
        <v>5603.6660000000002</v>
      </c>
      <c r="D310" s="33">
        <f>'B) D RI'!AR312</f>
        <v>100</v>
      </c>
      <c r="E310" s="210">
        <f t="shared" si="40"/>
        <v>56.036660000000005</v>
      </c>
      <c r="F310" s="63">
        <f t="shared" si="41"/>
        <v>1.2112668773735651</v>
      </c>
      <c r="G310" s="276">
        <f t="shared" si="42"/>
        <v>0.52123787782685582</v>
      </c>
      <c r="H310" s="276">
        <f t="shared" si="43"/>
        <v>0</v>
      </c>
      <c r="I310" s="276">
        <f t="shared" si="44"/>
        <v>0</v>
      </c>
      <c r="J310" s="276">
        <f t="shared" si="45"/>
        <v>0</v>
      </c>
      <c r="K310" s="277">
        <f t="shared" si="46"/>
        <v>0.18764563601766809</v>
      </c>
      <c r="L310" s="58">
        <f>K310*D310*'B) D RI'!S312</f>
        <v>1125.8738161060087</v>
      </c>
      <c r="M310" s="472">
        <f>(('B) D RI'!S312*C310)-(L310*$M$4))/'B) D RI'!S312</f>
        <v>5594.2837181991172</v>
      </c>
      <c r="N310" s="266">
        <f t="shared" si="47"/>
        <v>55.942837181991173</v>
      </c>
      <c r="O310" s="63">
        <f t="shared" si="48"/>
        <v>1.2414283131490493</v>
      </c>
      <c r="R310" s="12"/>
    </row>
    <row r="311" spans="1:18" x14ac:dyDescent="0.25">
      <c r="A311" s="306">
        <f>'A) Base RI'!A313</f>
        <v>5937</v>
      </c>
      <c r="B311" s="33" t="str">
        <f>'A) Base RI'!B313</f>
        <v>Vugelles-La Mothe</v>
      </c>
      <c r="C311" s="304">
        <f>'B) D RI'!U313</f>
        <v>2433.2134081632657</v>
      </c>
      <c r="D311" s="33">
        <f>'B) D RI'!AR313</f>
        <v>132</v>
      </c>
      <c r="E311" s="210">
        <f t="shared" si="40"/>
        <v>18.433434910327772</v>
      </c>
      <c r="F311" s="63">
        <f t="shared" si="41"/>
        <v>0.39845003508598803</v>
      </c>
      <c r="G311" s="276">
        <f t="shared" si="42"/>
        <v>0</v>
      </c>
      <c r="H311" s="276">
        <f t="shared" si="43"/>
        <v>0</v>
      </c>
      <c r="I311" s="276">
        <f t="shared" si="44"/>
        <v>0</v>
      </c>
      <c r="J311" s="276">
        <f t="shared" si="45"/>
        <v>0</v>
      </c>
      <c r="K311" s="277">
        <f t="shared" si="46"/>
        <v>0</v>
      </c>
      <c r="L311" s="58">
        <f>K311*D311*'B) D RI'!S313</f>
        <v>0</v>
      </c>
      <c r="M311" s="472">
        <f>(('B) D RI'!S313*C311)-(L311*$M$4))/'B) D RI'!S313</f>
        <v>2433.2134081632657</v>
      </c>
      <c r="N311" s="266">
        <f t="shared" si="47"/>
        <v>18.433434910327772</v>
      </c>
      <c r="O311" s="63">
        <f t="shared" si="48"/>
        <v>0.40905662206273713</v>
      </c>
      <c r="R311" s="12"/>
    </row>
    <row r="312" spans="1:18" x14ac:dyDescent="0.25">
      <c r="A312" s="306">
        <f>'A) Base RI'!A314</f>
        <v>5938</v>
      </c>
      <c r="B312" s="33" t="str">
        <f>'A) Base RI'!B314</f>
        <v>Yverdon-les-Bains</v>
      </c>
      <c r="C312" s="304">
        <f>'B) D RI'!U314</f>
        <v>774658.89816993475</v>
      </c>
      <c r="D312" s="33">
        <f>'B) D RI'!AR314</f>
        <v>30211</v>
      </c>
      <c r="E312" s="210">
        <f t="shared" si="40"/>
        <v>25.641617231138817</v>
      </c>
      <c r="F312" s="63">
        <f t="shared" si="41"/>
        <v>0.55425933013084139</v>
      </c>
      <c r="G312" s="276">
        <f t="shared" si="42"/>
        <v>0</v>
      </c>
      <c r="H312" s="276">
        <f t="shared" si="43"/>
        <v>0</v>
      </c>
      <c r="I312" s="276">
        <f t="shared" si="44"/>
        <v>0</v>
      </c>
      <c r="J312" s="276">
        <f t="shared" si="45"/>
        <v>0</v>
      </c>
      <c r="K312" s="277">
        <f t="shared" si="46"/>
        <v>0</v>
      </c>
      <c r="L312" s="58">
        <f>K312*D312*'B) D RI'!S314</f>
        <v>0</v>
      </c>
      <c r="M312" s="472">
        <f>(('B) D RI'!S314*C312)-(L312*$M$4))/'B) D RI'!S314</f>
        <v>774658.89816993475</v>
      </c>
      <c r="N312" s="266">
        <f t="shared" si="47"/>
        <v>25.641617231138817</v>
      </c>
      <c r="O312" s="63">
        <f t="shared" si="48"/>
        <v>0.56901350072951828</v>
      </c>
      <c r="R312" s="12"/>
    </row>
    <row r="313" spans="1:18" x14ac:dyDescent="0.25">
      <c r="A313" s="306">
        <f>'A) Base RI'!A315</f>
        <v>5939</v>
      </c>
      <c r="B313" s="33" t="str">
        <f>'A) Base RI'!B315</f>
        <v>Yvonand</v>
      </c>
      <c r="C313" s="304">
        <f>'B) D RI'!U315</f>
        <v>93821.233287671232</v>
      </c>
      <c r="D313" s="33">
        <f>'B) D RI'!AR315</f>
        <v>3426</v>
      </c>
      <c r="E313" s="210">
        <f t="shared" si="40"/>
        <v>27.385065174451615</v>
      </c>
      <c r="F313" s="63">
        <f t="shared" si="41"/>
        <v>0.59194502992379572</v>
      </c>
      <c r="G313" s="276">
        <f t="shared" si="42"/>
        <v>0</v>
      </c>
      <c r="H313" s="276">
        <f t="shared" si="43"/>
        <v>0</v>
      </c>
      <c r="I313" s="276">
        <f t="shared" si="44"/>
        <v>0</v>
      </c>
      <c r="J313" s="276">
        <f t="shared" si="45"/>
        <v>0</v>
      </c>
      <c r="K313" s="277">
        <f t="shared" si="46"/>
        <v>0</v>
      </c>
      <c r="L313" s="58">
        <f>K313*D313*'B) D RI'!S315</f>
        <v>0</v>
      </c>
      <c r="M313" s="472">
        <f>(('B) D RI'!S315*C313)-(L313*$M$4))/'B) D RI'!S315</f>
        <v>93821.233287671232</v>
      </c>
      <c r="N313" s="266">
        <f t="shared" si="47"/>
        <v>27.385065174451615</v>
      </c>
      <c r="O313" s="63">
        <f t="shared" si="48"/>
        <v>0.60770237938415195</v>
      </c>
      <c r="R313" s="12"/>
    </row>
    <row r="314" spans="1:18" x14ac:dyDescent="0.25">
      <c r="A314" s="7"/>
      <c r="B314" s="125">
        <f>COUNTA(B5:B313)</f>
        <v>309</v>
      </c>
      <c r="C314" s="305">
        <f>SUM(C5:C313)</f>
        <v>37017775.996768594</v>
      </c>
      <c r="D314" s="278">
        <f>SUM(D5:D313)</f>
        <v>800162</v>
      </c>
      <c r="E314" s="64">
        <f>C314/D314</f>
        <v>46.262851768477624</v>
      </c>
      <c r="F314" s="65">
        <v>1</v>
      </c>
      <c r="G314" s="31"/>
      <c r="H314" s="31"/>
      <c r="I314" s="31"/>
      <c r="J314" s="31"/>
      <c r="K314" s="31"/>
      <c r="L314" s="38">
        <f>SUM(L5:L313)</f>
        <v>109478427.37115017</v>
      </c>
      <c r="M314" s="11">
        <f>SUM(M5:M313)</f>
        <v>36057927.800654255</v>
      </c>
      <c r="N314" s="103">
        <f t="shared" ref="N314" si="49">M314/D314</f>
        <v>45.063284435719588</v>
      </c>
      <c r="O314" s="65">
        <v>1</v>
      </c>
      <c r="R314" s="12"/>
    </row>
    <row r="315" spans="1:18" x14ac:dyDescent="0.25">
      <c r="L315" s="13"/>
      <c r="M315" s="210"/>
    </row>
    <row r="317" spans="1:18" x14ac:dyDescent="0.25">
      <c r="F317" s="15"/>
    </row>
    <row r="318" spans="1:18" x14ac:dyDescent="0.25">
      <c r="F318" s="15"/>
    </row>
    <row r="319" spans="1:18" x14ac:dyDescent="0.25">
      <c r="F319" s="15"/>
      <c r="G319" s="18"/>
    </row>
    <row r="320" spans="1:18" x14ac:dyDescent="0.25">
      <c r="E320" s="29"/>
    </row>
  </sheetData>
  <mergeCells count="8">
    <mergeCell ref="A3:A4"/>
    <mergeCell ref="B3:B4"/>
    <mergeCell ref="F3:F4"/>
    <mergeCell ref="C3:E3"/>
    <mergeCell ref="O3:O4"/>
    <mergeCell ref="N3:N4"/>
    <mergeCell ref="L3:L4"/>
    <mergeCell ref="K3:K4"/>
  </mergeCells>
  <phoneticPr fontId="10" type="noConversion"/>
  <pageMargins left="0.78740157499999996" right="0.78740157499999996" top="0.984251969" bottom="0.984251969" header="0.4921259845" footer="0.4921259845"/>
  <pageSetup paperSize="9" orientation="portrait" horizontalDpi="4294967292" verticalDpi="4294967292"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8">
    <tabColor rgb="FF00B050"/>
  </sheetPr>
  <dimension ref="A1:AG332"/>
  <sheetViews>
    <sheetView workbookViewId="0"/>
  </sheetViews>
  <sheetFormatPr baseColWidth="10" defaultColWidth="10.75" defaultRowHeight="15" x14ac:dyDescent="0.25"/>
  <cols>
    <col min="1" max="1" width="7.25" style="13" customWidth="1"/>
    <col min="2" max="2" width="18" style="13" customWidth="1"/>
    <col min="3" max="3" width="10.375" style="13" customWidth="1"/>
    <col min="4" max="4" width="12.75" style="13" customWidth="1"/>
    <col min="5" max="5" width="10.75" style="13" bestFit="1" customWidth="1"/>
    <col min="6" max="6" width="15.125" style="13" customWidth="1"/>
    <col min="7" max="7" width="12.125" style="13" customWidth="1"/>
    <col min="8" max="8" width="9.25" style="13" customWidth="1"/>
    <col min="9" max="10" width="12.125" style="13" customWidth="1"/>
    <col min="11" max="12" width="9.25" style="13" customWidth="1"/>
    <col min="13" max="13" width="12.125" style="13" customWidth="1"/>
    <col min="14" max="14" width="14" style="13" customWidth="1"/>
    <col min="15" max="20" width="12.125" style="13" customWidth="1"/>
    <col min="21" max="23" width="8.125" style="13" customWidth="1"/>
    <col min="24" max="31" width="11" style="13" customWidth="1"/>
    <col min="32" max="32" width="9.25" style="13" customWidth="1"/>
    <col min="33" max="33" width="11" style="13" customWidth="1"/>
    <col min="34" max="16384" width="10.75" style="13"/>
  </cols>
  <sheetData>
    <row r="1" spans="1:33" s="44" customFormat="1" ht="20.25" customHeight="1" x14ac:dyDescent="0.25">
      <c r="A1" s="52" t="s">
        <v>98</v>
      </c>
      <c r="B1" s="43"/>
      <c r="C1" s="73"/>
      <c r="D1" s="73"/>
      <c r="E1" s="73"/>
      <c r="F1" s="73"/>
      <c r="G1" s="73"/>
      <c r="H1" s="73"/>
      <c r="I1" s="73"/>
      <c r="J1" s="73"/>
      <c r="K1" s="13"/>
      <c r="L1" s="13"/>
      <c r="M1" s="73"/>
      <c r="N1" s="13"/>
      <c r="O1" s="13"/>
      <c r="P1" s="13"/>
      <c r="Q1" s="13"/>
      <c r="R1" s="13"/>
      <c r="S1" s="13"/>
      <c r="T1" s="13"/>
      <c r="U1" s="13"/>
      <c r="V1" s="13"/>
      <c r="W1" s="13"/>
      <c r="X1" s="13"/>
      <c r="Y1" s="13"/>
      <c r="Z1" s="13"/>
      <c r="AA1" s="13"/>
      <c r="AB1" s="13"/>
      <c r="AC1" s="13"/>
      <c r="AD1" s="13"/>
      <c r="AE1" s="13"/>
      <c r="AF1" s="13"/>
      <c r="AG1" s="13"/>
    </row>
    <row r="2" spans="1:33" s="54" customFormat="1" x14ac:dyDescent="0.25">
      <c r="A2" s="28"/>
      <c r="D2" s="13"/>
      <c r="E2" s="13"/>
      <c r="F2" s="13"/>
      <c r="G2" s="13"/>
      <c r="K2" s="13"/>
      <c r="L2" s="13"/>
      <c r="N2" s="13"/>
      <c r="O2" s="13"/>
      <c r="P2" s="13"/>
      <c r="Q2" s="13"/>
      <c r="R2" s="13"/>
      <c r="S2" s="13"/>
      <c r="T2" s="13"/>
      <c r="U2" s="13"/>
      <c r="V2" s="13"/>
      <c r="W2" s="13"/>
      <c r="X2" s="13"/>
      <c r="Y2" s="13"/>
      <c r="Z2" s="13"/>
      <c r="AA2" s="13"/>
      <c r="AB2" s="13"/>
      <c r="AC2" s="13"/>
      <c r="AD2" s="13"/>
      <c r="AE2" s="13"/>
      <c r="AF2" s="13"/>
      <c r="AG2" s="13"/>
    </row>
    <row r="3" spans="1:33" s="54" customFormat="1" ht="30" x14ac:dyDescent="0.25">
      <c r="A3" s="556" t="s">
        <v>97</v>
      </c>
      <c r="B3" s="557"/>
      <c r="C3" s="558"/>
      <c r="D3" s="66" t="s">
        <v>2</v>
      </c>
      <c r="E3" s="69" t="s">
        <v>1</v>
      </c>
      <c r="F3" s="13"/>
      <c r="G3" s="13"/>
      <c r="K3" s="13"/>
      <c r="L3" s="13"/>
      <c r="N3" s="13"/>
      <c r="O3" s="13"/>
      <c r="P3" s="13"/>
      <c r="Q3" s="13"/>
      <c r="R3" s="13"/>
      <c r="S3" s="13"/>
      <c r="T3" s="13"/>
      <c r="U3" s="13"/>
      <c r="V3" s="13"/>
      <c r="W3" s="13"/>
      <c r="X3" s="13"/>
      <c r="Y3" s="13"/>
      <c r="Z3" s="13"/>
      <c r="AA3" s="13"/>
      <c r="AB3" s="13"/>
      <c r="AC3" s="13"/>
      <c r="AD3" s="13"/>
      <c r="AE3" s="13"/>
      <c r="AF3" s="13"/>
      <c r="AG3" s="13"/>
    </row>
    <row r="4" spans="1:33" s="54" customFormat="1" x14ac:dyDescent="0.25">
      <c r="A4" s="84" t="s">
        <v>412</v>
      </c>
      <c r="B4" s="85"/>
      <c r="C4" s="94">
        <f>+Paramètres!B58</f>
        <v>790010914</v>
      </c>
      <c r="D4" s="92">
        <f>C4/$E$4</f>
        <v>21.909492923929633</v>
      </c>
      <c r="E4" s="97">
        <f>'D) Ecrêtage'!M314</f>
        <v>36057927.800654255</v>
      </c>
      <c r="F4" s="13"/>
      <c r="G4" s="13"/>
      <c r="K4" s="13"/>
      <c r="L4" s="13"/>
      <c r="N4" s="13"/>
      <c r="O4" s="13"/>
      <c r="P4" s="13"/>
      <c r="Q4" s="13"/>
      <c r="R4" s="13"/>
      <c r="S4" s="13"/>
      <c r="T4" s="13"/>
      <c r="U4" s="13"/>
      <c r="V4" s="13"/>
      <c r="W4" s="13"/>
      <c r="X4" s="13"/>
      <c r="Y4" s="13"/>
      <c r="Z4" s="13"/>
      <c r="AA4" s="13"/>
      <c r="AB4" s="13"/>
      <c r="AC4" s="13"/>
      <c r="AD4" s="13"/>
      <c r="AE4" s="13"/>
      <c r="AF4" s="13"/>
      <c r="AG4" s="13"/>
    </row>
    <row r="5" spans="1:33" s="54" customFormat="1" x14ac:dyDescent="0.25">
      <c r="A5" s="86" t="s">
        <v>381</v>
      </c>
      <c r="B5" s="87"/>
      <c r="C5" s="9">
        <f>-'C) Prél. conj.'!H314</f>
        <v>-152965574.78</v>
      </c>
      <c r="D5" s="34">
        <f>C5/$E$4</f>
        <v>-4.2422175679553193</v>
      </c>
      <c r="E5" s="77"/>
      <c r="F5" s="13"/>
      <c r="G5" s="13"/>
      <c r="K5" s="13"/>
      <c r="L5" s="13"/>
      <c r="N5" s="13"/>
      <c r="O5" s="13"/>
      <c r="P5" s="13"/>
      <c r="Q5" s="13"/>
      <c r="R5" s="13"/>
      <c r="S5" s="13"/>
      <c r="T5" s="13"/>
      <c r="U5" s="13"/>
      <c r="V5" s="13"/>
      <c r="W5" s="13"/>
      <c r="X5" s="13"/>
      <c r="Y5" s="13"/>
      <c r="Z5" s="13"/>
      <c r="AA5" s="13"/>
      <c r="AB5" s="13"/>
      <c r="AC5" s="13"/>
      <c r="AD5" s="13"/>
      <c r="AE5" s="13"/>
      <c r="AF5" s="13"/>
      <c r="AG5" s="13"/>
    </row>
    <row r="6" spans="1:33" s="54" customFormat="1" x14ac:dyDescent="0.25">
      <c r="A6" s="88" t="s">
        <v>382</v>
      </c>
      <c r="B6" s="89"/>
      <c r="C6" s="95">
        <f>-'D) Ecrêtage'!L314</f>
        <v>-109478427.37115017</v>
      </c>
      <c r="D6" s="34">
        <f>C6/$E$4</f>
        <v>-3.036181889774701</v>
      </c>
      <c r="E6" s="77"/>
      <c r="F6" s="13"/>
      <c r="G6" s="13"/>
      <c r="K6" s="13"/>
      <c r="L6" s="13"/>
      <c r="N6" s="13"/>
      <c r="O6" s="13"/>
      <c r="P6" s="13"/>
      <c r="Q6" s="13"/>
      <c r="R6" s="13"/>
      <c r="S6" s="13"/>
      <c r="T6" s="13"/>
      <c r="U6" s="13"/>
      <c r="V6" s="13"/>
      <c r="W6" s="13"/>
      <c r="X6" s="13"/>
      <c r="Y6" s="13"/>
      <c r="Z6" s="13"/>
      <c r="AA6" s="13"/>
      <c r="AB6" s="13"/>
      <c r="AC6" s="13"/>
      <c r="AD6" s="13"/>
      <c r="AE6" s="13"/>
      <c r="AF6" s="13"/>
      <c r="AG6" s="13"/>
    </row>
    <row r="7" spans="1:33" s="54" customFormat="1" x14ac:dyDescent="0.25">
      <c r="A7" s="80" t="s">
        <v>295</v>
      </c>
      <c r="B7" s="82"/>
      <c r="C7" s="96">
        <f>C4+C6+C5</f>
        <v>527566911.84884989</v>
      </c>
      <c r="D7" s="20">
        <f>C7/$E$4</f>
        <v>14.631093466199614</v>
      </c>
      <c r="E7" s="77"/>
      <c r="F7" s="13"/>
      <c r="G7" s="13"/>
      <c r="K7" s="13"/>
      <c r="L7" s="13"/>
      <c r="N7" s="13"/>
      <c r="O7" s="13"/>
      <c r="P7" s="13"/>
      <c r="Q7" s="13"/>
      <c r="R7" s="13"/>
      <c r="S7" s="13"/>
      <c r="T7" s="13"/>
      <c r="U7" s="13"/>
      <c r="V7" s="13"/>
      <c r="W7" s="13"/>
      <c r="X7" s="13"/>
      <c r="Y7" s="13"/>
      <c r="Z7" s="13"/>
      <c r="AA7" s="13"/>
      <c r="AB7" s="13"/>
      <c r="AC7" s="13"/>
      <c r="AD7" s="13"/>
      <c r="AE7" s="13"/>
      <c r="AF7" s="13"/>
      <c r="AG7" s="13"/>
    </row>
    <row r="8" spans="1:33" s="54" customFormat="1" x14ac:dyDescent="0.25">
      <c r="A8" s="28"/>
      <c r="D8" s="13"/>
      <c r="E8" s="13"/>
      <c r="F8" s="13"/>
      <c r="G8" s="13"/>
      <c r="K8" s="13"/>
      <c r="L8" s="13"/>
      <c r="N8" s="13"/>
      <c r="O8" s="13"/>
      <c r="P8" s="13"/>
      <c r="Q8" s="13"/>
      <c r="R8" s="13"/>
      <c r="S8" s="13"/>
      <c r="T8" s="13"/>
      <c r="U8" s="13"/>
      <c r="V8" s="13"/>
      <c r="W8" s="13"/>
      <c r="X8" s="13"/>
      <c r="Y8" s="13"/>
      <c r="Z8" s="13"/>
      <c r="AA8" s="13"/>
      <c r="AB8" s="13"/>
      <c r="AC8" s="13"/>
      <c r="AD8" s="13"/>
      <c r="AE8" s="13"/>
      <c r="AF8" s="13"/>
      <c r="AG8" s="13"/>
    </row>
    <row r="9" spans="1:33" ht="38.25" customHeight="1" x14ac:dyDescent="0.25">
      <c r="A9" s="535" t="s">
        <v>50</v>
      </c>
      <c r="B9" s="535" t="s">
        <v>101</v>
      </c>
      <c r="C9" s="535" t="s">
        <v>310</v>
      </c>
      <c r="D9" s="535" t="s">
        <v>445</v>
      </c>
      <c r="E9" s="561" t="s">
        <v>486</v>
      </c>
      <c r="F9" s="295" t="s">
        <v>446</v>
      </c>
      <c r="G9" s="559" t="s">
        <v>411</v>
      </c>
    </row>
    <row r="10" spans="1:33" x14ac:dyDescent="0.25">
      <c r="A10" s="536"/>
      <c r="B10" s="536"/>
      <c r="C10" s="536"/>
      <c r="D10" s="536"/>
      <c r="E10" s="562"/>
      <c r="F10" s="310">
        <f>D7</f>
        <v>14.631093466199614</v>
      </c>
      <c r="G10" s="560"/>
    </row>
    <row r="11" spans="1:33" x14ac:dyDescent="0.25">
      <c r="A11" s="50">
        <f>'A) Base RI'!A7</f>
        <v>5401</v>
      </c>
      <c r="B11" s="301" t="str">
        <f>'A) Base RI'!B7</f>
        <v>Aigle</v>
      </c>
      <c r="C11" s="10">
        <f>'A) Base RI'!AN7</f>
        <v>10134</v>
      </c>
      <c r="D11" s="14">
        <f>'C) Prél. conj.'!H5</f>
        <v>1217884.71</v>
      </c>
      <c r="E11" s="10">
        <f>'D) Ecrêtage'!L5</f>
        <v>0</v>
      </c>
      <c r="F11" s="14">
        <f>$F$10*'D) Ecrêtage'!M5</f>
        <v>4042942.8686436513</v>
      </c>
      <c r="G11" s="58">
        <f>D11+F11+E11</f>
        <v>5260827.5786436517</v>
      </c>
    </row>
    <row r="12" spans="1:33" x14ac:dyDescent="0.25">
      <c r="A12" s="50">
        <f>'A) Base RI'!A8</f>
        <v>5402</v>
      </c>
      <c r="B12" s="301" t="str">
        <f>'A) Base RI'!B8</f>
        <v>Bex</v>
      </c>
      <c r="C12" s="10">
        <f>'A) Base RI'!AN8</f>
        <v>7757</v>
      </c>
      <c r="D12" s="472">
        <f>'C) Prél. conj.'!H6</f>
        <v>502470.80499999999</v>
      </c>
      <c r="E12" s="10">
        <f>'D) Ecrêtage'!L6</f>
        <v>0</v>
      </c>
      <c r="F12" s="472">
        <f>$F$10*'D) Ecrêtage'!M6</f>
        <v>2525133.8346933643</v>
      </c>
      <c r="G12" s="58">
        <f t="shared" ref="G12:G75" si="0">D12+F12+E12</f>
        <v>3027604.6396933645</v>
      </c>
    </row>
    <row r="13" spans="1:33" x14ac:dyDescent="0.25">
      <c r="A13" s="50">
        <f>'A) Base RI'!A9</f>
        <v>5403</v>
      </c>
      <c r="B13" s="301" t="str">
        <f>'A) Base RI'!B9</f>
        <v>Chessel</v>
      </c>
      <c r="C13" s="10">
        <f>'A) Base RI'!AN9</f>
        <v>426</v>
      </c>
      <c r="D13" s="472">
        <f>'C) Prél. conj.'!H7</f>
        <v>32157.1</v>
      </c>
      <c r="E13" s="10">
        <f>'D) Ecrêtage'!L7</f>
        <v>0</v>
      </c>
      <c r="F13" s="472">
        <f>$F$10*'D) Ecrêtage'!M7</f>
        <v>148879.52000155236</v>
      </c>
      <c r="G13" s="58">
        <f t="shared" si="0"/>
        <v>181036.62000155236</v>
      </c>
    </row>
    <row r="14" spans="1:33" x14ac:dyDescent="0.25">
      <c r="A14" s="50">
        <f>'A) Base RI'!A10</f>
        <v>5404</v>
      </c>
      <c r="B14" s="301" t="str">
        <f>'A) Base RI'!B10</f>
        <v>Corbeyrier</v>
      </c>
      <c r="C14" s="10">
        <f>'A) Base RI'!AN10</f>
        <v>438</v>
      </c>
      <c r="D14" s="472">
        <f>'C) Prél. conj.'!H8</f>
        <v>36040.345000000001</v>
      </c>
      <c r="E14" s="10">
        <f>'D) Ecrêtage'!L8</f>
        <v>0</v>
      </c>
      <c r="F14" s="472">
        <f>$F$10*'D) Ecrêtage'!M8</f>
        <v>176812.98483987691</v>
      </c>
      <c r="G14" s="58">
        <f t="shared" si="0"/>
        <v>212853.32983987691</v>
      </c>
    </row>
    <row r="15" spans="1:33" x14ac:dyDescent="0.25">
      <c r="A15" s="50">
        <f>'A) Base RI'!A11</f>
        <v>5405</v>
      </c>
      <c r="B15" s="301" t="str">
        <f>'A) Base RI'!B11</f>
        <v>Gryon</v>
      </c>
      <c r="C15" s="10">
        <f>'A) Base RI'!AN11</f>
        <v>1332</v>
      </c>
      <c r="D15" s="472">
        <f>'C) Prél. conj.'!H9</f>
        <v>788113.67500000005</v>
      </c>
      <c r="E15" s="10">
        <f>'D) Ecrêtage'!L9</f>
        <v>0</v>
      </c>
      <c r="F15" s="472">
        <f>$F$10*'D) Ecrêtage'!M9</f>
        <v>988752.95188869117</v>
      </c>
      <c r="G15" s="58">
        <f t="shared" si="0"/>
        <v>1776866.6268886912</v>
      </c>
    </row>
    <row r="16" spans="1:33" x14ac:dyDescent="0.25">
      <c r="A16" s="50">
        <f>'A) Base RI'!A12</f>
        <v>5406</v>
      </c>
      <c r="B16" s="301" t="str">
        <f>'A) Base RI'!B12</f>
        <v>Lavey-Morcles</v>
      </c>
      <c r="C16" s="10">
        <f>'A) Base RI'!AN12</f>
        <v>946</v>
      </c>
      <c r="D16" s="472">
        <f>'C) Prél. conj.'!H10</f>
        <v>25194.359999999997</v>
      </c>
      <c r="E16" s="10">
        <f>'D) Ecrêtage'!L10</f>
        <v>0</v>
      </c>
      <c r="F16" s="472">
        <f>$F$10*'D) Ecrêtage'!M10</f>
        <v>315828.16788792051</v>
      </c>
      <c r="G16" s="58">
        <f t="shared" si="0"/>
        <v>341022.5278879205</v>
      </c>
    </row>
    <row r="17" spans="1:7" x14ac:dyDescent="0.25">
      <c r="A17" s="50">
        <f>'A) Base RI'!A13</f>
        <v>5407</v>
      </c>
      <c r="B17" s="301" t="str">
        <f>'A) Base RI'!B13</f>
        <v>Leysin</v>
      </c>
      <c r="C17" s="10">
        <f>'A) Base RI'!AN13</f>
        <v>3939</v>
      </c>
      <c r="D17" s="472">
        <f>'C) Prél. conj.'!H11</f>
        <v>223301.875</v>
      </c>
      <c r="E17" s="10">
        <f>'D) Ecrêtage'!L11</f>
        <v>0</v>
      </c>
      <c r="F17" s="472">
        <f>$F$10*'D) Ecrêtage'!M11</f>
        <v>1311184.5389272748</v>
      </c>
      <c r="G17" s="58">
        <f t="shared" si="0"/>
        <v>1534486.4139272748</v>
      </c>
    </row>
    <row r="18" spans="1:7" x14ac:dyDescent="0.25">
      <c r="A18" s="50">
        <f>'A) Base RI'!A14</f>
        <v>5408</v>
      </c>
      <c r="B18" s="301" t="str">
        <f>'A) Base RI'!B14</f>
        <v>Noville</v>
      </c>
      <c r="C18" s="10">
        <f>'A) Base RI'!AN14</f>
        <v>1113</v>
      </c>
      <c r="D18" s="472">
        <f>'C) Prél. conj.'!H12</f>
        <v>260696.55499999999</v>
      </c>
      <c r="E18" s="10">
        <f>'D) Ecrêtage'!L12</f>
        <v>0</v>
      </c>
      <c r="F18" s="472">
        <f>$F$10*'D) Ecrêtage'!M12</f>
        <v>567155.4140937893</v>
      </c>
      <c r="G18" s="58">
        <f t="shared" si="0"/>
        <v>827851.96909378935</v>
      </c>
    </row>
    <row r="19" spans="1:7" x14ac:dyDescent="0.25">
      <c r="A19" s="50">
        <f>'A) Base RI'!A15</f>
        <v>5409</v>
      </c>
      <c r="B19" s="301" t="str">
        <f>'A) Base RI'!B15</f>
        <v>Ollon</v>
      </c>
      <c r="C19" s="10">
        <f>'A) Base RI'!AN15</f>
        <v>7461</v>
      </c>
      <c r="D19" s="472">
        <f>'C) Prél. conj.'!H13</f>
        <v>2072939.7549999999</v>
      </c>
      <c r="E19" s="10">
        <f>'D) Ecrêtage'!L13</f>
        <v>0</v>
      </c>
      <c r="F19" s="472">
        <f>$F$10*'D) Ecrêtage'!M13</f>
        <v>5399681.6123177279</v>
      </c>
      <c r="G19" s="58">
        <f t="shared" si="0"/>
        <v>7472621.3673177278</v>
      </c>
    </row>
    <row r="20" spans="1:7" x14ac:dyDescent="0.25">
      <c r="A20" s="50">
        <f>'A) Base RI'!A16</f>
        <v>5410</v>
      </c>
      <c r="B20" s="301" t="str">
        <f>'A) Base RI'!B16</f>
        <v>Ormont-Dessous</v>
      </c>
      <c r="C20" s="10">
        <f>'A) Base RI'!AN16</f>
        <v>1121</v>
      </c>
      <c r="D20" s="472">
        <f>'C) Prél. conj.'!H14</f>
        <v>161367.57500000001</v>
      </c>
      <c r="E20" s="10">
        <f>'D) Ecrêtage'!L14</f>
        <v>0</v>
      </c>
      <c r="F20" s="472">
        <f>$F$10*'D) Ecrêtage'!M14</f>
        <v>636323.07407908991</v>
      </c>
      <c r="G20" s="58">
        <f t="shared" si="0"/>
        <v>797690.64907908998</v>
      </c>
    </row>
    <row r="21" spans="1:7" x14ac:dyDescent="0.25">
      <c r="A21" s="50">
        <f>'A) Base RI'!A17</f>
        <v>5411</v>
      </c>
      <c r="B21" s="301" t="str">
        <f>'A) Base RI'!B17</f>
        <v>Ormont-Dessus</v>
      </c>
      <c r="C21" s="10">
        <f>'A) Base RI'!AN17</f>
        <v>1446</v>
      </c>
      <c r="D21" s="472">
        <f>'C) Prél. conj.'!H15</f>
        <v>371849.86</v>
      </c>
      <c r="E21" s="10">
        <f>'D) Ecrêtage'!L15</f>
        <v>0</v>
      </c>
      <c r="F21" s="472">
        <f>$F$10*'D) Ecrêtage'!M15</f>
        <v>1066786.6357075644</v>
      </c>
      <c r="G21" s="58">
        <f t="shared" si="0"/>
        <v>1438636.4957075645</v>
      </c>
    </row>
    <row r="22" spans="1:7" x14ac:dyDescent="0.25">
      <c r="A22" s="50">
        <f>'A) Base RI'!A18</f>
        <v>5412</v>
      </c>
      <c r="B22" s="301" t="str">
        <f>'A) Base RI'!B18</f>
        <v>Rennaz</v>
      </c>
      <c r="C22" s="10">
        <f>'A) Base RI'!AN18</f>
        <v>826</v>
      </c>
      <c r="D22" s="472">
        <f>'C) Prél. conj.'!H16</f>
        <v>439674.90500000003</v>
      </c>
      <c r="E22" s="10">
        <f>'D) Ecrêtage'!L16</f>
        <v>0</v>
      </c>
      <c r="F22" s="472">
        <f>$F$10*'D) Ecrêtage'!M16</f>
        <v>411013.01446018944</v>
      </c>
      <c r="G22" s="58">
        <f t="shared" si="0"/>
        <v>850687.91946018953</v>
      </c>
    </row>
    <row r="23" spans="1:7" x14ac:dyDescent="0.25">
      <c r="A23" s="50">
        <f>'A) Base RI'!A19</f>
        <v>5413</v>
      </c>
      <c r="B23" s="301" t="str">
        <f>'A) Base RI'!B19</f>
        <v>Roche</v>
      </c>
      <c r="C23" s="10">
        <f>'A) Base RI'!AN19</f>
        <v>1775</v>
      </c>
      <c r="D23" s="472">
        <f>'C) Prél. conj.'!H17</f>
        <v>249307.29</v>
      </c>
      <c r="E23" s="10">
        <f>'D) Ecrêtage'!L17</f>
        <v>0</v>
      </c>
      <c r="F23" s="472">
        <f>$F$10*'D) Ecrêtage'!M17</f>
        <v>578809.53240755491</v>
      </c>
      <c r="G23" s="58">
        <f t="shared" si="0"/>
        <v>828116.82240755495</v>
      </c>
    </row>
    <row r="24" spans="1:7" x14ac:dyDescent="0.25">
      <c r="A24" s="50">
        <f>'A) Base RI'!A20</f>
        <v>5414</v>
      </c>
      <c r="B24" s="301" t="str">
        <f>'A) Base RI'!B20</f>
        <v>Villeneuve</v>
      </c>
      <c r="C24" s="10">
        <f>'A) Base RI'!AN20</f>
        <v>5771</v>
      </c>
      <c r="D24" s="472">
        <f>'C) Prél. conj.'!H18</f>
        <v>1249781.855</v>
      </c>
      <c r="E24" s="10">
        <f>'D) Ecrêtage'!L18</f>
        <v>0</v>
      </c>
      <c r="F24" s="472">
        <f>$F$10*'D) Ecrêtage'!M18</f>
        <v>2423510.3862578399</v>
      </c>
      <c r="G24" s="58">
        <f t="shared" si="0"/>
        <v>3673292.2412578398</v>
      </c>
    </row>
    <row r="25" spans="1:7" x14ac:dyDescent="0.25">
      <c r="A25" s="50">
        <f>'A) Base RI'!A21</f>
        <v>5415</v>
      </c>
      <c r="B25" s="301" t="str">
        <f>'A) Base RI'!B21</f>
        <v>Yvorne</v>
      </c>
      <c r="C25" s="10">
        <f>'A) Base RI'!AN21</f>
        <v>1066</v>
      </c>
      <c r="D25" s="472">
        <f>'C) Prél. conj.'!H19</f>
        <v>81124.275000000009</v>
      </c>
      <c r="E25" s="10">
        <f>'D) Ecrêtage'!L19</f>
        <v>0</v>
      </c>
      <c r="F25" s="472">
        <f>$F$10*'D) Ecrêtage'!M19</f>
        <v>506100.53417261969</v>
      </c>
      <c r="G25" s="58">
        <f t="shared" si="0"/>
        <v>587224.80917261972</v>
      </c>
    </row>
    <row r="26" spans="1:7" x14ac:dyDescent="0.25">
      <c r="A26" s="50">
        <f>'A) Base RI'!A22</f>
        <v>5421</v>
      </c>
      <c r="B26" s="301" t="str">
        <f>'A) Base RI'!B22</f>
        <v>Apples</v>
      </c>
      <c r="C26" s="10">
        <f>'A) Base RI'!AN22</f>
        <v>1469</v>
      </c>
      <c r="D26" s="472">
        <f>'C) Prél. conj.'!H20</f>
        <v>99667.87</v>
      </c>
      <c r="E26" s="10">
        <f>'D) Ecrêtage'!L20</f>
        <v>0</v>
      </c>
      <c r="F26" s="472">
        <f>$F$10*'D) Ecrêtage'!M20</f>
        <v>989528.87736364338</v>
      </c>
      <c r="G26" s="58">
        <f t="shared" si="0"/>
        <v>1089196.7473636433</v>
      </c>
    </row>
    <row r="27" spans="1:7" x14ac:dyDescent="0.25">
      <c r="A27" s="50">
        <f>'A) Base RI'!A23</f>
        <v>5422</v>
      </c>
      <c r="B27" s="301" t="str">
        <f>'A) Base RI'!B23</f>
        <v>Aubonne</v>
      </c>
      <c r="C27" s="10">
        <f>'A) Base RI'!AN23</f>
        <v>3242</v>
      </c>
      <c r="D27" s="472">
        <f>'C) Prél. conj.'!H21</f>
        <v>1443039.905</v>
      </c>
      <c r="E27" s="10">
        <f>'D) Ecrêtage'!L21</f>
        <v>1531062.4324075857</v>
      </c>
      <c r="F27" s="472">
        <f>$F$10*'D) Ecrêtage'!M21</f>
        <v>3327868.1239523925</v>
      </c>
      <c r="G27" s="58">
        <f t="shared" si="0"/>
        <v>6301970.4613599787</v>
      </c>
    </row>
    <row r="28" spans="1:7" x14ac:dyDescent="0.25">
      <c r="A28" s="50">
        <f>'A) Base RI'!A24</f>
        <v>5423</v>
      </c>
      <c r="B28" s="301" t="str">
        <f>'A) Base RI'!B24</f>
        <v>Ballens</v>
      </c>
      <c r="C28" s="10">
        <f>'A) Base RI'!AN24</f>
        <v>536</v>
      </c>
      <c r="D28" s="472">
        <f>'C) Prél. conj.'!H22</f>
        <v>23185.055</v>
      </c>
      <c r="E28" s="10">
        <f>'D) Ecrêtage'!L22</f>
        <v>0</v>
      </c>
      <c r="F28" s="472">
        <f>$F$10*'D) Ecrêtage'!M22</f>
        <v>202223.89284142532</v>
      </c>
      <c r="G28" s="58">
        <f t="shared" si="0"/>
        <v>225408.94784142531</v>
      </c>
    </row>
    <row r="29" spans="1:7" x14ac:dyDescent="0.25">
      <c r="A29" s="50">
        <f>'A) Base RI'!A25</f>
        <v>5424</v>
      </c>
      <c r="B29" s="301" t="str">
        <f>'A) Base RI'!B25</f>
        <v>Berolle</v>
      </c>
      <c r="C29" s="10">
        <f>'A) Base RI'!AN25</f>
        <v>307</v>
      </c>
      <c r="D29" s="472">
        <f>'C) Prél. conj.'!H23</f>
        <v>4276.1750000000002</v>
      </c>
      <c r="E29" s="10">
        <f>'D) Ecrêtage'!L23</f>
        <v>0</v>
      </c>
      <c r="F29" s="472">
        <f>$F$10*'D) Ecrêtage'!M23</f>
        <v>136034.55624882784</v>
      </c>
      <c r="G29" s="58">
        <f t="shared" si="0"/>
        <v>140310.73124882783</v>
      </c>
    </row>
    <row r="30" spans="1:7" x14ac:dyDescent="0.25">
      <c r="A30" s="50">
        <f>'A) Base RI'!A26</f>
        <v>5425</v>
      </c>
      <c r="B30" s="301" t="str">
        <f>'A) Base RI'!B26</f>
        <v>Bière</v>
      </c>
      <c r="C30" s="10">
        <f>'A) Base RI'!AN26</f>
        <v>1595</v>
      </c>
      <c r="D30" s="472">
        <f>'C) Prél. conj.'!H24</f>
        <v>94011.57</v>
      </c>
      <c r="E30" s="10">
        <f>'D) Ecrêtage'!L24</f>
        <v>0</v>
      </c>
      <c r="F30" s="472">
        <f>$F$10*'D) Ecrêtage'!M24</f>
        <v>576838.57856350392</v>
      </c>
      <c r="G30" s="58">
        <f t="shared" si="0"/>
        <v>670850.14856350399</v>
      </c>
    </row>
    <row r="31" spans="1:7" x14ac:dyDescent="0.25">
      <c r="A31" s="50">
        <f>'A) Base RI'!A27</f>
        <v>5426</v>
      </c>
      <c r="B31" s="301" t="str">
        <f>'A) Base RI'!B27</f>
        <v>Bougy-Villars</v>
      </c>
      <c r="C31" s="10">
        <f>'A) Base RI'!AN27</f>
        <v>490</v>
      </c>
      <c r="D31" s="472">
        <f>'C) Prél. conj.'!H25</f>
        <v>1143394.2399999998</v>
      </c>
      <c r="E31" s="10">
        <f>'D) Ecrêtage'!L25</f>
        <v>706471.26165074634</v>
      </c>
      <c r="F31" s="472">
        <f>$F$10*'D) Ecrêtage'!M25</f>
        <v>664511.83538093593</v>
      </c>
      <c r="G31" s="58">
        <f t="shared" si="0"/>
        <v>2514377.337031682</v>
      </c>
    </row>
    <row r="32" spans="1:7" x14ac:dyDescent="0.25">
      <c r="A32" s="50">
        <f>'A) Base RI'!A28</f>
        <v>5427</v>
      </c>
      <c r="B32" s="301" t="str">
        <f>'A) Base RI'!B28</f>
        <v>Féchy</v>
      </c>
      <c r="C32" s="10">
        <f>'A) Base RI'!AN28</f>
        <v>860</v>
      </c>
      <c r="D32" s="472">
        <f>'C) Prél. conj.'!H26</f>
        <v>215690.83</v>
      </c>
      <c r="E32" s="10">
        <f>'D) Ecrêtage'!L26</f>
        <v>667911.22768647701</v>
      </c>
      <c r="F32" s="472">
        <f>$F$10*'D) Ecrêtage'!M26</f>
        <v>992092.76603346015</v>
      </c>
      <c r="G32" s="58">
        <f t="shared" si="0"/>
        <v>1875694.8237199374</v>
      </c>
    </row>
    <row r="33" spans="1:7" x14ac:dyDescent="0.25">
      <c r="A33" s="50">
        <f>'A) Base RI'!A29</f>
        <v>5428</v>
      </c>
      <c r="B33" s="301" t="str">
        <f>'A) Base RI'!B29</f>
        <v>Gimel</v>
      </c>
      <c r="C33" s="10">
        <f>'A) Base RI'!AN29</f>
        <v>2186</v>
      </c>
      <c r="D33" s="472">
        <f>'C) Prél. conj.'!H27</f>
        <v>420757.32500000001</v>
      </c>
      <c r="E33" s="10">
        <f>'D) Ecrêtage'!L27</f>
        <v>0</v>
      </c>
      <c r="F33" s="472">
        <f>$F$10*'D) Ecrêtage'!M27</f>
        <v>875193.29093119851</v>
      </c>
      <c r="G33" s="58">
        <f t="shared" si="0"/>
        <v>1295950.6159311985</v>
      </c>
    </row>
    <row r="34" spans="1:7" x14ac:dyDescent="0.25">
      <c r="A34" s="50">
        <f>'A) Base RI'!A30</f>
        <v>5429</v>
      </c>
      <c r="B34" s="301" t="str">
        <f>'A) Base RI'!B30</f>
        <v>Longirod</v>
      </c>
      <c r="C34" s="10">
        <f>'A) Base RI'!AN30</f>
        <v>478</v>
      </c>
      <c r="D34" s="472">
        <f>'C) Prél. conj.'!H28</f>
        <v>36392.699999999997</v>
      </c>
      <c r="E34" s="10">
        <f>'D) Ecrêtage'!L28</f>
        <v>0</v>
      </c>
      <c r="F34" s="472">
        <f>$F$10*'D) Ecrêtage'!M28</f>
        <v>201812.25186419464</v>
      </c>
      <c r="G34" s="58">
        <f t="shared" si="0"/>
        <v>238204.95186419465</v>
      </c>
    </row>
    <row r="35" spans="1:7" x14ac:dyDescent="0.25">
      <c r="A35" s="50">
        <f>'A) Base RI'!A31</f>
        <v>5430</v>
      </c>
      <c r="B35" s="301" t="str">
        <f>'A) Base RI'!B31</f>
        <v>Marchissy</v>
      </c>
      <c r="C35" s="10">
        <f>'A) Base RI'!AN31</f>
        <v>463</v>
      </c>
      <c r="D35" s="472">
        <f>'C) Prél. conj.'!H29</f>
        <v>36826.965000000004</v>
      </c>
      <c r="E35" s="10">
        <f>'D) Ecrêtage'!L29</f>
        <v>0</v>
      </c>
      <c r="F35" s="472">
        <f>$F$10*'D) Ecrêtage'!M29</f>
        <v>199223.58226042808</v>
      </c>
      <c r="G35" s="58">
        <f t="shared" si="0"/>
        <v>236050.54726042808</v>
      </c>
    </row>
    <row r="36" spans="1:7" x14ac:dyDescent="0.25">
      <c r="A36" s="50">
        <f>'A) Base RI'!A32</f>
        <v>5431</v>
      </c>
      <c r="B36" s="301" t="str">
        <f>'A) Base RI'!B32</f>
        <v>Mollens</v>
      </c>
      <c r="C36" s="10">
        <f>'A) Base RI'!AN32</f>
        <v>283</v>
      </c>
      <c r="D36" s="472">
        <f>'C) Prél. conj.'!H30</f>
        <v>47617.51</v>
      </c>
      <c r="E36" s="10">
        <f>'D) Ecrêtage'!L30</f>
        <v>0</v>
      </c>
      <c r="F36" s="472">
        <f>$F$10*'D) Ecrêtage'!M30</f>
        <v>126244.33461220919</v>
      </c>
      <c r="G36" s="58">
        <f t="shared" si="0"/>
        <v>173861.84461220918</v>
      </c>
    </row>
    <row r="37" spans="1:7" x14ac:dyDescent="0.25">
      <c r="A37" s="50">
        <f>'A) Base RI'!A33</f>
        <v>5432</v>
      </c>
      <c r="B37" s="301" t="str">
        <f>'A) Base RI'!B33</f>
        <v>Montherod</v>
      </c>
      <c r="C37" s="10">
        <f>'A) Base RI'!AN33</f>
        <v>536</v>
      </c>
      <c r="D37" s="472">
        <f>'C) Prél. conj.'!H31</f>
        <v>27611.535000000003</v>
      </c>
      <c r="E37" s="10">
        <f>'D) Ecrêtage'!L31</f>
        <v>0</v>
      </c>
      <c r="F37" s="472">
        <f>$F$10*'D) Ecrêtage'!M31</f>
        <v>267204.3398404555</v>
      </c>
      <c r="G37" s="58">
        <f t="shared" si="0"/>
        <v>294815.87484045548</v>
      </c>
    </row>
    <row r="38" spans="1:7" x14ac:dyDescent="0.25">
      <c r="A38" s="50">
        <f>'A) Base RI'!A34</f>
        <v>5434</v>
      </c>
      <c r="B38" s="301" t="str">
        <f>'A) Base RI'!B34</f>
        <v>Saint-George</v>
      </c>
      <c r="C38" s="10">
        <f>'A) Base RI'!AN34</f>
        <v>1031</v>
      </c>
      <c r="D38" s="472">
        <f>'C) Prél. conj.'!H32</f>
        <v>173869.01</v>
      </c>
      <c r="E38" s="10">
        <f>'D) Ecrêtage'!L32</f>
        <v>0</v>
      </c>
      <c r="F38" s="472">
        <f>$F$10*'D) Ecrêtage'!M32</f>
        <v>538236.9059204089</v>
      </c>
      <c r="G38" s="58">
        <f t="shared" si="0"/>
        <v>712105.91592040891</v>
      </c>
    </row>
    <row r="39" spans="1:7" x14ac:dyDescent="0.25">
      <c r="A39" s="50">
        <f>'A) Base RI'!A35</f>
        <v>5435</v>
      </c>
      <c r="B39" s="301" t="str">
        <f>'A) Base RI'!B35</f>
        <v>Saint-Livres</v>
      </c>
      <c r="C39" s="10">
        <f>'A) Base RI'!AN35</f>
        <v>690</v>
      </c>
      <c r="D39" s="472">
        <f>'C) Prél. conj.'!H33</f>
        <v>44312.79</v>
      </c>
      <c r="E39" s="10">
        <f>'D) Ecrêtage'!L33</f>
        <v>0</v>
      </c>
      <c r="F39" s="472">
        <f>$F$10*'D) Ecrêtage'!M33</f>
        <v>353271.72334110877</v>
      </c>
      <c r="G39" s="58">
        <f t="shared" si="0"/>
        <v>397584.51334110874</v>
      </c>
    </row>
    <row r="40" spans="1:7" x14ac:dyDescent="0.25">
      <c r="A40" s="50">
        <f>'A) Base RI'!A36</f>
        <v>5436</v>
      </c>
      <c r="B40" s="301" t="str">
        <f>'A) Base RI'!B36</f>
        <v>Saint-Oyens</v>
      </c>
      <c r="C40" s="10">
        <f>'A) Base RI'!AN36</f>
        <v>448</v>
      </c>
      <c r="D40" s="472">
        <f>'C) Prél. conj.'!H34</f>
        <v>57237.425000000003</v>
      </c>
      <c r="E40" s="10">
        <f>'D) Ecrêtage'!L34</f>
        <v>0</v>
      </c>
      <c r="F40" s="472">
        <f>$F$10*'D) Ecrêtage'!M34</f>
        <v>220597.76168153819</v>
      </c>
      <c r="G40" s="58">
        <f t="shared" si="0"/>
        <v>277835.18668153818</v>
      </c>
    </row>
    <row r="41" spans="1:7" x14ac:dyDescent="0.25">
      <c r="A41" s="50">
        <f>'A) Base RI'!A37</f>
        <v>5437</v>
      </c>
      <c r="B41" s="301" t="str">
        <f>'A) Base RI'!B37</f>
        <v>Saubraz</v>
      </c>
      <c r="C41" s="10">
        <f>'A) Base RI'!AN37</f>
        <v>418</v>
      </c>
      <c r="D41" s="472">
        <f>'C) Prél. conj.'!H35</f>
        <v>40961.974999999999</v>
      </c>
      <c r="E41" s="10">
        <f>'D) Ecrêtage'!L35</f>
        <v>0</v>
      </c>
      <c r="F41" s="472">
        <f>$F$10*'D) Ecrêtage'!M35</f>
        <v>167119.85554670379</v>
      </c>
      <c r="G41" s="58">
        <f t="shared" si="0"/>
        <v>208081.8305467038</v>
      </c>
    </row>
    <row r="42" spans="1:7" x14ac:dyDescent="0.25">
      <c r="A42" s="50">
        <f>'A) Base RI'!A38</f>
        <v>5451</v>
      </c>
      <c r="B42" s="301" t="str">
        <f>'A) Base RI'!B38</f>
        <v>Avenches</v>
      </c>
      <c r="C42" s="10">
        <f>'A) Base RI'!AN38</f>
        <v>4282</v>
      </c>
      <c r="D42" s="472">
        <f>'C) Prél. conj.'!H36</f>
        <v>692067.99</v>
      </c>
      <c r="E42" s="10">
        <f>'D) Ecrêtage'!L36</f>
        <v>0</v>
      </c>
      <c r="F42" s="472">
        <f>$F$10*'D) Ecrêtage'!M36</f>
        <v>2205750.4914556597</v>
      </c>
      <c r="G42" s="58">
        <f t="shared" si="0"/>
        <v>2897818.4814556595</v>
      </c>
    </row>
    <row r="43" spans="1:7" x14ac:dyDescent="0.25">
      <c r="A43" s="50">
        <f>'A) Base RI'!A39</f>
        <v>5456</v>
      </c>
      <c r="B43" s="301" t="str">
        <f>'A) Base RI'!B39</f>
        <v>Cudrefin</v>
      </c>
      <c r="C43" s="10">
        <f>'A) Base RI'!AN39</f>
        <v>1633</v>
      </c>
      <c r="D43" s="472">
        <f>'C) Prél. conj.'!H37</f>
        <v>257551.66999999998</v>
      </c>
      <c r="E43" s="10">
        <f>'D) Ecrêtage'!L37</f>
        <v>0</v>
      </c>
      <c r="F43" s="472">
        <f>$F$10*'D) Ecrêtage'!M37</f>
        <v>868749.78206309804</v>
      </c>
      <c r="G43" s="58">
        <f t="shared" si="0"/>
        <v>1126301.4520630981</v>
      </c>
    </row>
    <row r="44" spans="1:7" x14ac:dyDescent="0.25">
      <c r="A44" s="50">
        <f>'A) Base RI'!A40</f>
        <v>5458</v>
      </c>
      <c r="B44" s="301" t="str">
        <f>'A) Base RI'!B40</f>
        <v>Faoug</v>
      </c>
      <c r="C44" s="10">
        <f>'A) Base RI'!AN40</f>
        <v>904</v>
      </c>
      <c r="D44" s="472">
        <f>'C) Prél. conj.'!H38</f>
        <v>125137.625</v>
      </c>
      <c r="E44" s="10">
        <f>'D) Ecrêtage'!L38</f>
        <v>0</v>
      </c>
      <c r="F44" s="472">
        <f>$F$10*'D) Ecrêtage'!M38</f>
        <v>446683.23025296238</v>
      </c>
      <c r="G44" s="58">
        <f t="shared" si="0"/>
        <v>571820.85525296233</v>
      </c>
    </row>
    <row r="45" spans="1:7" x14ac:dyDescent="0.25">
      <c r="A45" s="50">
        <f>'A) Base RI'!A41</f>
        <v>5464</v>
      </c>
      <c r="B45" s="301" t="str">
        <f>'A) Base RI'!B41</f>
        <v>Vully-les-Lacs</v>
      </c>
      <c r="C45" s="10">
        <f>'A) Base RI'!AN41</f>
        <v>3163</v>
      </c>
      <c r="D45" s="472">
        <f>'C) Prél. conj.'!H39</f>
        <v>389870.125</v>
      </c>
      <c r="E45" s="10">
        <f>'D) Ecrêtage'!L39</f>
        <v>0</v>
      </c>
      <c r="F45" s="472">
        <f>$F$10*'D) Ecrêtage'!M39</f>
        <v>1521092.210613104</v>
      </c>
      <c r="G45" s="58">
        <f t="shared" si="0"/>
        <v>1910962.335613104</v>
      </c>
    </row>
    <row r="46" spans="1:7" x14ac:dyDescent="0.25">
      <c r="A46" s="50">
        <f>'A) Base RI'!A42</f>
        <v>5471</v>
      </c>
      <c r="B46" s="301" t="str">
        <f>'A) Base RI'!B42</f>
        <v>Bettens</v>
      </c>
      <c r="C46" s="10">
        <f>'A) Base RI'!AN42</f>
        <v>592</v>
      </c>
      <c r="D46" s="472">
        <f>'C) Prél. conj.'!H40</f>
        <v>36460.654999999999</v>
      </c>
      <c r="E46" s="10">
        <f>'D) Ecrêtage'!L40</f>
        <v>0</v>
      </c>
      <c r="F46" s="472">
        <f>$F$10*'D) Ecrêtage'!M40</f>
        <v>271920.14450997225</v>
      </c>
      <c r="G46" s="58">
        <f t="shared" si="0"/>
        <v>308380.79950997222</v>
      </c>
    </row>
    <row r="47" spans="1:7" x14ac:dyDescent="0.25">
      <c r="A47" s="50">
        <f>'A) Base RI'!A43</f>
        <v>5472</v>
      </c>
      <c r="B47" s="301" t="str">
        <f>'A) Base RI'!B43</f>
        <v>Bournens</v>
      </c>
      <c r="C47" s="10">
        <f>'A) Base RI'!AN43</f>
        <v>404</v>
      </c>
      <c r="D47" s="472">
        <f>'C) Prél. conj.'!H41</f>
        <v>20908.574999999997</v>
      </c>
      <c r="E47" s="10">
        <f>'D) Ecrêtage'!L41</f>
        <v>0</v>
      </c>
      <c r="F47" s="472">
        <f>$F$10*'D) Ecrêtage'!M41</f>
        <v>242037.1873132668</v>
      </c>
      <c r="G47" s="58">
        <f t="shared" si="0"/>
        <v>262945.76231326681</v>
      </c>
    </row>
    <row r="48" spans="1:7" x14ac:dyDescent="0.25">
      <c r="A48" s="50">
        <f>'A) Base RI'!A44</f>
        <v>5473</v>
      </c>
      <c r="B48" s="301" t="str">
        <f>'A) Base RI'!B44</f>
        <v>Boussens</v>
      </c>
      <c r="C48" s="10">
        <f>'A) Base RI'!AN44</f>
        <v>968</v>
      </c>
      <c r="D48" s="472">
        <f>'C) Prél. conj.'!H42</f>
        <v>40351.425000000003</v>
      </c>
      <c r="E48" s="10">
        <f>'D) Ecrêtage'!L42</f>
        <v>0</v>
      </c>
      <c r="F48" s="472">
        <f>$F$10*'D) Ecrêtage'!M42</f>
        <v>537266.11429260473</v>
      </c>
      <c r="G48" s="58">
        <f t="shared" si="0"/>
        <v>577617.53929260478</v>
      </c>
    </row>
    <row r="49" spans="1:7" x14ac:dyDescent="0.25">
      <c r="A49" s="50">
        <f>'A) Base RI'!A45</f>
        <v>5474</v>
      </c>
      <c r="B49" s="301" t="str">
        <f>'A) Base RI'!B45</f>
        <v>La Chaux (Cossonay)</v>
      </c>
      <c r="C49" s="10">
        <f>'A) Base RI'!AN45</f>
        <v>410</v>
      </c>
      <c r="D49" s="472">
        <f>'C) Prél. conj.'!H43</f>
        <v>-1928.7849999999996</v>
      </c>
      <c r="E49" s="10">
        <f>'D) Ecrêtage'!L43</f>
        <v>0</v>
      </c>
      <c r="F49" s="472">
        <f>$F$10*'D) Ecrêtage'!M43</f>
        <v>189990.50672226874</v>
      </c>
      <c r="G49" s="58">
        <f t="shared" si="0"/>
        <v>188061.72172226873</v>
      </c>
    </row>
    <row r="50" spans="1:7" x14ac:dyDescent="0.25">
      <c r="A50" s="50">
        <f>'A) Base RI'!A46</f>
        <v>5475</v>
      </c>
      <c r="B50" s="301" t="str">
        <f>'A) Base RI'!B46</f>
        <v>Chavannes-le-Veyron</v>
      </c>
      <c r="C50" s="10">
        <f>'A) Base RI'!AN46</f>
        <v>142</v>
      </c>
      <c r="D50" s="472">
        <f>'C) Prél. conj.'!H44</f>
        <v>32321.55</v>
      </c>
      <c r="E50" s="10">
        <f>'D) Ecrêtage'!L44</f>
        <v>0</v>
      </c>
      <c r="F50" s="472">
        <f>$F$10*'D) Ecrêtage'!M44</f>
        <v>72517.570657291843</v>
      </c>
      <c r="G50" s="58">
        <f t="shared" si="0"/>
        <v>104839.12065729185</v>
      </c>
    </row>
    <row r="51" spans="1:7" x14ac:dyDescent="0.25">
      <c r="A51" s="50">
        <f>'A) Base RI'!A47</f>
        <v>5476</v>
      </c>
      <c r="B51" s="301" t="str">
        <f>'A) Base RI'!B47</f>
        <v>Chevilly</v>
      </c>
      <c r="C51" s="10">
        <f>'A) Base RI'!AN47</f>
        <v>314</v>
      </c>
      <c r="D51" s="472">
        <f>'C) Prél. conj.'!H45</f>
        <v>-166.09999999999991</v>
      </c>
      <c r="E51" s="10">
        <f>'D) Ecrêtage'!L45</f>
        <v>0</v>
      </c>
      <c r="F51" s="472">
        <f>$F$10*'D) Ecrêtage'!M45</f>
        <v>155538.00607600785</v>
      </c>
      <c r="G51" s="58">
        <f t="shared" si="0"/>
        <v>155371.90607600784</v>
      </c>
    </row>
    <row r="52" spans="1:7" x14ac:dyDescent="0.25">
      <c r="A52" s="50">
        <f>'A) Base RI'!A48</f>
        <v>5477</v>
      </c>
      <c r="B52" s="301" t="str">
        <f>'A) Base RI'!B48</f>
        <v>Cossonay</v>
      </c>
      <c r="C52" s="10">
        <f>'A) Base RI'!AN48</f>
        <v>3871</v>
      </c>
      <c r="D52" s="472">
        <f>'C) Prél. conj.'!H46</f>
        <v>409761.85</v>
      </c>
      <c r="E52" s="10">
        <f>'D) Ecrêtage'!L46</f>
        <v>0</v>
      </c>
      <c r="F52" s="472">
        <f>$F$10*'D) Ecrêtage'!M46</f>
        <v>1952915.8556328814</v>
      </c>
      <c r="G52" s="58">
        <f t="shared" si="0"/>
        <v>2362677.7056328813</v>
      </c>
    </row>
    <row r="53" spans="1:7" x14ac:dyDescent="0.25">
      <c r="A53" s="50">
        <f>'A) Base RI'!A49</f>
        <v>5478</v>
      </c>
      <c r="B53" s="301" t="str">
        <f>'A) Base RI'!B49</f>
        <v>Cottens</v>
      </c>
      <c r="C53" s="10">
        <f>'A) Base RI'!AN49</f>
        <v>486</v>
      </c>
      <c r="D53" s="472">
        <f>'C) Prél. conj.'!H47</f>
        <v>23234.7</v>
      </c>
      <c r="E53" s="10">
        <f>'D) Ecrêtage'!L47</f>
        <v>0</v>
      </c>
      <c r="F53" s="472">
        <f>$F$10*'D) Ecrêtage'!M47</f>
        <v>210357.35209671012</v>
      </c>
      <c r="G53" s="58">
        <f t="shared" si="0"/>
        <v>233592.05209671013</v>
      </c>
    </row>
    <row r="54" spans="1:7" x14ac:dyDescent="0.25">
      <c r="A54" s="50">
        <f>'A) Base RI'!A50</f>
        <v>5479</v>
      </c>
      <c r="B54" s="301" t="str">
        <f>'A) Base RI'!B50</f>
        <v>Cuarnens</v>
      </c>
      <c r="C54" s="10">
        <f>'A) Base RI'!AN50</f>
        <v>479</v>
      </c>
      <c r="D54" s="472">
        <f>'C) Prél. conj.'!H48</f>
        <v>43112.19</v>
      </c>
      <c r="E54" s="10">
        <f>'D) Ecrêtage'!L48</f>
        <v>0</v>
      </c>
      <c r="F54" s="472">
        <f>$F$10*'D) Ecrêtage'!M48</f>
        <v>240760.0868931693</v>
      </c>
      <c r="G54" s="58">
        <f t="shared" si="0"/>
        <v>283872.27689316927</v>
      </c>
    </row>
    <row r="55" spans="1:7" x14ac:dyDescent="0.25">
      <c r="A55" s="50">
        <f>'A) Base RI'!A51</f>
        <v>5480</v>
      </c>
      <c r="B55" s="301" t="str">
        <f>'A) Base RI'!B51</f>
        <v>Daillens</v>
      </c>
      <c r="C55" s="10">
        <f>'A) Base RI'!AN51</f>
        <v>1027</v>
      </c>
      <c r="D55" s="472">
        <f>'C) Prél. conj.'!H49</f>
        <v>177077.68</v>
      </c>
      <c r="E55" s="10">
        <f>'D) Ecrêtage'!L49</f>
        <v>0</v>
      </c>
      <c r="F55" s="472">
        <f>$F$10*'D) Ecrêtage'!M49</f>
        <v>606792.33273702522</v>
      </c>
      <c r="G55" s="58">
        <f t="shared" si="0"/>
        <v>783870.01273702527</v>
      </c>
    </row>
    <row r="56" spans="1:7" x14ac:dyDescent="0.25">
      <c r="A56" s="50">
        <f>'A) Base RI'!A52</f>
        <v>5481</v>
      </c>
      <c r="B56" s="301" t="str">
        <f>'A) Base RI'!B52</f>
        <v>Dizy</v>
      </c>
      <c r="C56" s="10">
        <f>'A) Base RI'!AN52</f>
        <v>223</v>
      </c>
      <c r="D56" s="472">
        <f>'C) Prél. conj.'!H50</f>
        <v>16822.849999999999</v>
      </c>
      <c r="E56" s="10">
        <f>'D) Ecrêtage'!L50</f>
        <v>0</v>
      </c>
      <c r="F56" s="472">
        <f>$F$10*'D) Ecrêtage'!M50</f>
        <v>162218.92439980822</v>
      </c>
      <c r="G56" s="58">
        <f t="shared" si="0"/>
        <v>179041.77439980823</v>
      </c>
    </row>
    <row r="57" spans="1:7" x14ac:dyDescent="0.25">
      <c r="A57" s="50">
        <f>'A) Base RI'!A53</f>
        <v>5482</v>
      </c>
      <c r="B57" s="301" t="str">
        <f>'A) Base RI'!B53</f>
        <v>Eclépens</v>
      </c>
      <c r="C57" s="10">
        <f>'A) Base RI'!AN53</f>
        <v>1211</v>
      </c>
      <c r="D57" s="472">
        <f>'C) Prél. conj.'!H51</f>
        <v>132922.85999999999</v>
      </c>
      <c r="E57" s="10">
        <f>'D) Ecrêtage'!L51</f>
        <v>0</v>
      </c>
      <c r="F57" s="472">
        <f>$F$10*'D) Ecrêtage'!M51</f>
        <v>717094.7954440607</v>
      </c>
      <c r="G57" s="58">
        <f t="shared" si="0"/>
        <v>850017.65544406069</v>
      </c>
    </row>
    <row r="58" spans="1:7" x14ac:dyDescent="0.25">
      <c r="A58" s="50">
        <f>'A) Base RI'!A54</f>
        <v>5483</v>
      </c>
      <c r="B58" s="301" t="str">
        <f>'A) Base RI'!B54</f>
        <v>Ferreyres</v>
      </c>
      <c r="C58" s="10">
        <f>'A) Base RI'!AN54</f>
        <v>310</v>
      </c>
      <c r="D58" s="472">
        <f>'C) Prél. conj.'!H52</f>
        <v>22615.625</v>
      </c>
      <c r="E58" s="10">
        <f>'D) Ecrêtage'!L52</f>
        <v>0</v>
      </c>
      <c r="F58" s="472">
        <f>$F$10*'D) Ecrêtage'!M52</f>
        <v>129605.1810194476</v>
      </c>
      <c r="G58" s="58">
        <f t="shared" si="0"/>
        <v>152220.8060194476</v>
      </c>
    </row>
    <row r="59" spans="1:7" x14ac:dyDescent="0.25">
      <c r="A59" s="50">
        <f>'A) Base RI'!A55</f>
        <v>5484</v>
      </c>
      <c r="B59" s="301" t="str">
        <f>'A) Base RI'!B55</f>
        <v>Gollion</v>
      </c>
      <c r="C59" s="10">
        <f>'A) Base RI'!AN55</f>
        <v>939</v>
      </c>
      <c r="D59" s="472">
        <f>'C) Prél. conj.'!H53</f>
        <v>144100.935</v>
      </c>
      <c r="E59" s="10">
        <f>'D) Ecrêtage'!L53</f>
        <v>0</v>
      </c>
      <c r="F59" s="472">
        <f>$F$10*'D) Ecrêtage'!M53</f>
        <v>471038.99868374591</v>
      </c>
      <c r="G59" s="58">
        <f t="shared" si="0"/>
        <v>615139.93368374591</v>
      </c>
    </row>
    <row r="60" spans="1:7" x14ac:dyDescent="0.25">
      <c r="A60" s="50">
        <f>'A) Base RI'!A56</f>
        <v>5485</v>
      </c>
      <c r="B60" s="301" t="str">
        <f>'A) Base RI'!B56</f>
        <v>Grancy</v>
      </c>
      <c r="C60" s="10">
        <f>'A) Base RI'!AN56</f>
        <v>398</v>
      </c>
      <c r="D60" s="472">
        <f>'C) Prél. conj.'!H54</f>
        <v>16214.764999999999</v>
      </c>
      <c r="E60" s="10">
        <f>'D) Ecrêtage'!L54</f>
        <v>0</v>
      </c>
      <c r="F60" s="472">
        <f>$F$10*'D) Ecrêtage'!M54</f>
        <v>273561.25202386873</v>
      </c>
      <c r="G60" s="58">
        <f t="shared" si="0"/>
        <v>289776.01702386874</v>
      </c>
    </row>
    <row r="61" spans="1:7" x14ac:dyDescent="0.25">
      <c r="A61" s="50">
        <f>'A) Base RI'!A57</f>
        <v>5486</v>
      </c>
      <c r="B61" s="301" t="str">
        <f>'A) Base RI'!B57</f>
        <v>L'Isle</v>
      </c>
      <c r="C61" s="10">
        <f>'A) Base RI'!AN57</f>
        <v>1005</v>
      </c>
      <c r="D61" s="472">
        <f>'C) Prél. conj.'!H55</f>
        <v>91397.74</v>
      </c>
      <c r="E61" s="10">
        <f>'D) Ecrêtage'!L55</f>
        <v>0</v>
      </c>
      <c r="F61" s="472">
        <f>$F$10*'D) Ecrêtage'!M55</f>
        <v>457286.34795243392</v>
      </c>
      <c r="G61" s="58">
        <f t="shared" si="0"/>
        <v>548684.08795243397</v>
      </c>
    </row>
    <row r="62" spans="1:7" x14ac:dyDescent="0.25">
      <c r="A62" s="50">
        <f>'A) Base RI'!A58</f>
        <v>5487</v>
      </c>
      <c r="B62" s="301" t="str">
        <f>'A) Base RI'!B58</f>
        <v>Lussery-Villars</v>
      </c>
      <c r="C62" s="10">
        <f>'A) Base RI'!AN58</f>
        <v>462</v>
      </c>
      <c r="D62" s="472">
        <f>'C) Prél. conj.'!H56</f>
        <v>9931.2000000000007</v>
      </c>
      <c r="E62" s="10">
        <f>'D) Ecrêtage'!L56</f>
        <v>0</v>
      </c>
      <c r="F62" s="472">
        <f>$F$10*'D) Ecrêtage'!M56</f>
        <v>216412.37777210836</v>
      </c>
      <c r="G62" s="58">
        <f t="shared" si="0"/>
        <v>226343.57777210837</v>
      </c>
    </row>
    <row r="63" spans="1:7" x14ac:dyDescent="0.25">
      <c r="A63" s="50">
        <f>'A) Base RI'!A59</f>
        <v>5488</v>
      </c>
      <c r="B63" s="301" t="str">
        <f>'A) Base RI'!B59</f>
        <v>Mauraz</v>
      </c>
      <c r="C63" s="10">
        <f>'A) Base RI'!AN59</f>
        <v>59</v>
      </c>
      <c r="D63" s="472">
        <f>'C) Prél. conj.'!H57</f>
        <v>6305.35</v>
      </c>
      <c r="E63" s="10">
        <f>'D) Ecrêtage'!L57</f>
        <v>0</v>
      </c>
      <c r="F63" s="472">
        <f>$F$10*'D) Ecrêtage'!M57</f>
        <v>27929.806405899752</v>
      </c>
      <c r="G63" s="58">
        <f t="shared" si="0"/>
        <v>34235.156405899754</v>
      </c>
    </row>
    <row r="64" spans="1:7" x14ac:dyDescent="0.25">
      <c r="A64" s="50">
        <f>'A) Base RI'!A60</f>
        <v>5489</v>
      </c>
      <c r="B64" s="301" t="str">
        <f>'A) Base RI'!B60</f>
        <v>Mex</v>
      </c>
      <c r="C64" s="10">
        <f>'A) Base RI'!AN60</f>
        <v>725</v>
      </c>
      <c r="D64" s="472">
        <f>'C) Prél. conj.'!H58</f>
        <v>89417.195000000007</v>
      </c>
      <c r="E64" s="10">
        <f>'D) Ecrêtage'!L58</f>
        <v>810882.94838155888</v>
      </c>
      <c r="F64" s="472">
        <f>$F$10*'D) Ecrêtage'!M58</f>
        <v>935339.71057325823</v>
      </c>
      <c r="G64" s="58">
        <f t="shared" si="0"/>
        <v>1835639.8539548172</v>
      </c>
    </row>
    <row r="65" spans="1:7" x14ac:dyDescent="0.25">
      <c r="A65" s="50">
        <f>'A) Base RI'!A61</f>
        <v>5490</v>
      </c>
      <c r="B65" s="301" t="str">
        <f>'A) Base RI'!B61</f>
        <v>Moiry</v>
      </c>
      <c r="C65" s="10">
        <f>'A) Base RI'!AN61</f>
        <v>310</v>
      </c>
      <c r="D65" s="472">
        <f>'C) Prél. conj.'!H59</f>
        <v>16070.25</v>
      </c>
      <c r="E65" s="10">
        <f>'D) Ecrêtage'!L59</f>
        <v>0</v>
      </c>
      <c r="F65" s="472">
        <f>$F$10*'D) Ecrêtage'!M59</f>
        <v>136016.61434792582</v>
      </c>
      <c r="G65" s="58">
        <f t="shared" si="0"/>
        <v>152086.86434792582</v>
      </c>
    </row>
    <row r="66" spans="1:7" x14ac:dyDescent="0.25">
      <c r="A66" s="50">
        <f>'A) Base RI'!A62</f>
        <v>5491</v>
      </c>
      <c r="B66" s="301" t="str">
        <f>'A) Base RI'!B62</f>
        <v>Mont-la-Ville</v>
      </c>
      <c r="C66" s="10">
        <f>'A) Base RI'!AN62</f>
        <v>466</v>
      </c>
      <c r="D66" s="472">
        <f>'C) Prél. conj.'!H60</f>
        <v>45895.275000000001</v>
      </c>
      <c r="E66" s="10">
        <f>'D) Ecrêtage'!L60</f>
        <v>0</v>
      </c>
      <c r="F66" s="472">
        <f>$F$10*'D) Ecrêtage'!M60</f>
        <v>180321.62180226782</v>
      </c>
      <c r="G66" s="58">
        <f t="shared" si="0"/>
        <v>226216.89680226782</v>
      </c>
    </row>
    <row r="67" spans="1:7" x14ac:dyDescent="0.25">
      <c r="A67" s="50">
        <f>'A) Base RI'!A63</f>
        <v>5492</v>
      </c>
      <c r="B67" s="301" t="str">
        <f>'A) Base RI'!B63</f>
        <v>Montricher</v>
      </c>
      <c r="C67" s="10">
        <f>'A) Base RI'!AN63</f>
        <v>940</v>
      </c>
      <c r="D67" s="472">
        <f>'C) Prél. conj.'!H61</f>
        <v>316490.36</v>
      </c>
      <c r="E67" s="10">
        <f>'D) Ecrêtage'!L61</f>
        <v>6974549.6008922737</v>
      </c>
      <c r="F67" s="472">
        <f>$F$10*'D) Ecrêtage'!M61</f>
        <v>2661702.6537047783</v>
      </c>
      <c r="G67" s="58">
        <f t="shared" si="0"/>
        <v>9952742.6145970523</v>
      </c>
    </row>
    <row r="68" spans="1:7" x14ac:dyDescent="0.25">
      <c r="A68" s="50">
        <f>'A) Base RI'!A64</f>
        <v>5493</v>
      </c>
      <c r="B68" s="301" t="str">
        <f>'A) Base RI'!B64</f>
        <v>Orny</v>
      </c>
      <c r="C68" s="10">
        <f>'A) Base RI'!AN64</f>
        <v>368</v>
      </c>
      <c r="D68" s="472">
        <f>'C) Prél. conj.'!H62</f>
        <v>54103.764999999999</v>
      </c>
      <c r="E68" s="10">
        <f>'D) Ecrêtage'!L62</f>
        <v>0</v>
      </c>
      <c r="F68" s="472">
        <f>$F$10*'D) Ecrêtage'!M62</f>
        <v>156812.37732955316</v>
      </c>
      <c r="G68" s="58">
        <f t="shared" si="0"/>
        <v>210916.14232955314</v>
      </c>
    </row>
    <row r="69" spans="1:7" x14ac:dyDescent="0.25">
      <c r="A69" s="50">
        <f>'A) Base RI'!A65</f>
        <v>5494</v>
      </c>
      <c r="B69" s="301" t="str">
        <f>'A) Base RI'!B65</f>
        <v>Pampigny</v>
      </c>
      <c r="C69" s="10">
        <f>'A) Base RI'!AN65</f>
        <v>1113</v>
      </c>
      <c r="D69" s="472">
        <f>'C) Prél. conj.'!H63</f>
        <v>152848.345</v>
      </c>
      <c r="E69" s="10">
        <f>'D) Ecrêtage'!L63</f>
        <v>0</v>
      </c>
      <c r="F69" s="472">
        <f>$F$10*'D) Ecrêtage'!M63</f>
        <v>553250.24166810641</v>
      </c>
      <c r="G69" s="58">
        <f t="shared" si="0"/>
        <v>706098.58666810638</v>
      </c>
    </row>
    <row r="70" spans="1:7" x14ac:dyDescent="0.25">
      <c r="A70" s="50">
        <f>'A) Base RI'!A66</f>
        <v>5495</v>
      </c>
      <c r="B70" s="301" t="str">
        <f>'A) Base RI'!B66</f>
        <v>Penthalaz</v>
      </c>
      <c r="C70" s="10">
        <f>'A) Base RI'!AN66</f>
        <v>3283</v>
      </c>
      <c r="D70" s="472">
        <f>'C) Prél. conj.'!H64</f>
        <v>248393.63</v>
      </c>
      <c r="E70" s="10">
        <f>'D) Ecrêtage'!L64</f>
        <v>0</v>
      </c>
      <c r="F70" s="472">
        <f>$F$10*'D) Ecrêtage'!M64</f>
        <v>1359487.1816554347</v>
      </c>
      <c r="G70" s="58">
        <f t="shared" si="0"/>
        <v>1607880.8116554348</v>
      </c>
    </row>
    <row r="71" spans="1:7" x14ac:dyDescent="0.25">
      <c r="A71" s="50">
        <f>'A) Base RI'!A67</f>
        <v>5496</v>
      </c>
      <c r="B71" s="301" t="str">
        <f>'A) Base RI'!B67</f>
        <v>Penthaz</v>
      </c>
      <c r="C71" s="10">
        <f>'A) Base RI'!AN67</f>
        <v>1747</v>
      </c>
      <c r="D71" s="472">
        <f>'C) Prél. conj.'!H65</f>
        <v>253498.69000000003</v>
      </c>
      <c r="E71" s="10">
        <f>'D) Ecrêtage'!L65</f>
        <v>0</v>
      </c>
      <c r="F71" s="472">
        <f>$F$10*'D) Ecrêtage'!M65</f>
        <v>840441.25535628432</v>
      </c>
      <c r="G71" s="58">
        <f t="shared" si="0"/>
        <v>1093939.9453562843</v>
      </c>
    </row>
    <row r="72" spans="1:7" x14ac:dyDescent="0.25">
      <c r="A72" s="50">
        <f>'A) Base RI'!A68</f>
        <v>5497</v>
      </c>
      <c r="B72" s="301" t="str">
        <f>'A) Base RI'!B68</f>
        <v>Pompaples</v>
      </c>
      <c r="C72" s="10">
        <f>'A) Base RI'!AN68</f>
        <v>847</v>
      </c>
      <c r="D72" s="472">
        <f>'C) Prél. conj.'!H66</f>
        <v>136070.55499999999</v>
      </c>
      <c r="E72" s="10">
        <f>'D) Ecrêtage'!L66</f>
        <v>0</v>
      </c>
      <c r="F72" s="472">
        <f>$F$10*'D) Ecrêtage'!M66</f>
        <v>329442.21755481366</v>
      </c>
      <c r="G72" s="58">
        <f t="shared" si="0"/>
        <v>465512.77255481365</v>
      </c>
    </row>
    <row r="73" spans="1:7" x14ac:dyDescent="0.25">
      <c r="A73" s="50">
        <f>'A) Base RI'!A69</f>
        <v>5498</v>
      </c>
      <c r="B73" s="301" t="str">
        <f>'A) Base RI'!B69</f>
        <v>La Sarraz</v>
      </c>
      <c r="C73" s="10">
        <f>'A) Base RI'!AN69</f>
        <v>2596</v>
      </c>
      <c r="D73" s="472">
        <f>'C) Prél. conj.'!H67</f>
        <v>194954.62</v>
      </c>
      <c r="E73" s="10">
        <f>'D) Ecrêtage'!L67</f>
        <v>0</v>
      </c>
      <c r="F73" s="472">
        <f>$F$10*'D) Ecrêtage'!M67</f>
        <v>1144179.5564196184</v>
      </c>
      <c r="G73" s="58">
        <f t="shared" si="0"/>
        <v>1339134.1764196185</v>
      </c>
    </row>
    <row r="74" spans="1:7" x14ac:dyDescent="0.25">
      <c r="A74" s="50">
        <f>'A) Base RI'!A70</f>
        <v>5499</v>
      </c>
      <c r="B74" s="301" t="str">
        <f>'A) Base RI'!B70</f>
        <v>Senarclens</v>
      </c>
      <c r="C74" s="10">
        <f>'A) Base RI'!AN70</f>
        <v>488</v>
      </c>
      <c r="D74" s="472">
        <f>'C) Prél. conj.'!H68</f>
        <v>46244.724999999999</v>
      </c>
      <c r="E74" s="10">
        <f>'D) Ecrêtage'!L68</f>
        <v>0</v>
      </c>
      <c r="F74" s="472">
        <f>$F$10*'D) Ecrêtage'!M68</f>
        <v>349488.00845348299</v>
      </c>
      <c r="G74" s="58">
        <f t="shared" si="0"/>
        <v>395732.73345348297</v>
      </c>
    </row>
    <row r="75" spans="1:7" x14ac:dyDescent="0.25">
      <c r="A75" s="50">
        <f>'A) Base RI'!A71</f>
        <v>5500</v>
      </c>
      <c r="B75" s="301" t="str">
        <f>'A) Base RI'!B71</f>
        <v>Sévery</v>
      </c>
      <c r="C75" s="10">
        <f>'A) Base RI'!AN71</f>
        <v>225</v>
      </c>
      <c r="D75" s="472">
        <f>'C) Prél. conj.'!H69</f>
        <v>32102.18</v>
      </c>
      <c r="E75" s="10">
        <f>'D) Ecrêtage'!L69</f>
        <v>0</v>
      </c>
      <c r="F75" s="472">
        <f>$F$10*'D) Ecrêtage'!M69</f>
        <v>92637.253383275121</v>
      </c>
      <c r="G75" s="58">
        <f t="shared" si="0"/>
        <v>124739.43338327511</v>
      </c>
    </row>
    <row r="76" spans="1:7" x14ac:dyDescent="0.25">
      <c r="A76" s="50">
        <f>'A) Base RI'!A72</f>
        <v>5501</v>
      </c>
      <c r="B76" s="301" t="str">
        <f>'A) Base RI'!B72</f>
        <v>Sullens</v>
      </c>
      <c r="C76" s="10">
        <f>'A) Base RI'!AN72</f>
        <v>1036</v>
      </c>
      <c r="D76" s="472">
        <f>'C) Prél. conj.'!H70</f>
        <v>89687.784999999989</v>
      </c>
      <c r="E76" s="10">
        <f>'D) Ecrêtage'!L70</f>
        <v>0</v>
      </c>
      <c r="F76" s="472">
        <f>$F$10*'D) Ecrêtage'!M70</f>
        <v>553235.86817478098</v>
      </c>
      <c r="G76" s="58">
        <f t="shared" ref="G76:G139" si="1">D76+F76+E76</f>
        <v>642923.65317478101</v>
      </c>
    </row>
    <row r="77" spans="1:7" x14ac:dyDescent="0.25">
      <c r="A77" s="50">
        <f>'A) Base RI'!A73</f>
        <v>5503</v>
      </c>
      <c r="B77" s="301" t="str">
        <f>'A) Base RI'!B73</f>
        <v>Vufflens-la-Ville</v>
      </c>
      <c r="C77" s="10">
        <f>'A) Base RI'!AN73</f>
        <v>1298</v>
      </c>
      <c r="D77" s="472">
        <f>'C) Prél. conj.'!H71</f>
        <v>401001.27500000002</v>
      </c>
      <c r="E77" s="10">
        <f>'D) Ecrêtage'!L71</f>
        <v>140716.50590031216</v>
      </c>
      <c r="F77" s="472">
        <f>$F$10*'D) Ecrêtage'!M71</f>
        <v>1124295.8334483656</v>
      </c>
      <c r="G77" s="58">
        <f t="shared" si="1"/>
        <v>1666013.6143486779</v>
      </c>
    </row>
    <row r="78" spans="1:7" x14ac:dyDescent="0.25">
      <c r="A78" s="50">
        <f>'A) Base RI'!A74</f>
        <v>5511</v>
      </c>
      <c r="B78" s="301" t="str">
        <f>'A) Base RI'!B74</f>
        <v>Assens</v>
      </c>
      <c r="C78" s="10">
        <f>'A) Base RI'!AN74</f>
        <v>1077</v>
      </c>
      <c r="D78" s="472">
        <f>'C) Prél. conj.'!H72</f>
        <v>65750.075000000012</v>
      </c>
      <c r="E78" s="10">
        <f>'D) Ecrêtage'!L72</f>
        <v>0</v>
      </c>
      <c r="F78" s="472">
        <f>$F$10*'D) Ecrêtage'!M72</f>
        <v>667784.62604568293</v>
      </c>
      <c r="G78" s="58">
        <f t="shared" si="1"/>
        <v>733534.70104568289</v>
      </c>
    </row>
    <row r="79" spans="1:7" x14ac:dyDescent="0.25">
      <c r="A79" s="50">
        <f>'A) Base RI'!A75</f>
        <v>5512</v>
      </c>
      <c r="B79" s="301" t="str">
        <f>'A) Base RI'!B75</f>
        <v>Bercher</v>
      </c>
      <c r="C79" s="10">
        <f>'A) Base RI'!AN75</f>
        <v>1239</v>
      </c>
      <c r="D79" s="472">
        <f>'C) Prél. conj.'!H73</f>
        <v>112581.72</v>
      </c>
      <c r="E79" s="10">
        <f>'D) Ecrêtage'!L73</f>
        <v>0</v>
      </c>
      <c r="F79" s="472">
        <f>$F$10*'D) Ecrêtage'!M73</f>
        <v>552815.31641616253</v>
      </c>
      <c r="G79" s="58">
        <f t="shared" si="1"/>
        <v>665397.0364161625</v>
      </c>
    </row>
    <row r="80" spans="1:7" x14ac:dyDescent="0.25">
      <c r="A80" s="50">
        <f>'A) Base RI'!A76</f>
        <v>5513</v>
      </c>
      <c r="B80" s="301" t="str">
        <f>'A) Base RI'!B76</f>
        <v>Bioley-Orjulaz</v>
      </c>
      <c r="C80" s="10">
        <f>'A) Base RI'!AN76</f>
        <v>516</v>
      </c>
      <c r="D80" s="472">
        <f>'C) Prél. conj.'!H74</f>
        <v>81773.39</v>
      </c>
      <c r="E80" s="10">
        <f>'D) Ecrêtage'!L74</f>
        <v>0</v>
      </c>
      <c r="F80" s="472">
        <f>$F$10*'D) Ecrêtage'!M74</f>
        <v>338097.17328135762</v>
      </c>
      <c r="G80" s="58">
        <f t="shared" si="1"/>
        <v>419870.56328135764</v>
      </c>
    </row>
    <row r="81" spans="1:7" x14ac:dyDescent="0.25">
      <c r="A81" s="50">
        <f>'A) Base RI'!A77</f>
        <v>5514</v>
      </c>
      <c r="B81" s="301" t="str">
        <f>'A) Base RI'!B77</f>
        <v>Bottens</v>
      </c>
      <c r="C81" s="10">
        <f>'A) Base RI'!AN77</f>
        <v>1298</v>
      </c>
      <c r="D81" s="472">
        <f>'C) Prél. conj.'!H75</f>
        <v>54667.92</v>
      </c>
      <c r="E81" s="10">
        <f>'D) Ecrêtage'!L75</f>
        <v>0</v>
      </c>
      <c r="F81" s="472">
        <f>$F$10*'D) Ecrêtage'!M75</f>
        <v>655470.80746486096</v>
      </c>
      <c r="G81" s="58">
        <f t="shared" si="1"/>
        <v>710138.727464861</v>
      </c>
    </row>
    <row r="82" spans="1:7" x14ac:dyDescent="0.25">
      <c r="A82" s="50">
        <f>'A) Base RI'!A78</f>
        <v>5515</v>
      </c>
      <c r="B82" s="301" t="str">
        <f>'A) Base RI'!B78</f>
        <v>Bretigny-sur-Morrens</v>
      </c>
      <c r="C82" s="10">
        <f>'A) Base RI'!AN78</f>
        <v>843</v>
      </c>
      <c r="D82" s="472">
        <f>'C) Prél. conj.'!H76</f>
        <v>104022.24</v>
      </c>
      <c r="E82" s="10">
        <f>'D) Ecrêtage'!L76</f>
        <v>0</v>
      </c>
      <c r="F82" s="472">
        <f>$F$10*'D) Ecrêtage'!M76</f>
        <v>422882.47819679702</v>
      </c>
      <c r="G82" s="58">
        <f t="shared" si="1"/>
        <v>526904.71819679707</v>
      </c>
    </row>
    <row r="83" spans="1:7" x14ac:dyDescent="0.25">
      <c r="A83" s="50">
        <f>'A) Base RI'!A79</f>
        <v>5516</v>
      </c>
      <c r="B83" s="301" t="str">
        <f>'A) Base RI'!B79</f>
        <v>Cugy</v>
      </c>
      <c r="C83" s="10">
        <f>'A) Base RI'!AN79</f>
        <v>2742</v>
      </c>
      <c r="D83" s="472">
        <f>'C) Prél. conj.'!H77</f>
        <v>249236.27500000002</v>
      </c>
      <c r="E83" s="10">
        <f>'D) Ecrêtage'!L77</f>
        <v>0</v>
      </c>
      <c r="F83" s="472">
        <f>$F$10*'D) Ecrêtage'!M77</f>
        <v>1636554.9083915628</v>
      </c>
      <c r="G83" s="58">
        <f t="shared" si="1"/>
        <v>1885791.1833915627</v>
      </c>
    </row>
    <row r="84" spans="1:7" x14ac:dyDescent="0.25">
      <c r="A84" s="50">
        <f>'A) Base RI'!A80</f>
        <v>5518</v>
      </c>
      <c r="B84" s="301" t="str">
        <f>'A) Base RI'!B80</f>
        <v>Echallens</v>
      </c>
      <c r="C84" s="10">
        <f>'A) Base RI'!AN80</f>
        <v>5742</v>
      </c>
      <c r="D84" s="472">
        <f>'C) Prél. conj.'!H78</f>
        <v>320215.64999999997</v>
      </c>
      <c r="E84" s="10">
        <f>'D) Ecrêtage'!L78</f>
        <v>0</v>
      </c>
      <c r="F84" s="472">
        <f>$F$10*'D) Ecrêtage'!M78</f>
        <v>2755944.4989487822</v>
      </c>
      <c r="G84" s="58">
        <f t="shared" si="1"/>
        <v>3076160.1489487821</v>
      </c>
    </row>
    <row r="85" spans="1:7" x14ac:dyDescent="0.25">
      <c r="A85" s="50">
        <f>'A) Base RI'!A81</f>
        <v>5520</v>
      </c>
      <c r="B85" s="301" t="str">
        <f>'A) Base RI'!B81</f>
        <v>Essertines-sur-Yverdon</v>
      </c>
      <c r="C85" s="10">
        <f>'A) Base RI'!AN81</f>
        <v>1024</v>
      </c>
      <c r="D85" s="472">
        <f>'C) Prél. conj.'!H79</f>
        <v>111903.62999999999</v>
      </c>
      <c r="E85" s="10">
        <f>'D) Ecrêtage'!L79</f>
        <v>0</v>
      </c>
      <c r="F85" s="472">
        <f>$F$10*'D) Ecrêtage'!M79</f>
        <v>466244.29336709861</v>
      </c>
      <c r="G85" s="58">
        <f t="shared" si="1"/>
        <v>578147.92336709856</v>
      </c>
    </row>
    <row r="86" spans="1:7" x14ac:dyDescent="0.25">
      <c r="A86" s="50">
        <f>'A) Base RI'!A82</f>
        <v>5521</v>
      </c>
      <c r="B86" s="301" t="str">
        <f>'A) Base RI'!B82</f>
        <v>Etagnières</v>
      </c>
      <c r="C86" s="10">
        <f>'A) Base RI'!AN82</f>
        <v>1118</v>
      </c>
      <c r="D86" s="472">
        <f>'C) Prél. conj.'!H80</f>
        <v>95780.755000000005</v>
      </c>
      <c r="E86" s="10">
        <f>'D) Ecrêtage'!L80</f>
        <v>0</v>
      </c>
      <c r="F86" s="472">
        <f>$F$10*'D) Ecrêtage'!M80</f>
        <v>628925.28507727431</v>
      </c>
      <c r="G86" s="58">
        <f t="shared" si="1"/>
        <v>724706.04007727432</v>
      </c>
    </row>
    <row r="87" spans="1:7" x14ac:dyDescent="0.25">
      <c r="A87" s="50">
        <f>'A) Base RI'!A83</f>
        <v>5522</v>
      </c>
      <c r="B87" s="301" t="str">
        <f>'A) Base RI'!B83</f>
        <v>Fey</v>
      </c>
      <c r="C87" s="10">
        <f>'A) Base RI'!AN83</f>
        <v>734</v>
      </c>
      <c r="D87" s="472">
        <f>'C) Prél. conj.'!H81</f>
        <v>61010.780000000006</v>
      </c>
      <c r="E87" s="10">
        <f>'D) Ecrêtage'!L81</f>
        <v>0</v>
      </c>
      <c r="F87" s="472">
        <f>$F$10*'D) Ecrêtage'!M81</f>
        <v>320618.28914763115</v>
      </c>
      <c r="G87" s="58">
        <f t="shared" si="1"/>
        <v>381629.06914763118</v>
      </c>
    </row>
    <row r="88" spans="1:7" x14ac:dyDescent="0.25">
      <c r="A88" s="50">
        <f>'A) Base RI'!A84</f>
        <v>5523</v>
      </c>
      <c r="B88" s="301" t="str">
        <f>'A) Base RI'!B84</f>
        <v>Froideville</v>
      </c>
      <c r="C88" s="10">
        <f>'A) Base RI'!AN84</f>
        <v>2576</v>
      </c>
      <c r="D88" s="472">
        <f>'C) Prél. conj.'!H82</f>
        <v>160565.32</v>
      </c>
      <c r="E88" s="10">
        <f>'D) Ecrêtage'!L82</f>
        <v>0</v>
      </c>
      <c r="F88" s="472">
        <f>$F$10*'D) Ecrêtage'!M82</f>
        <v>1217182.0152987433</v>
      </c>
      <c r="G88" s="58">
        <f t="shared" si="1"/>
        <v>1377747.3352987433</v>
      </c>
    </row>
    <row r="89" spans="1:7" x14ac:dyDescent="0.25">
      <c r="A89" s="50">
        <f>'A) Base RI'!A85</f>
        <v>5527</v>
      </c>
      <c r="B89" s="301" t="str">
        <f>'A) Base RI'!B85</f>
        <v>Morrens</v>
      </c>
      <c r="C89" s="10">
        <f>'A) Base RI'!AN85</f>
        <v>1077</v>
      </c>
      <c r="D89" s="472">
        <f>'C) Prél. conj.'!H83</f>
        <v>134907.035</v>
      </c>
      <c r="E89" s="10">
        <f>'D) Ecrêtage'!L83</f>
        <v>0</v>
      </c>
      <c r="F89" s="472">
        <f>$F$10*'D) Ecrêtage'!M83</f>
        <v>553536.02573512867</v>
      </c>
      <c r="G89" s="58">
        <f t="shared" si="1"/>
        <v>688443.0607351287</v>
      </c>
    </row>
    <row r="90" spans="1:7" x14ac:dyDescent="0.25">
      <c r="A90" s="50">
        <f>'A) Base RI'!A86</f>
        <v>5529</v>
      </c>
      <c r="B90" s="301" t="str">
        <f>'A) Base RI'!B86</f>
        <v>Oulens-sous-Echallens</v>
      </c>
      <c r="C90" s="10">
        <f>'A) Base RI'!AN86</f>
        <v>611</v>
      </c>
      <c r="D90" s="472">
        <f>'C) Prél. conj.'!H84</f>
        <v>30443.455000000002</v>
      </c>
      <c r="E90" s="10">
        <f>'D) Ecrêtage'!L84</f>
        <v>0</v>
      </c>
      <c r="F90" s="472">
        <f>$F$10*'D) Ecrêtage'!M84</f>
        <v>312500.39621897484</v>
      </c>
      <c r="G90" s="58">
        <f t="shared" si="1"/>
        <v>342943.85121897486</v>
      </c>
    </row>
    <row r="91" spans="1:7" x14ac:dyDescent="0.25">
      <c r="A91" s="50">
        <f>'A) Base RI'!A87</f>
        <v>5530</v>
      </c>
      <c r="B91" s="301" t="str">
        <f>'A) Base RI'!B87</f>
        <v>Pailly</v>
      </c>
      <c r="C91" s="10">
        <f>'A) Base RI'!AN87</f>
        <v>561</v>
      </c>
      <c r="D91" s="472">
        <f>'C) Prél. conj.'!H85</f>
        <v>94029.12000000001</v>
      </c>
      <c r="E91" s="10">
        <f>'D) Ecrêtage'!L85</f>
        <v>0</v>
      </c>
      <c r="F91" s="472">
        <f>$F$10*'D) Ecrêtage'!M85</f>
        <v>251883.51835451962</v>
      </c>
      <c r="G91" s="58">
        <f t="shared" si="1"/>
        <v>345912.63835451961</v>
      </c>
    </row>
    <row r="92" spans="1:7" x14ac:dyDescent="0.25">
      <c r="A92" s="50">
        <f>'A) Base RI'!A88</f>
        <v>5531</v>
      </c>
      <c r="B92" s="301" t="str">
        <f>'A) Base RI'!B88</f>
        <v>Penthéréaz</v>
      </c>
      <c r="C92" s="10">
        <f>'A) Base RI'!AN88</f>
        <v>421</v>
      </c>
      <c r="D92" s="472">
        <f>'C) Prél. conj.'!H86</f>
        <v>32660.11</v>
      </c>
      <c r="E92" s="10">
        <f>'D) Ecrêtage'!L86</f>
        <v>0</v>
      </c>
      <c r="F92" s="472">
        <f>$F$10*'D) Ecrêtage'!M86</f>
        <v>219219.21154466402</v>
      </c>
      <c r="G92" s="58">
        <f t="shared" si="1"/>
        <v>251879.32154466404</v>
      </c>
    </row>
    <row r="93" spans="1:7" x14ac:dyDescent="0.25">
      <c r="A93" s="50">
        <f>'A) Base RI'!A89</f>
        <v>5533</v>
      </c>
      <c r="B93" s="301" t="str">
        <f>'A) Base RI'!B89</f>
        <v>Poliez-Pittet</v>
      </c>
      <c r="C93" s="10">
        <f>'A) Base RI'!AN89</f>
        <v>846</v>
      </c>
      <c r="D93" s="472">
        <f>'C) Prél. conj.'!H87</f>
        <v>34762.275000000001</v>
      </c>
      <c r="E93" s="10">
        <f>'D) Ecrêtage'!L87</f>
        <v>0</v>
      </c>
      <c r="F93" s="472">
        <f>$F$10*'D) Ecrêtage'!M87</f>
        <v>376739.25274460594</v>
      </c>
      <c r="G93" s="58">
        <f t="shared" si="1"/>
        <v>411501.52774460596</v>
      </c>
    </row>
    <row r="94" spans="1:7" x14ac:dyDescent="0.25">
      <c r="A94" s="50">
        <f>'A) Base RI'!A90</f>
        <v>5534</v>
      </c>
      <c r="B94" s="301" t="str">
        <f>'A) Base RI'!B90</f>
        <v>Rueyres</v>
      </c>
      <c r="C94" s="10">
        <f>'A) Base RI'!AN90</f>
        <v>255</v>
      </c>
      <c r="D94" s="472">
        <f>'C) Prél. conj.'!H88</f>
        <v>12470.32</v>
      </c>
      <c r="E94" s="10">
        <f>'D) Ecrêtage'!L88</f>
        <v>0</v>
      </c>
      <c r="F94" s="472">
        <f>$F$10*'D) Ecrêtage'!M88</f>
        <v>132579.96410417155</v>
      </c>
      <c r="G94" s="58">
        <f t="shared" si="1"/>
        <v>145050.28410417156</v>
      </c>
    </row>
    <row r="95" spans="1:7" x14ac:dyDescent="0.25">
      <c r="A95" s="50">
        <f>'A) Base RI'!A91</f>
        <v>5535</v>
      </c>
      <c r="B95" s="301" t="str">
        <f>'A) Base RI'!B91</f>
        <v>Saint-Barthélemy</v>
      </c>
      <c r="C95" s="10">
        <f>'A) Base RI'!AN91</f>
        <v>778</v>
      </c>
      <c r="D95" s="472">
        <f>'C) Prél. conj.'!H89</f>
        <v>87010.054999999993</v>
      </c>
      <c r="E95" s="10">
        <f>'D) Ecrêtage'!L89</f>
        <v>0</v>
      </c>
      <c r="F95" s="472">
        <f>$F$10*'D) Ecrêtage'!M89</f>
        <v>321779.66435458115</v>
      </c>
      <c r="G95" s="58">
        <f t="shared" si="1"/>
        <v>408789.71935458115</v>
      </c>
    </row>
    <row r="96" spans="1:7" x14ac:dyDescent="0.25">
      <c r="A96" s="50">
        <f>'A) Base RI'!A92</f>
        <v>5537</v>
      </c>
      <c r="B96" s="301" t="str">
        <f>'A) Base RI'!B92</f>
        <v>Villars-le-Terroir</v>
      </c>
      <c r="C96" s="10">
        <f>'A) Base RI'!AN92</f>
        <v>1213</v>
      </c>
      <c r="D96" s="472">
        <f>'C) Prél. conj.'!H90</f>
        <v>60133.725000000006</v>
      </c>
      <c r="E96" s="10">
        <f>'D) Ecrêtage'!L90</f>
        <v>0</v>
      </c>
      <c r="F96" s="472">
        <f>$F$10*'D) Ecrêtage'!M90</f>
        <v>547581.16251484025</v>
      </c>
      <c r="G96" s="58">
        <f t="shared" si="1"/>
        <v>607714.88751484023</v>
      </c>
    </row>
    <row r="97" spans="1:7" x14ac:dyDescent="0.25">
      <c r="A97" s="50">
        <f>'A) Base RI'!A93</f>
        <v>5539</v>
      </c>
      <c r="B97" s="301" t="str">
        <f>'A) Base RI'!B93</f>
        <v>Vuarrens</v>
      </c>
      <c r="C97" s="10">
        <f>'A) Base RI'!AN93</f>
        <v>1001</v>
      </c>
      <c r="D97" s="472">
        <f>'C) Prél. conj.'!H91</f>
        <v>85568</v>
      </c>
      <c r="E97" s="10">
        <f>'D) Ecrêtage'!L91</f>
        <v>0</v>
      </c>
      <c r="F97" s="472">
        <f>$F$10*'D) Ecrêtage'!M91</f>
        <v>422767.96908175765</v>
      </c>
      <c r="G97" s="58">
        <f t="shared" si="1"/>
        <v>508335.96908175765</v>
      </c>
    </row>
    <row r="98" spans="1:7" x14ac:dyDescent="0.25">
      <c r="A98" s="50">
        <f>'A) Base RI'!A94</f>
        <v>5540</v>
      </c>
      <c r="B98" s="301" t="str">
        <f>'A) Base RI'!B94</f>
        <v>Montilliez</v>
      </c>
      <c r="C98" s="10">
        <f>'A) Base RI'!AN94</f>
        <v>1781</v>
      </c>
      <c r="D98" s="472">
        <f>'C) Prél. conj.'!H92</f>
        <v>100112.52</v>
      </c>
      <c r="E98" s="10">
        <f>'D) Ecrêtage'!L92</f>
        <v>0</v>
      </c>
      <c r="F98" s="472">
        <f>$F$10*'D) Ecrêtage'!M92</f>
        <v>871770.19162086875</v>
      </c>
      <c r="G98" s="58">
        <f t="shared" si="1"/>
        <v>971882.71162086877</v>
      </c>
    </row>
    <row r="99" spans="1:7" x14ac:dyDescent="0.25">
      <c r="A99" s="50">
        <f>'A) Base RI'!A95</f>
        <v>5541</v>
      </c>
      <c r="B99" s="301" t="str">
        <f>'A) Base RI'!B95</f>
        <v>Goumoëns</v>
      </c>
      <c r="C99" s="10">
        <f>'A) Base RI'!AN95</f>
        <v>1119</v>
      </c>
      <c r="D99" s="472">
        <f>'C) Prél. conj.'!H93</f>
        <v>329641.86</v>
      </c>
      <c r="E99" s="10">
        <f>'D) Ecrêtage'!L93</f>
        <v>0</v>
      </c>
      <c r="F99" s="472">
        <f>$F$10*'D) Ecrêtage'!M93</f>
        <v>527656.65543233498</v>
      </c>
      <c r="G99" s="58">
        <f t="shared" si="1"/>
        <v>857298.51543233497</v>
      </c>
    </row>
    <row r="100" spans="1:7" x14ac:dyDescent="0.25">
      <c r="A100" s="50">
        <f>'A) Base RI'!A96</f>
        <v>5551</v>
      </c>
      <c r="B100" s="301" t="str">
        <f>'A) Base RI'!B96</f>
        <v>Bonvillars</v>
      </c>
      <c r="C100" s="10">
        <f>'A) Base RI'!AN96</f>
        <v>505</v>
      </c>
      <c r="D100" s="472">
        <f>'C) Prél. conj.'!H94</f>
        <v>42975.219999999994</v>
      </c>
      <c r="E100" s="10">
        <f>'D) Ecrêtage'!L94</f>
        <v>0</v>
      </c>
      <c r="F100" s="472">
        <f>$F$10*'D) Ecrêtage'!M94</f>
        <v>339369.18658126524</v>
      </c>
      <c r="G100" s="58">
        <f t="shared" si="1"/>
        <v>382344.40658126521</v>
      </c>
    </row>
    <row r="101" spans="1:7" x14ac:dyDescent="0.25">
      <c r="A101" s="50">
        <f>'A) Base RI'!A97</f>
        <v>5552</v>
      </c>
      <c r="B101" s="301" t="str">
        <f>'A) Base RI'!B97</f>
        <v>Bullet</v>
      </c>
      <c r="C101" s="10">
        <f>'A) Base RI'!AN97</f>
        <v>655</v>
      </c>
      <c r="D101" s="472">
        <f>'C) Prél. conj.'!H95</f>
        <v>50112.91</v>
      </c>
      <c r="E101" s="10">
        <f>'D) Ecrêtage'!L95</f>
        <v>0</v>
      </c>
      <c r="F101" s="472">
        <f>$F$10*'D) Ecrêtage'!M95</f>
        <v>260271.850243333</v>
      </c>
      <c r="G101" s="58">
        <f t="shared" si="1"/>
        <v>310384.760243333</v>
      </c>
    </row>
    <row r="102" spans="1:7" x14ac:dyDescent="0.25">
      <c r="A102" s="50">
        <f>'A) Base RI'!A98</f>
        <v>5553</v>
      </c>
      <c r="B102" s="301" t="str">
        <f>'A) Base RI'!B98</f>
        <v>Champagne</v>
      </c>
      <c r="C102" s="10">
        <f>'A) Base RI'!AN98</f>
        <v>1034</v>
      </c>
      <c r="D102" s="472">
        <f>'C) Prél. conj.'!H96</f>
        <v>131206.18000000002</v>
      </c>
      <c r="E102" s="10">
        <f>'D) Ecrêtage'!L96</f>
        <v>0</v>
      </c>
      <c r="F102" s="472">
        <f>$F$10*'D) Ecrêtage'!M96</f>
        <v>564847.82553579286</v>
      </c>
      <c r="G102" s="58">
        <f t="shared" si="1"/>
        <v>696054.00553579291</v>
      </c>
    </row>
    <row r="103" spans="1:7" x14ac:dyDescent="0.25">
      <c r="A103" s="50">
        <f>'A) Base RI'!A99</f>
        <v>5554</v>
      </c>
      <c r="B103" s="301" t="str">
        <f>'A) Base RI'!B99</f>
        <v>Concise</v>
      </c>
      <c r="C103" s="10">
        <f>'A) Base RI'!AN99</f>
        <v>995</v>
      </c>
      <c r="D103" s="472">
        <f>'C) Prél. conj.'!H97</f>
        <v>141006.10499999998</v>
      </c>
      <c r="E103" s="10">
        <f>'D) Ecrêtage'!L97</f>
        <v>0</v>
      </c>
      <c r="F103" s="472">
        <f>$F$10*'D) Ecrêtage'!M97</f>
        <v>437174.38259965915</v>
      </c>
      <c r="G103" s="58">
        <f t="shared" si="1"/>
        <v>578180.48759965913</v>
      </c>
    </row>
    <row r="104" spans="1:7" x14ac:dyDescent="0.25">
      <c r="A104" s="50">
        <f>'A) Base RI'!A100</f>
        <v>5555</v>
      </c>
      <c r="B104" s="301" t="str">
        <f>'A) Base RI'!B100</f>
        <v>Corcelles-près-Concise</v>
      </c>
      <c r="C104" s="10">
        <f>'A) Base RI'!AN100</f>
        <v>401</v>
      </c>
      <c r="D104" s="472">
        <f>'C) Prél. conj.'!H98</f>
        <v>46421.18</v>
      </c>
      <c r="E104" s="10">
        <f>'D) Ecrêtage'!L98</f>
        <v>0</v>
      </c>
      <c r="F104" s="472">
        <f>$F$10*'D) Ecrêtage'!M98</f>
        <v>190486.54776799268</v>
      </c>
      <c r="G104" s="58">
        <f t="shared" si="1"/>
        <v>236907.72776799268</v>
      </c>
    </row>
    <row r="105" spans="1:7" x14ac:dyDescent="0.25">
      <c r="A105" s="50">
        <f>'A) Base RI'!A101</f>
        <v>5556</v>
      </c>
      <c r="B105" s="301" t="str">
        <f>'A) Base RI'!B101</f>
        <v>Fiez</v>
      </c>
      <c r="C105" s="10">
        <f>'A) Base RI'!AN101</f>
        <v>447</v>
      </c>
      <c r="D105" s="472">
        <f>'C) Prél. conj.'!H99</f>
        <v>48146</v>
      </c>
      <c r="E105" s="10">
        <f>'D) Ecrêtage'!L99</f>
        <v>0</v>
      </c>
      <c r="F105" s="472">
        <f>$F$10*'D) Ecrêtage'!M99</f>
        <v>185569.54761505467</v>
      </c>
      <c r="G105" s="58">
        <f t="shared" si="1"/>
        <v>233715.54761505467</v>
      </c>
    </row>
    <row r="106" spans="1:7" x14ac:dyDescent="0.25">
      <c r="A106" s="50">
        <f>'A) Base RI'!A102</f>
        <v>5557</v>
      </c>
      <c r="B106" s="301" t="str">
        <f>'A) Base RI'!B102</f>
        <v>Fontaines-sur-Grandson</v>
      </c>
      <c r="C106" s="10">
        <f>'A) Base RI'!AN102</f>
        <v>218</v>
      </c>
      <c r="D106" s="472">
        <f>'C) Prél. conj.'!H100</f>
        <v>21429.674999999999</v>
      </c>
      <c r="E106" s="10">
        <f>'D) Ecrêtage'!L100</f>
        <v>0</v>
      </c>
      <c r="F106" s="472">
        <f>$F$10*'D) Ecrêtage'!M100</f>
        <v>81217.791435957697</v>
      </c>
      <c r="G106" s="58">
        <f t="shared" si="1"/>
        <v>102647.4664359577</v>
      </c>
    </row>
    <row r="107" spans="1:7" x14ac:dyDescent="0.25">
      <c r="A107" s="50">
        <f>'A) Base RI'!A103</f>
        <v>5559</v>
      </c>
      <c r="B107" s="301" t="str">
        <f>'A) Base RI'!B103</f>
        <v>Giez</v>
      </c>
      <c r="C107" s="10">
        <f>'A) Base RI'!AN103</f>
        <v>412</v>
      </c>
      <c r="D107" s="472">
        <f>'C) Prél. conj.'!H101</f>
        <v>116142.875</v>
      </c>
      <c r="E107" s="10">
        <f>'D) Ecrêtage'!L101</f>
        <v>0</v>
      </c>
      <c r="F107" s="472">
        <f>$F$10*'D) Ecrêtage'!M101</f>
        <v>299605.27693441528</v>
      </c>
      <c r="G107" s="58">
        <f t="shared" si="1"/>
        <v>415748.15193441528</v>
      </c>
    </row>
    <row r="108" spans="1:7" x14ac:dyDescent="0.25">
      <c r="A108" s="50">
        <f>'A) Base RI'!A104</f>
        <v>5560</v>
      </c>
      <c r="B108" s="301" t="str">
        <f>'A) Base RI'!B104</f>
        <v>Grandevent</v>
      </c>
      <c r="C108" s="10">
        <f>'A) Base RI'!AN104</f>
        <v>238</v>
      </c>
      <c r="D108" s="472">
        <f>'C) Prél. conj.'!H102</f>
        <v>21676.475000000002</v>
      </c>
      <c r="E108" s="10">
        <f>'D) Ecrêtage'!L102</f>
        <v>0</v>
      </c>
      <c r="F108" s="472">
        <f>$F$10*'D) Ecrêtage'!M102</f>
        <v>109228.2152604054</v>
      </c>
      <c r="G108" s="58">
        <f t="shared" si="1"/>
        <v>130904.6902604054</v>
      </c>
    </row>
    <row r="109" spans="1:7" x14ac:dyDescent="0.25">
      <c r="A109" s="50">
        <f>'A) Base RI'!A105</f>
        <v>5561</v>
      </c>
      <c r="B109" s="301" t="str">
        <f>'A) Base RI'!B105</f>
        <v>Grandson</v>
      </c>
      <c r="C109" s="10">
        <f>'A) Base RI'!AN105</f>
        <v>3360</v>
      </c>
      <c r="D109" s="472">
        <f>'C) Prél. conj.'!H103</f>
        <v>484250.85499999998</v>
      </c>
      <c r="E109" s="10">
        <f>'D) Ecrêtage'!L103</f>
        <v>0</v>
      </c>
      <c r="F109" s="472">
        <f>$F$10*'D) Ecrêtage'!M103</f>
        <v>1818591.5122370122</v>
      </c>
      <c r="G109" s="58">
        <f t="shared" si="1"/>
        <v>2302842.3672370119</v>
      </c>
    </row>
    <row r="110" spans="1:7" x14ac:dyDescent="0.25">
      <c r="A110" s="50">
        <f>'A) Base RI'!A106</f>
        <v>5562</v>
      </c>
      <c r="B110" s="301" t="str">
        <f>'A) Base RI'!B106</f>
        <v>Mauborget</v>
      </c>
      <c r="C110" s="10">
        <f>'A) Base RI'!AN106</f>
        <v>122</v>
      </c>
      <c r="D110" s="472">
        <f>'C) Prél. conj.'!H104</f>
        <v>17095.41</v>
      </c>
      <c r="E110" s="10">
        <f>'D) Ecrêtage'!L104</f>
        <v>0</v>
      </c>
      <c r="F110" s="472">
        <f>$F$10*'D) Ecrêtage'!M104</f>
        <v>77381.110709423578</v>
      </c>
      <c r="G110" s="58">
        <f t="shared" si="1"/>
        <v>94476.520709423581</v>
      </c>
    </row>
    <row r="111" spans="1:7" x14ac:dyDescent="0.25">
      <c r="A111" s="50">
        <f>'A) Base RI'!A107</f>
        <v>5563</v>
      </c>
      <c r="B111" s="301" t="str">
        <f>'A) Base RI'!B107</f>
        <v>Mutrux</v>
      </c>
      <c r="C111" s="10">
        <f>'A) Base RI'!AN107</f>
        <v>158</v>
      </c>
      <c r="D111" s="472">
        <f>'C) Prél. conj.'!H105</f>
        <v>5442.15</v>
      </c>
      <c r="E111" s="10">
        <f>'D) Ecrêtage'!L105</f>
        <v>0</v>
      </c>
      <c r="F111" s="472">
        <f>$F$10*'D) Ecrêtage'!M105</f>
        <v>48649.265504555253</v>
      </c>
      <c r="G111" s="58">
        <f t="shared" si="1"/>
        <v>54091.415504555254</v>
      </c>
    </row>
    <row r="112" spans="1:7" x14ac:dyDescent="0.25">
      <c r="A112" s="50">
        <f>'A) Base RI'!A108</f>
        <v>5564</v>
      </c>
      <c r="B112" s="301" t="str">
        <f>'A) Base RI'!B108</f>
        <v>Novalles</v>
      </c>
      <c r="C112" s="10">
        <f>'A) Base RI'!AN108</f>
        <v>101</v>
      </c>
      <c r="D112" s="472">
        <f>'C) Prél. conj.'!H106</f>
        <v>13693.4</v>
      </c>
      <c r="E112" s="10">
        <f>'D) Ecrêtage'!L106</f>
        <v>0</v>
      </c>
      <c r="F112" s="472">
        <f>$F$10*'D) Ecrêtage'!M106</f>
        <v>42129.813473270595</v>
      </c>
      <c r="G112" s="58">
        <f t="shared" si="1"/>
        <v>55823.213473270596</v>
      </c>
    </row>
    <row r="113" spans="1:7" x14ac:dyDescent="0.25">
      <c r="A113" s="50">
        <f>'A) Base RI'!A109</f>
        <v>5565</v>
      </c>
      <c r="B113" s="301" t="str">
        <f>'A) Base RI'!B109</f>
        <v>Onnens</v>
      </c>
      <c r="C113" s="10">
        <f>'A) Base RI'!AN109</f>
        <v>494</v>
      </c>
      <c r="D113" s="472">
        <f>'C) Prél. conj.'!H107</f>
        <v>41838.369999999995</v>
      </c>
      <c r="E113" s="10">
        <f>'D) Ecrêtage'!L107</f>
        <v>0</v>
      </c>
      <c r="F113" s="472">
        <f>$F$10*'D) Ecrêtage'!M107</f>
        <v>319826.19521130796</v>
      </c>
      <c r="G113" s="58">
        <f t="shared" si="1"/>
        <v>361664.56521130796</v>
      </c>
    </row>
    <row r="114" spans="1:7" x14ac:dyDescent="0.25">
      <c r="A114" s="50">
        <f>'A) Base RI'!A110</f>
        <v>5566</v>
      </c>
      <c r="B114" s="301" t="str">
        <f>'A) Base RI'!B110</f>
        <v>Provence</v>
      </c>
      <c r="C114" s="10">
        <f>'A) Base RI'!AN110</f>
        <v>373</v>
      </c>
      <c r="D114" s="472">
        <f>'C) Prél. conj.'!H108</f>
        <v>45659.714999999997</v>
      </c>
      <c r="E114" s="10">
        <f>'D) Ecrêtage'!L108</f>
        <v>0</v>
      </c>
      <c r="F114" s="472">
        <f>$F$10*'D) Ecrêtage'!M108</f>
        <v>121202.66809871436</v>
      </c>
      <c r="G114" s="58">
        <f t="shared" si="1"/>
        <v>166862.38309871434</v>
      </c>
    </row>
    <row r="115" spans="1:7" x14ac:dyDescent="0.25">
      <c r="A115" s="50">
        <f>'A) Base RI'!A111</f>
        <v>5568</v>
      </c>
      <c r="B115" s="301" t="str">
        <f>'A) Base RI'!B111</f>
        <v>Sainte-Croix</v>
      </c>
      <c r="C115" s="10">
        <f>'A) Base RI'!AN111</f>
        <v>4845</v>
      </c>
      <c r="D115" s="472">
        <f>'C) Prél. conj.'!H109</f>
        <v>805788.8949999999</v>
      </c>
      <c r="E115" s="10">
        <f>'D) Ecrêtage'!L109</f>
        <v>0</v>
      </c>
      <c r="F115" s="472">
        <f>$F$10*'D) Ecrêtage'!M109</f>
        <v>1509150.7390793932</v>
      </c>
      <c r="G115" s="58">
        <f t="shared" si="1"/>
        <v>2314939.634079393</v>
      </c>
    </row>
    <row r="116" spans="1:7" x14ac:dyDescent="0.25">
      <c r="A116" s="50">
        <f>'A) Base RI'!A112</f>
        <v>5571</v>
      </c>
      <c r="B116" s="301" t="str">
        <f>'A) Base RI'!B112</f>
        <v>Tévenon</v>
      </c>
      <c r="C116" s="10">
        <f>'A) Base RI'!AN112</f>
        <v>877</v>
      </c>
      <c r="D116" s="472">
        <f>'C) Prél. conj.'!H110</f>
        <v>84672.08</v>
      </c>
      <c r="E116" s="10">
        <f>'D) Ecrêtage'!L110</f>
        <v>0</v>
      </c>
      <c r="F116" s="472">
        <f>$F$10*'D) Ecrêtage'!M110</f>
        <v>329275.79758212715</v>
      </c>
      <c r="G116" s="58">
        <f t="shared" si="1"/>
        <v>413947.87758212717</v>
      </c>
    </row>
    <row r="117" spans="1:7" x14ac:dyDescent="0.25">
      <c r="A117" s="50">
        <f>'A) Base RI'!A113</f>
        <v>5581</v>
      </c>
      <c r="B117" s="301" t="str">
        <f>'A) Base RI'!B113</f>
        <v>Belmont-sur-Lausanne</v>
      </c>
      <c r="C117" s="10">
        <f>'A) Base RI'!AN113</f>
        <v>3732</v>
      </c>
      <c r="D117" s="472">
        <f>'C) Prél. conj.'!H111</f>
        <v>652184.71</v>
      </c>
      <c r="E117" s="10">
        <f>'D) Ecrêtage'!L111</f>
        <v>0</v>
      </c>
      <c r="F117" s="472">
        <f>$F$10*'D) Ecrêtage'!M111</f>
        <v>2750217.8728547455</v>
      </c>
      <c r="G117" s="58">
        <f t="shared" si="1"/>
        <v>3402402.5828547454</v>
      </c>
    </row>
    <row r="118" spans="1:7" x14ac:dyDescent="0.25">
      <c r="A118" s="50">
        <f>'A) Base RI'!A114</f>
        <v>5582</v>
      </c>
      <c r="B118" s="301" t="str">
        <f>'A) Base RI'!B114</f>
        <v>Cheseaux-sur-Lausanne</v>
      </c>
      <c r="C118" s="10">
        <f>'A) Base RI'!AN114</f>
        <v>4338</v>
      </c>
      <c r="D118" s="472">
        <f>'C) Prél. conj.'!H112</f>
        <v>407773.42000000004</v>
      </c>
      <c r="E118" s="10">
        <f>'D) Ecrêtage'!L112</f>
        <v>0</v>
      </c>
      <c r="F118" s="472">
        <f>$F$10*'D) Ecrêtage'!M112</f>
        <v>2602212.5647901511</v>
      </c>
      <c r="G118" s="58">
        <f t="shared" si="1"/>
        <v>3009985.984790151</v>
      </c>
    </row>
    <row r="119" spans="1:7" x14ac:dyDescent="0.25">
      <c r="A119" s="50">
        <f>'A) Base RI'!A115</f>
        <v>5583</v>
      </c>
      <c r="B119" s="301" t="str">
        <f>'A) Base RI'!B115</f>
        <v>Crissier</v>
      </c>
      <c r="C119" s="10">
        <f>'A) Base RI'!AN115</f>
        <v>7905</v>
      </c>
      <c r="D119" s="472">
        <f>'C) Prél. conj.'!H113</f>
        <v>2121416.98</v>
      </c>
      <c r="E119" s="10">
        <f>'D) Ecrêtage'!L113</f>
        <v>0</v>
      </c>
      <c r="F119" s="472">
        <f>$F$10*'D) Ecrêtage'!M113</f>
        <v>5019380.8933274532</v>
      </c>
      <c r="G119" s="58">
        <f t="shared" si="1"/>
        <v>7140797.8733274527</v>
      </c>
    </row>
    <row r="120" spans="1:7" x14ac:dyDescent="0.25">
      <c r="A120" s="50">
        <f>'A) Base RI'!A116</f>
        <v>5584</v>
      </c>
      <c r="B120" s="301" t="str">
        <f>'A) Base RI'!B116</f>
        <v>Epalinges</v>
      </c>
      <c r="C120" s="10">
        <f>'A) Base RI'!AN116</f>
        <v>9624</v>
      </c>
      <c r="D120" s="472">
        <f>'C) Prél. conj.'!H114</f>
        <v>3830077.5449999995</v>
      </c>
      <c r="E120" s="10">
        <f>'D) Ecrêtage'!L114</f>
        <v>0</v>
      </c>
      <c r="F120" s="472">
        <f>$F$10*'D) Ecrêtage'!M114</f>
        <v>6856646.0955355112</v>
      </c>
      <c r="G120" s="58">
        <f t="shared" si="1"/>
        <v>10686723.640535511</v>
      </c>
    </row>
    <row r="121" spans="1:7" x14ac:dyDescent="0.25">
      <c r="A121" s="50">
        <f>'A) Base RI'!A117</f>
        <v>5585</v>
      </c>
      <c r="B121" s="301" t="str">
        <f>'A) Base RI'!B117</f>
        <v>Jouxtens-Mézery</v>
      </c>
      <c r="C121" s="10">
        <f>'A) Base RI'!AN117</f>
        <v>1471</v>
      </c>
      <c r="D121" s="472">
        <f>'C) Prél. conj.'!H115</f>
        <v>243152.37</v>
      </c>
      <c r="E121" s="10">
        <f>'D) Ecrêtage'!L115</f>
        <v>3876848.0555552617</v>
      </c>
      <c r="F121" s="472">
        <f>$F$10*'D) Ecrêtage'!M115</f>
        <v>2718771.5998743149</v>
      </c>
      <c r="G121" s="58">
        <f t="shared" si="1"/>
        <v>6838772.0254295766</v>
      </c>
    </row>
    <row r="122" spans="1:7" x14ac:dyDescent="0.25">
      <c r="A122" s="50">
        <f>'A) Base RI'!A118</f>
        <v>5586</v>
      </c>
      <c r="B122" s="301" t="str">
        <f>'A) Base RI'!B118</f>
        <v>Lausanne</v>
      </c>
      <c r="C122" s="10">
        <f>'A) Base RI'!AN118</f>
        <v>139720</v>
      </c>
      <c r="D122" s="472">
        <f>'C) Prél. conj.'!H116</f>
        <v>22714089.934999999</v>
      </c>
      <c r="E122" s="10">
        <f>'D) Ecrêtage'!L116</f>
        <v>0</v>
      </c>
      <c r="F122" s="472">
        <f>$F$10*'D) Ecrêtage'!M116</f>
        <v>87765629.646252096</v>
      </c>
      <c r="G122" s="58">
        <f t="shared" si="1"/>
        <v>110479719.5812521</v>
      </c>
    </row>
    <row r="123" spans="1:7" x14ac:dyDescent="0.25">
      <c r="A123" s="50">
        <f>'A) Base RI'!A119</f>
        <v>5587</v>
      </c>
      <c r="B123" s="301" t="str">
        <f>'A) Base RI'!B119</f>
        <v>Le Mont-sur-Lausanne</v>
      </c>
      <c r="C123" s="10">
        <f>'A) Base RI'!AN119</f>
        <v>8516</v>
      </c>
      <c r="D123" s="472">
        <f>'C) Prél. conj.'!H117</f>
        <v>991081.23499999999</v>
      </c>
      <c r="E123" s="10">
        <f>'D) Ecrêtage'!L117</f>
        <v>0</v>
      </c>
      <c r="F123" s="472">
        <f>$F$10*'D) Ecrêtage'!M117</f>
        <v>6244395.8973313421</v>
      </c>
      <c r="G123" s="58">
        <f t="shared" si="1"/>
        <v>7235477.1323313424</v>
      </c>
    </row>
    <row r="124" spans="1:7" x14ac:dyDescent="0.25">
      <c r="A124" s="50">
        <f>'A) Base RI'!A120</f>
        <v>5588</v>
      </c>
      <c r="B124" s="301" t="str">
        <f>'A) Base RI'!B120</f>
        <v>Paudex</v>
      </c>
      <c r="C124" s="10">
        <f>'A) Base RI'!AN120</f>
        <v>1507</v>
      </c>
      <c r="D124" s="472">
        <f>'C) Prél. conj.'!H118</f>
        <v>239380.52000000002</v>
      </c>
      <c r="E124" s="10">
        <f>'D) Ecrêtage'!L118</f>
        <v>992952.42826001963</v>
      </c>
      <c r="F124" s="472">
        <f>$F$10*'D) Ecrêtage'!M118</f>
        <v>1686011.8852507256</v>
      </c>
      <c r="G124" s="58">
        <f t="shared" si="1"/>
        <v>2918344.8335107453</v>
      </c>
    </row>
    <row r="125" spans="1:7" x14ac:dyDescent="0.25">
      <c r="A125" s="50">
        <f>'A) Base RI'!A121</f>
        <v>5589</v>
      </c>
      <c r="B125" s="301" t="str">
        <f>'A) Base RI'!B121</f>
        <v>Prilly</v>
      </c>
      <c r="C125" s="10">
        <f>'A) Base RI'!AN121</f>
        <v>12392</v>
      </c>
      <c r="D125" s="472">
        <f>'C) Prél. conj.'!H119</f>
        <v>1239142.0750000002</v>
      </c>
      <c r="E125" s="10">
        <f>'D) Ecrêtage'!L119</f>
        <v>0</v>
      </c>
      <c r="F125" s="472">
        <f>$F$10*'D) Ecrêtage'!M119</f>
        <v>6233330.9299135013</v>
      </c>
      <c r="G125" s="58">
        <f t="shared" si="1"/>
        <v>7472473.0049135014</v>
      </c>
    </row>
    <row r="126" spans="1:7" x14ac:dyDescent="0.25">
      <c r="A126" s="50">
        <f>'A) Base RI'!A122</f>
        <v>5590</v>
      </c>
      <c r="B126" s="301" t="str">
        <f>'A) Base RI'!B122</f>
        <v>Pully</v>
      </c>
      <c r="C126" s="10">
        <f>'A) Base RI'!AN122</f>
        <v>18336</v>
      </c>
      <c r="D126" s="472">
        <f>'C) Prél. conj.'!H120</f>
        <v>6948543.0499999989</v>
      </c>
      <c r="E126" s="10">
        <f>'D) Ecrêtage'!L120</f>
        <v>9304353.0069483276</v>
      </c>
      <c r="F126" s="472">
        <f>$F$10*'D) Ecrêtage'!M120</f>
        <v>19438515.139651064</v>
      </c>
      <c r="G126" s="58">
        <f t="shared" si="1"/>
        <v>35691411.196599394</v>
      </c>
    </row>
    <row r="127" spans="1:7" x14ac:dyDescent="0.25">
      <c r="A127" s="50">
        <f>'A) Base RI'!A123</f>
        <v>5591</v>
      </c>
      <c r="B127" s="301" t="str">
        <f>'A) Base RI'!B123</f>
        <v>Renens</v>
      </c>
      <c r="C127" s="10">
        <f>'A) Base RI'!AN123</f>
        <v>20968</v>
      </c>
      <c r="D127" s="472">
        <f>'C) Prél. conj.'!H121</f>
        <v>2987999.5249999999</v>
      </c>
      <c r="E127" s="10">
        <f>'D) Ecrêtage'!L121</f>
        <v>0</v>
      </c>
      <c r="F127" s="472">
        <f>$F$10*'D) Ecrêtage'!M121</f>
        <v>8490932.87915002</v>
      </c>
      <c r="G127" s="58">
        <f t="shared" si="1"/>
        <v>11478932.40415002</v>
      </c>
    </row>
    <row r="128" spans="1:7" x14ac:dyDescent="0.25">
      <c r="A128" s="50">
        <f>'A) Base RI'!A124</f>
        <v>5592</v>
      </c>
      <c r="B128" s="301" t="str">
        <f>'A) Base RI'!B124</f>
        <v>Romanel-sur-Lausanne</v>
      </c>
      <c r="C128" s="10">
        <f>'A) Base RI'!AN124</f>
        <v>3311</v>
      </c>
      <c r="D128" s="472">
        <f>'C) Prél. conj.'!H122</f>
        <v>255116.01</v>
      </c>
      <c r="E128" s="10">
        <f>'D) Ecrêtage'!L122</f>
        <v>0</v>
      </c>
      <c r="F128" s="472">
        <f>$F$10*'D) Ecrêtage'!M122</f>
        <v>1666835.6349832679</v>
      </c>
      <c r="G128" s="58">
        <f t="shared" si="1"/>
        <v>1921951.6449832679</v>
      </c>
    </row>
    <row r="129" spans="1:7" x14ac:dyDescent="0.25">
      <c r="A129" s="50">
        <f>'A) Base RI'!A125</f>
        <v>5601</v>
      </c>
      <c r="B129" s="301" t="str">
        <f>'A) Base RI'!B125</f>
        <v>Chexbres</v>
      </c>
      <c r="C129" s="10">
        <f>'A) Base RI'!AN125</f>
        <v>2238</v>
      </c>
      <c r="D129" s="472">
        <f>'C) Prél. conj.'!H123</f>
        <v>367288.13</v>
      </c>
      <c r="E129" s="10">
        <f>'D) Ecrêtage'!L123</f>
        <v>0</v>
      </c>
      <c r="F129" s="472">
        <f>$F$10*'D) Ecrêtage'!M123</f>
        <v>1504577.8561869257</v>
      </c>
      <c r="G129" s="58">
        <f t="shared" si="1"/>
        <v>1871865.9861869258</v>
      </c>
    </row>
    <row r="130" spans="1:7" x14ac:dyDescent="0.25">
      <c r="A130" s="50">
        <f>'A) Base RI'!A126</f>
        <v>5604</v>
      </c>
      <c r="B130" s="301" t="str">
        <f>'A) Base RI'!B126</f>
        <v>Forel (Lavaux)</v>
      </c>
      <c r="C130" s="10">
        <f>'A) Base RI'!AN126</f>
        <v>2082</v>
      </c>
      <c r="D130" s="472">
        <f>'C) Prél. conj.'!H124</f>
        <v>199821.845</v>
      </c>
      <c r="E130" s="10">
        <f>'D) Ecrêtage'!L124</f>
        <v>0</v>
      </c>
      <c r="F130" s="472">
        <f>$F$10*'D) Ecrêtage'!M124</f>
        <v>1118047.7111890845</v>
      </c>
      <c r="G130" s="58">
        <f t="shared" si="1"/>
        <v>1317869.5561890844</v>
      </c>
    </row>
    <row r="131" spans="1:7" x14ac:dyDescent="0.25">
      <c r="A131" s="50">
        <f>'A) Base RI'!A127</f>
        <v>5606</v>
      </c>
      <c r="B131" s="301" t="str">
        <f>'A) Base RI'!B127</f>
        <v>Lutry</v>
      </c>
      <c r="C131" s="10">
        <f>'A) Base RI'!AN127</f>
        <v>10285</v>
      </c>
      <c r="D131" s="472">
        <f>'C) Prél. conj.'!H125</f>
        <v>3782732.3050000002</v>
      </c>
      <c r="E131" s="10">
        <f>'D) Ecrêtage'!L125</f>
        <v>5917434.5838251384</v>
      </c>
      <c r="F131" s="472">
        <f>$F$10*'D) Ecrêtage'!M125</f>
        <v>11419287.202211104</v>
      </c>
      <c r="G131" s="58">
        <f t="shared" si="1"/>
        <v>21119454.091036242</v>
      </c>
    </row>
    <row r="132" spans="1:7" x14ac:dyDescent="0.25">
      <c r="A132" s="50">
        <f>'A) Base RI'!A128</f>
        <v>5607</v>
      </c>
      <c r="B132" s="301" t="str">
        <f>'A) Base RI'!B128</f>
        <v>Puidoux</v>
      </c>
      <c r="C132" s="10">
        <f>'A) Base RI'!AN128</f>
        <v>2880</v>
      </c>
      <c r="D132" s="472">
        <f>'C) Prél. conj.'!H126</f>
        <v>424932.98</v>
      </c>
      <c r="E132" s="10">
        <f>'D) Ecrêtage'!L126</f>
        <v>0</v>
      </c>
      <c r="F132" s="472">
        <f>$F$10*'D) Ecrêtage'!M126</f>
        <v>1635041.6347459976</v>
      </c>
      <c r="G132" s="58">
        <f t="shared" si="1"/>
        <v>2059974.6147459976</v>
      </c>
    </row>
    <row r="133" spans="1:7" x14ac:dyDescent="0.25">
      <c r="A133" s="50">
        <f>'A) Base RI'!A129</f>
        <v>5609</v>
      </c>
      <c r="B133" s="301" t="str">
        <f>'A) Base RI'!B129</f>
        <v>Rivaz</v>
      </c>
      <c r="C133" s="10">
        <f>'A) Base RI'!AN129</f>
        <v>358</v>
      </c>
      <c r="D133" s="472">
        <f>'C) Prél. conj.'!H127</f>
        <v>9790</v>
      </c>
      <c r="E133" s="10">
        <f>'D) Ecrêtage'!L127</f>
        <v>0</v>
      </c>
      <c r="F133" s="472">
        <f>$F$10*'D) Ecrêtage'!M127</f>
        <v>197796.41618621236</v>
      </c>
      <c r="G133" s="58">
        <f t="shared" si="1"/>
        <v>207586.41618621236</v>
      </c>
    </row>
    <row r="134" spans="1:7" x14ac:dyDescent="0.25">
      <c r="A134" s="50">
        <f>'A) Base RI'!A130</f>
        <v>5610</v>
      </c>
      <c r="B134" s="301" t="str">
        <f>'A) Base RI'!B130</f>
        <v>St-Saphorin (Lavaux)</v>
      </c>
      <c r="C134" s="10">
        <f>'A) Base RI'!AN130</f>
        <v>391</v>
      </c>
      <c r="D134" s="472">
        <f>'C) Prél. conj.'!H128</f>
        <v>18961.325000000001</v>
      </c>
      <c r="E134" s="10">
        <f>'D) Ecrêtage'!L128</f>
        <v>0</v>
      </c>
      <c r="F134" s="472">
        <f>$F$10*'D) Ecrêtage'!M128</f>
        <v>314481.75340950588</v>
      </c>
      <c r="G134" s="58">
        <f t="shared" si="1"/>
        <v>333443.07840950589</v>
      </c>
    </row>
    <row r="135" spans="1:7" x14ac:dyDescent="0.25">
      <c r="A135" s="50">
        <f>'A) Base RI'!A131</f>
        <v>5611</v>
      </c>
      <c r="B135" s="301" t="str">
        <f>'A) Base RI'!B131</f>
        <v>Savigny</v>
      </c>
      <c r="C135" s="10">
        <f>'A) Base RI'!AN131</f>
        <v>3353</v>
      </c>
      <c r="D135" s="472">
        <f>'C) Prél. conj.'!H129</f>
        <v>841313</v>
      </c>
      <c r="E135" s="10">
        <f>'D) Ecrêtage'!L129</f>
        <v>0</v>
      </c>
      <c r="F135" s="472">
        <f>$F$10*'D) Ecrêtage'!M129</f>
        <v>2015396.6186237584</v>
      </c>
      <c r="G135" s="58">
        <f t="shared" si="1"/>
        <v>2856709.6186237587</v>
      </c>
    </row>
    <row r="136" spans="1:7" x14ac:dyDescent="0.25">
      <c r="A136" s="50">
        <f>'A) Base RI'!A132</f>
        <v>5613</v>
      </c>
      <c r="B136" s="301" t="str">
        <f>'A) Base RI'!B132</f>
        <v>Bourg-en-Lavaux</v>
      </c>
      <c r="C136" s="10">
        <f>'A) Base RI'!AN132</f>
        <v>5367</v>
      </c>
      <c r="D136" s="472">
        <f>'C) Prél. conj.'!H130</f>
        <v>1091083.1399999999</v>
      </c>
      <c r="E136" s="10">
        <f>'D) Ecrêtage'!L130</f>
        <v>0</v>
      </c>
      <c r="F136" s="472">
        <f>$F$10*'D) Ecrêtage'!M130</f>
        <v>4301417.7144032009</v>
      </c>
      <c r="G136" s="58">
        <f t="shared" si="1"/>
        <v>5392500.8544032006</v>
      </c>
    </row>
    <row r="137" spans="1:7" x14ac:dyDescent="0.25">
      <c r="A137" s="50">
        <f>'A) Base RI'!A133</f>
        <v>5621</v>
      </c>
      <c r="B137" s="301" t="str">
        <f>'A) Base RI'!B133</f>
        <v>Aclens</v>
      </c>
      <c r="C137" s="10">
        <f>'A) Base RI'!AN133</f>
        <v>535</v>
      </c>
      <c r="D137" s="472">
        <f>'C) Prél. conj.'!H131</f>
        <v>250551.22999999998</v>
      </c>
      <c r="E137" s="10">
        <f>'D) Ecrêtage'!L131</f>
        <v>236140.55228973654</v>
      </c>
      <c r="F137" s="472">
        <f>$F$10*'D) Ecrêtage'!M131</f>
        <v>551451.55734841072</v>
      </c>
      <c r="G137" s="58">
        <f t="shared" si="1"/>
        <v>1038143.3396381473</v>
      </c>
    </row>
    <row r="138" spans="1:7" x14ac:dyDescent="0.25">
      <c r="A138" s="50">
        <f>'A) Base RI'!A134</f>
        <v>5622</v>
      </c>
      <c r="B138" s="301" t="str">
        <f>'A) Base RI'!B134</f>
        <v>Bremblens</v>
      </c>
      <c r="C138" s="10">
        <f>'A) Base RI'!AN134</f>
        <v>548</v>
      </c>
      <c r="D138" s="472">
        <f>'C) Prél. conj.'!H132</f>
        <v>132590.09</v>
      </c>
      <c r="E138" s="10">
        <f>'D) Ecrêtage'!L132</f>
        <v>0</v>
      </c>
      <c r="F138" s="472">
        <f>$F$10*'D) Ecrêtage'!M132</f>
        <v>370902.3360258218</v>
      </c>
      <c r="G138" s="58">
        <f t="shared" si="1"/>
        <v>503492.42602582183</v>
      </c>
    </row>
    <row r="139" spans="1:7" x14ac:dyDescent="0.25">
      <c r="A139" s="50">
        <f>'A) Base RI'!A135</f>
        <v>5623</v>
      </c>
      <c r="B139" s="301" t="str">
        <f>'A) Base RI'!B135</f>
        <v>Buchillon</v>
      </c>
      <c r="C139" s="10">
        <f>'A) Base RI'!AN135</f>
        <v>650</v>
      </c>
      <c r="D139" s="472">
        <f>'C) Prél. conj.'!H133</f>
        <v>135899.38499999998</v>
      </c>
      <c r="E139" s="10">
        <f>'D) Ecrêtage'!L133</f>
        <v>2415045.4634151733</v>
      </c>
      <c r="F139" s="472">
        <f>$F$10*'D) Ecrêtage'!M133</f>
        <v>1398078.2075522279</v>
      </c>
      <c r="G139" s="58">
        <f t="shared" si="1"/>
        <v>3949023.0559674012</v>
      </c>
    </row>
    <row r="140" spans="1:7" x14ac:dyDescent="0.25">
      <c r="A140" s="50">
        <f>'A) Base RI'!A136</f>
        <v>5624</v>
      </c>
      <c r="B140" s="301" t="str">
        <f>'A) Base RI'!B136</f>
        <v>Bussigny</v>
      </c>
      <c r="C140" s="10">
        <f>'A) Base RI'!AN136</f>
        <v>8759</v>
      </c>
      <c r="D140" s="472">
        <f>'C) Prél. conj.'!H134</f>
        <v>1637422.155</v>
      </c>
      <c r="E140" s="10">
        <f>'D) Ecrêtage'!L134</f>
        <v>0</v>
      </c>
      <c r="F140" s="472">
        <f>$F$10*'D) Ecrêtage'!M134</f>
        <v>5615182.9562402209</v>
      </c>
      <c r="G140" s="58">
        <f t="shared" ref="G140:G203" si="2">D140+F140+E140</f>
        <v>7252605.1112402212</v>
      </c>
    </row>
    <row r="141" spans="1:7" x14ac:dyDescent="0.25">
      <c r="A141" s="50">
        <f>'A) Base RI'!A137</f>
        <v>5625</v>
      </c>
      <c r="B141" s="301" t="str">
        <f>'A) Base RI'!B137</f>
        <v>Bussy-Chardonney</v>
      </c>
      <c r="C141" s="10">
        <f>'A) Base RI'!AN137</f>
        <v>376</v>
      </c>
      <c r="D141" s="472">
        <f>'C) Prél. conj.'!H135</f>
        <v>65815.425000000003</v>
      </c>
      <c r="E141" s="10">
        <f>'D) Ecrêtage'!L135</f>
        <v>0</v>
      </c>
      <c r="F141" s="472">
        <f>$F$10*'D) Ecrêtage'!M135</f>
        <v>197758.99111392425</v>
      </c>
      <c r="G141" s="58">
        <f t="shared" si="2"/>
        <v>263574.41611392424</v>
      </c>
    </row>
    <row r="142" spans="1:7" x14ac:dyDescent="0.25">
      <c r="A142" s="50">
        <f>'A) Base RI'!A138</f>
        <v>5627</v>
      </c>
      <c r="B142" s="301" t="str">
        <f>'A) Base RI'!B138</f>
        <v>Chavannes-près-Renens</v>
      </c>
      <c r="C142" s="10">
        <f>'A) Base RI'!AN138</f>
        <v>7741</v>
      </c>
      <c r="D142" s="472">
        <f>'C) Prél. conj.'!H136</f>
        <v>645227.77500000002</v>
      </c>
      <c r="E142" s="10">
        <f>'D) Ecrêtage'!L136</f>
        <v>0</v>
      </c>
      <c r="F142" s="472">
        <f>$F$10*'D) Ecrêtage'!M136</f>
        <v>2665147.8923193789</v>
      </c>
      <c r="G142" s="58">
        <f t="shared" si="2"/>
        <v>3310375.6673193788</v>
      </c>
    </row>
    <row r="143" spans="1:7" x14ac:dyDescent="0.25">
      <c r="A143" s="50">
        <f>'A) Base RI'!A139</f>
        <v>5628</v>
      </c>
      <c r="B143" s="301" t="str">
        <f>'A) Base RI'!B139</f>
        <v>Chigny</v>
      </c>
      <c r="C143" s="10">
        <f>'A) Base RI'!AN139</f>
        <v>358</v>
      </c>
      <c r="D143" s="472">
        <f>'C) Prél. conj.'!H137</f>
        <v>83441.64</v>
      </c>
      <c r="E143" s="10">
        <f>'D) Ecrêtage'!L137</f>
        <v>176386.88292947854</v>
      </c>
      <c r="F143" s="472">
        <f>$F$10*'D) Ecrêtage'!M137</f>
        <v>376265.73241458362</v>
      </c>
      <c r="G143" s="58">
        <f t="shared" si="2"/>
        <v>636094.25534406211</v>
      </c>
    </row>
    <row r="144" spans="1:7" x14ac:dyDescent="0.25">
      <c r="A144" s="50">
        <f>'A) Base RI'!A140</f>
        <v>5629</v>
      </c>
      <c r="B144" s="301" t="str">
        <f>'A) Base RI'!B140</f>
        <v>Clarmont</v>
      </c>
      <c r="C144" s="10">
        <f>'A) Base RI'!AN140</f>
        <v>190</v>
      </c>
      <c r="D144" s="472">
        <f>'C) Prél. conj.'!H138</f>
        <v>29981.95</v>
      </c>
      <c r="E144" s="10">
        <f>'D) Ecrêtage'!L138</f>
        <v>0</v>
      </c>
      <c r="F144" s="472">
        <f>$F$10*'D) Ecrêtage'!M138</f>
        <v>101833.75658534818</v>
      </c>
      <c r="G144" s="58">
        <f t="shared" si="2"/>
        <v>131815.70658534818</v>
      </c>
    </row>
    <row r="145" spans="1:7" x14ac:dyDescent="0.25">
      <c r="A145" s="50">
        <f>'A) Base RI'!A141</f>
        <v>5631</v>
      </c>
      <c r="B145" s="301" t="str">
        <f>'A) Base RI'!B141</f>
        <v>Denens</v>
      </c>
      <c r="C145" s="10">
        <f>'A) Base RI'!AN141</f>
        <v>747</v>
      </c>
      <c r="D145" s="472">
        <f>'C) Prél. conj.'!H139</f>
        <v>110179.2</v>
      </c>
      <c r="E145" s="10">
        <f>'D) Ecrêtage'!L139</f>
        <v>61460.721803363682</v>
      </c>
      <c r="F145" s="472">
        <f>$F$10*'D) Ecrêtage'!M139</f>
        <v>636012.64832365699</v>
      </c>
      <c r="G145" s="58">
        <f t="shared" si="2"/>
        <v>807652.57012702059</v>
      </c>
    </row>
    <row r="146" spans="1:7" x14ac:dyDescent="0.25">
      <c r="A146" s="50">
        <f>'A) Base RI'!A142</f>
        <v>5632</v>
      </c>
      <c r="B146" s="301" t="str">
        <f>'A) Base RI'!B142</f>
        <v>Denges</v>
      </c>
      <c r="C146" s="10">
        <f>'A) Base RI'!AN142</f>
        <v>1610</v>
      </c>
      <c r="D146" s="472">
        <f>'C) Prél. conj.'!H140</f>
        <v>256558.99</v>
      </c>
      <c r="E146" s="10">
        <f>'D) Ecrêtage'!L140</f>
        <v>0</v>
      </c>
      <c r="F146" s="472">
        <f>$F$10*'D) Ecrêtage'!M140</f>
        <v>1009694.6155255151</v>
      </c>
      <c r="G146" s="58">
        <f t="shared" si="2"/>
        <v>1266253.605525515</v>
      </c>
    </row>
    <row r="147" spans="1:7" x14ac:dyDescent="0.25">
      <c r="A147" s="50">
        <f>'A) Base RI'!A143</f>
        <v>5633</v>
      </c>
      <c r="B147" s="301" t="str">
        <f>'A) Base RI'!B143</f>
        <v>Echandens</v>
      </c>
      <c r="C147" s="10">
        <f>'A) Base RI'!AN143</f>
        <v>2789</v>
      </c>
      <c r="D147" s="472">
        <f>'C) Prél. conj.'!H141</f>
        <v>200288.55499999999</v>
      </c>
      <c r="E147" s="10">
        <f>'D) Ecrêtage'!L141</f>
        <v>0</v>
      </c>
      <c r="F147" s="472">
        <f>$F$10*'D) Ecrêtage'!M141</f>
        <v>2033411.0551071975</v>
      </c>
      <c r="G147" s="58">
        <f t="shared" si="2"/>
        <v>2233699.6101071974</v>
      </c>
    </row>
    <row r="148" spans="1:7" x14ac:dyDescent="0.25">
      <c r="A148" s="50">
        <f>'A) Base RI'!A144</f>
        <v>5634</v>
      </c>
      <c r="B148" s="301" t="str">
        <f>'A) Base RI'!B144</f>
        <v>Echichens</v>
      </c>
      <c r="C148" s="10">
        <f>'A) Base RI'!AN144</f>
        <v>3050</v>
      </c>
      <c r="D148" s="472">
        <f>'C) Prél. conj.'!H142</f>
        <v>500380.78</v>
      </c>
      <c r="E148" s="10">
        <f>'D) Ecrêtage'!L142</f>
        <v>98060.170270064846</v>
      </c>
      <c r="F148" s="472">
        <f>$F$10*'D) Ecrêtage'!M142</f>
        <v>2525425.2393012079</v>
      </c>
      <c r="G148" s="58">
        <f t="shared" si="2"/>
        <v>3123866.1895712726</v>
      </c>
    </row>
    <row r="149" spans="1:7" x14ac:dyDescent="0.25">
      <c r="A149" s="50">
        <f>'A) Base RI'!A145</f>
        <v>5635</v>
      </c>
      <c r="B149" s="301" t="str">
        <f>'A) Base RI'!B145</f>
        <v>Ecublens</v>
      </c>
      <c r="C149" s="10">
        <f>'A) Base RI'!AN145</f>
        <v>12939</v>
      </c>
      <c r="D149" s="472">
        <f>'C) Prél. conj.'!H143</f>
        <v>1373915.77</v>
      </c>
      <c r="E149" s="10">
        <f>'D) Ecrêtage'!L143</f>
        <v>0</v>
      </c>
      <c r="F149" s="472">
        <f>$F$10*'D) Ecrêtage'!M143</f>
        <v>6395342.9931792067</v>
      </c>
      <c r="G149" s="58">
        <f t="shared" si="2"/>
        <v>7769258.7631792072</v>
      </c>
    </row>
    <row r="150" spans="1:7" x14ac:dyDescent="0.25">
      <c r="A150" s="50">
        <f>'A) Base RI'!A146</f>
        <v>5636</v>
      </c>
      <c r="B150" s="301" t="str">
        <f>'A) Base RI'!B146</f>
        <v>Etoy</v>
      </c>
      <c r="C150" s="10">
        <f>'A) Base RI'!AN146</f>
        <v>2905</v>
      </c>
      <c r="D150" s="472">
        <f>'C) Prél. conj.'!H144</f>
        <v>1051991.6349999998</v>
      </c>
      <c r="E150" s="10">
        <f>'D) Ecrêtage'!L144</f>
        <v>584127.75342251011</v>
      </c>
      <c r="F150" s="472">
        <f>$F$10*'D) Ecrêtage'!M144</f>
        <v>2678719.0186143718</v>
      </c>
      <c r="G150" s="58">
        <f t="shared" si="2"/>
        <v>4314838.4070368819</v>
      </c>
    </row>
    <row r="151" spans="1:7" x14ac:dyDescent="0.25">
      <c r="A151" s="50">
        <f>'A) Base RI'!A147</f>
        <v>5637</v>
      </c>
      <c r="B151" s="301" t="str">
        <f>'A) Base RI'!B147</f>
        <v>Lavigny</v>
      </c>
      <c r="C151" s="10">
        <f>'A) Base RI'!AN147</f>
        <v>999</v>
      </c>
      <c r="D151" s="472">
        <f>'C) Prél. conj.'!H145</f>
        <v>136094.86000000002</v>
      </c>
      <c r="E151" s="10">
        <f>'D) Ecrêtage'!L145</f>
        <v>0</v>
      </c>
      <c r="F151" s="472">
        <f>$F$10*'D) Ecrêtage'!M145</f>
        <v>524627.38616325671</v>
      </c>
      <c r="G151" s="58">
        <f t="shared" si="2"/>
        <v>660722.2461632567</v>
      </c>
    </row>
    <row r="152" spans="1:7" x14ac:dyDescent="0.25">
      <c r="A152" s="50">
        <f>'A) Base RI'!A148</f>
        <v>5638</v>
      </c>
      <c r="B152" s="301" t="str">
        <f>'A) Base RI'!B148</f>
        <v>Lonay</v>
      </c>
      <c r="C152" s="10">
        <f>'A) Base RI'!AN148</f>
        <v>2593</v>
      </c>
      <c r="D152" s="472">
        <f>'C) Prél. conj.'!H146</f>
        <v>1245506.5650000002</v>
      </c>
      <c r="E152" s="10">
        <f>'D) Ecrêtage'!L146</f>
        <v>479717.66305665916</v>
      </c>
      <c r="F152" s="472">
        <f>$F$10*'D) Ecrêtage'!M146</f>
        <v>2396845.024238701</v>
      </c>
      <c r="G152" s="58">
        <f t="shared" si="2"/>
        <v>4122069.2522953604</v>
      </c>
    </row>
    <row r="153" spans="1:7" x14ac:dyDescent="0.25">
      <c r="A153" s="50">
        <f>'A) Base RI'!A149</f>
        <v>5639</v>
      </c>
      <c r="B153" s="301" t="str">
        <f>'A) Base RI'!B149</f>
        <v>Lully</v>
      </c>
      <c r="C153" s="10">
        <f>'A) Base RI'!AN149</f>
        <v>790</v>
      </c>
      <c r="D153" s="472">
        <f>'C) Prél. conj.'!H147</f>
        <v>103231.38</v>
      </c>
      <c r="E153" s="10">
        <f>'D) Ecrêtage'!L147</f>
        <v>63773.833655691407</v>
      </c>
      <c r="F153" s="472">
        <f>$F$10*'D) Ecrêtage'!M147</f>
        <v>676520.37006044446</v>
      </c>
      <c r="G153" s="58">
        <f t="shared" si="2"/>
        <v>843525.58371613582</v>
      </c>
    </row>
    <row r="154" spans="1:7" x14ac:dyDescent="0.25">
      <c r="A154" s="50">
        <f>'A) Base RI'!A150</f>
        <v>5640</v>
      </c>
      <c r="B154" s="301" t="str">
        <f>'A) Base RI'!B150</f>
        <v>Lussy-sur-Morges</v>
      </c>
      <c r="C154" s="10">
        <f>'A) Base RI'!AN150</f>
        <v>687</v>
      </c>
      <c r="D154" s="472">
        <f>'C) Prél. conj.'!H148</f>
        <v>168191.96</v>
      </c>
      <c r="E154" s="10">
        <f>'D) Ecrêtage'!L148</f>
        <v>389109.51711616584</v>
      </c>
      <c r="F154" s="472">
        <f>$F$10*'D) Ecrêtage'!M148</f>
        <v>732733.81562039384</v>
      </c>
      <c r="G154" s="58">
        <f t="shared" si="2"/>
        <v>1290035.2927365596</v>
      </c>
    </row>
    <row r="155" spans="1:7" x14ac:dyDescent="0.25">
      <c r="A155" s="50">
        <f>'A) Base RI'!A151</f>
        <v>5642</v>
      </c>
      <c r="B155" s="301" t="str">
        <f>'A) Base RI'!B151</f>
        <v>Morges</v>
      </c>
      <c r="C155" s="10">
        <f>'A) Base RI'!AN151</f>
        <v>15725</v>
      </c>
      <c r="D155" s="472">
        <f>'C) Prél. conj.'!H149</f>
        <v>3706211.1199999996</v>
      </c>
      <c r="E155" s="10">
        <f>'D) Ecrêtage'!L149</f>
        <v>0</v>
      </c>
      <c r="F155" s="472">
        <f>$F$10*'D) Ecrêtage'!M149</f>
        <v>11108256.743221818</v>
      </c>
      <c r="G155" s="58">
        <f t="shared" si="2"/>
        <v>14814467.863221817</v>
      </c>
    </row>
    <row r="156" spans="1:7" x14ac:dyDescent="0.25">
      <c r="A156" s="50">
        <f>'A) Base RI'!A152</f>
        <v>5643</v>
      </c>
      <c r="B156" s="301" t="str">
        <f>'A) Base RI'!B152</f>
        <v>Préverenges</v>
      </c>
      <c r="C156" s="10">
        <f>'A) Base RI'!AN152</f>
        <v>5298</v>
      </c>
      <c r="D156" s="472">
        <f>'C) Prél. conj.'!H150</f>
        <v>268711.59500000003</v>
      </c>
      <c r="E156" s="10">
        <f>'D) Ecrêtage'!L150</f>
        <v>0</v>
      </c>
      <c r="F156" s="472">
        <f>$F$10*'D) Ecrêtage'!M150</f>
        <v>3804868.7381436564</v>
      </c>
      <c r="G156" s="58">
        <f t="shared" si="2"/>
        <v>4073580.3331436566</v>
      </c>
    </row>
    <row r="157" spans="1:7" x14ac:dyDescent="0.25">
      <c r="A157" s="50">
        <f>'A) Base RI'!A153</f>
        <v>5644</v>
      </c>
      <c r="B157" s="301" t="str">
        <f>'A) Base RI'!B153</f>
        <v>Reverolle</v>
      </c>
      <c r="C157" s="10">
        <f>'A) Base RI'!AN153</f>
        <v>399</v>
      </c>
      <c r="D157" s="472">
        <f>'C) Prél. conj.'!H151</f>
        <v>43171.27</v>
      </c>
      <c r="E157" s="10">
        <f>'D) Ecrêtage'!L151</f>
        <v>0</v>
      </c>
      <c r="F157" s="472">
        <f>$F$10*'D) Ecrêtage'!M151</f>
        <v>195202.41412990692</v>
      </c>
      <c r="G157" s="58">
        <f t="shared" si="2"/>
        <v>238373.68412990691</v>
      </c>
    </row>
    <row r="158" spans="1:7" x14ac:dyDescent="0.25">
      <c r="A158" s="50">
        <f>'A) Base RI'!A154</f>
        <v>5645</v>
      </c>
      <c r="B158" s="301" t="str">
        <f>'A) Base RI'!B154</f>
        <v>Romanel-sur-Morges</v>
      </c>
      <c r="C158" s="10">
        <f>'A) Base RI'!AN154</f>
        <v>458</v>
      </c>
      <c r="D158" s="472">
        <f>'C) Prél. conj.'!H152</f>
        <v>73950.384999999995</v>
      </c>
      <c r="E158" s="10">
        <f>'D) Ecrêtage'!L152</f>
        <v>23947.83662778126</v>
      </c>
      <c r="F158" s="472">
        <f>$F$10*'D) Ecrêtage'!M152</f>
        <v>386262.80003634503</v>
      </c>
      <c r="G158" s="58">
        <f t="shared" si="2"/>
        <v>484161.02166412631</v>
      </c>
    </row>
    <row r="159" spans="1:7" x14ac:dyDescent="0.25">
      <c r="A159" s="50">
        <f>'A) Base RI'!A155</f>
        <v>5646</v>
      </c>
      <c r="B159" s="301" t="str">
        <f>'A) Base RI'!B155</f>
        <v>Saint-Prex</v>
      </c>
      <c r="C159" s="10">
        <f>'A) Base RI'!AN155</f>
        <v>5684</v>
      </c>
      <c r="D159" s="472">
        <f>'C) Prél. conj.'!H153</f>
        <v>856776.40500000014</v>
      </c>
      <c r="E159" s="10">
        <f>'D) Ecrêtage'!L153</f>
        <v>4356749.3852406237</v>
      </c>
      <c r="F159" s="472">
        <f>$F$10*'D) Ecrêtage'!M153</f>
        <v>6807786.5992325516</v>
      </c>
      <c r="G159" s="58">
        <f t="shared" si="2"/>
        <v>12021312.389473176</v>
      </c>
    </row>
    <row r="160" spans="1:7" x14ac:dyDescent="0.25">
      <c r="A160" s="50">
        <f>'A) Base RI'!A156</f>
        <v>5648</v>
      </c>
      <c r="B160" s="301" t="str">
        <f>'A) Base RI'!B156</f>
        <v>Saint-Sulpice</v>
      </c>
      <c r="C160" s="10">
        <f>'A) Base RI'!AN156</f>
        <v>4669</v>
      </c>
      <c r="D160" s="472">
        <f>'C) Prél. conj.'!H154</f>
        <v>1352249.7549999999</v>
      </c>
      <c r="E160" s="10">
        <f>'D) Ecrêtage'!L154</f>
        <v>318457.70770915592</v>
      </c>
      <c r="F160" s="472">
        <f>$F$10*'D) Ecrêtage'!M154</f>
        <v>3985365.867261033</v>
      </c>
      <c r="G160" s="58">
        <f t="shared" si="2"/>
        <v>5656073.3299701884</v>
      </c>
    </row>
    <row r="161" spans="1:7" x14ac:dyDescent="0.25">
      <c r="A161" s="50">
        <f>'A) Base RI'!A157</f>
        <v>5649</v>
      </c>
      <c r="B161" s="301" t="str">
        <f>'A) Base RI'!B157</f>
        <v>Tolochenaz</v>
      </c>
      <c r="C161" s="10">
        <f>'A) Base RI'!AN157</f>
        <v>1933</v>
      </c>
      <c r="D161" s="472">
        <f>'C) Prél. conj.'!H155</f>
        <v>157353.83000000002</v>
      </c>
      <c r="E161" s="10">
        <f>'D) Ecrêtage'!L155</f>
        <v>636508.32831788319</v>
      </c>
      <c r="F161" s="472">
        <f>$F$10*'D) Ecrêtage'!M155</f>
        <v>1895240.6450217268</v>
      </c>
      <c r="G161" s="58">
        <f t="shared" si="2"/>
        <v>2689102.8033396099</v>
      </c>
    </row>
    <row r="162" spans="1:7" x14ac:dyDescent="0.25">
      <c r="A162" s="50">
        <f>'A) Base RI'!A158</f>
        <v>5650</v>
      </c>
      <c r="B162" s="301" t="str">
        <f>'A) Base RI'!B158</f>
        <v>Vaux-sur-Morges</v>
      </c>
      <c r="C162" s="10">
        <f>'A) Base RI'!AN158</f>
        <v>184</v>
      </c>
      <c r="D162" s="472">
        <f>'C) Prél. conj.'!H156</f>
        <v>0</v>
      </c>
      <c r="E162" s="10">
        <f>'D) Ecrêtage'!L156</f>
        <v>6324612.4907585718</v>
      </c>
      <c r="F162" s="472">
        <f>$F$10*'D) Ecrêtage'!M156</f>
        <v>1881643.9568131641</v>
      </c>
      <c r="G162" s="58">
        <f t="shared" si="2"/>
        <v>8206256.4475717358</v>
      </c>
    </row>
    <row r="163" spans="1:7" x14ac:dyDescent="0.25">
      <c r="A163" s="50">
        <f>'A) Base RI'!A159</f>
        <v>5651</v>
      </c>
      <c r="B163" s="301" t="str">
        <f>'A) Base RI'!B159</f>
        <v>Villars-Sainte-Croix</v>
      </c>
      <c r="C163" s="10">
        <f>'A) Base RI'!AN159</f>
        <v>963</v>
      </c>
      <c r="D163" s="472">
        <f>'C) Prél. conj.'!H157</f>
        <v>129760.60499999998</v>
      </c>
      <c r="E163" s="10">
        <f>'D) Ecrêtage'!L157</f>
        <v>98357.591262415546</v>
      </c>
      <c r="F163" s="472">
        <f>$F$10*'D) Ecrêtage'!M157</f>
        <v>837755.69880141981</v>
      </c>
      <c r="G163" s="58">
        <f t="shared" si="2"/>
        <v>1065873.8950638354</v>
      </c>
    </row>
    <row r="164" spans="1:7" x14ac:dyDescent="0.25">
      <c r="A164" s="50">
        <f>'A) Base RI'!A160</f>
        <v>5652</v>
      </c>
      <c r="B164" s="301" t="str">
        <f>'A) Base RI'!B160</f>
        <v>Villars-sous-Yens</v>
      </c>
      <c r="C164" s="10">
        <f>'A) Base RI'!AN160</f>
        <v>608</v>
      </c>
      <c r="D164" s="472">
        <f>'C) Prél. conj.'!H158</f>
        <v>31740.914999999997</v>
      </c>
      <c r="E164" s="10">
        <f>'D) Ecrêtage'!L158</f>
        <v>0</v>
      </c>
      <c r="F164" s="472">
        <f>$F$10*'D) Ecrêtage'!M158</f>
        <v>436020.47295982076</v>
      </c>
      <c r="G164" s="58">
        <f t="shared" si="2"/>
        <v>467761.38795982074</v>
      </c>
    </row>
    <row r="165" spans="1:7" x14ac:dyDescent="0.25">
      <c r="A165" s="50">
        <f>'A) Base RI'!A161</f>
        <v>5653</v>
      </c>
      <c r="B165" s="301" t="str">
        <f>'A) Base RI'!B161</f>
        <v>Vufflens-le-Château</v>
      </c>
      <c r="C165" s="10">
        <f>'A) Base RI'!AN161</f>
        <v>886</v>
      </c>
      <c r="D165" s="472">
        <f>'C) Prél. conj.'!H159</f>
        <v>133744.76</v>
      </c>
      <c r="E165" s="10">
        <f>'D) Ecrêtage'!L159</f>
        <v>255564.83839345354</v>
      </c>
      <c r="F165" s="472">
        <f>$F$10*'D) Ecrêtage'!M159</f>
        <v>872567.87279527064</v>
      </c>
      <c r="G165" s="58">
        <f t="shared" si="2"/>
        <v>1261877.4711887243</v>
      </c>
    </row>
    <row r="166" spans="1:7" x14ac:dyDescent="0.25">
      <c r="A166" s="50">
        <f>'A) Base RI'!A162</f>
        <v>5654</v>
      </c>
      <c r="B166" s="301" t="str">
        <f>'A) Base RI'!B162</f>
        <v>Vullierens</v>
      </c>
      <c r="C166" s="10">
        <f>'A) Base RI'!AN162</f>
        <v>507</v>
      </c>
      <c r="D166" s="472">
        <f>'C) Prél. conj.'!H160</f>
        <v>56886.400000000001</v>
      </c>
      <c r="E166" s="10">
        <f>'D) Ecrêtage'!L160</f>
        <v>0</v>
      </c>
      <c r="F166" s="472">
        <f>$F$10*'D) Ecrêtage'!M160</f>
        <v>282100.66926388693</v>
      </c>
      <c r="G166" s="58">
        <f t="shared" si="2"/>
        <v>338987.06926388695</v>
      </c>
    </row>
    <row r="167" spans="1:7" x14ac:dyDescent="0.25">
      <c r="A167" s="50">
        <f>'A) Base RI'!A163</f>
        <v>5655</v>
      </c>
      <c r="B167" s="301" t="str">
        <f>'A) Base RI'!B163</f>
        <v>Yens</v>
      </c>
      <c r="C167" s="10">
        <f>'A) Base RI'!AN163</f>
        <v>1429</v>
      </c>
      <c r="D167" s="472">
        <f>'C) Prél. conj.'!H161</f>
        <v>146871.79500000001</v>
      </c>
      <c r="E167" s="10">
        <f>'D) Ecrêtage'!L161</f>
        <v>209222.13977325486</v>
      </c>
      <c r="F167" s="472">
        <f>$F$10*'D) Ecrêtage'!M161</f>
        <v>1256222.4441432059</v>
      </c>
      <c r="G167" s="58">
        <f t="shared" si="2"/>
        <v>1612316.3789164606</v>
      </c>
    </row>
    <row r="168" spans="1:7" x14ac:dyDescent="0.25">
      <c r="A168" s="50">
        <f>'A) Base RI'!A164</f>
        <v>5661</v>
      </c>
      <c r="B168" s="301" t="str">
        <f>'A) Base RI'!B164</f>
        <v>Boulens</v>
      </c>
      <c r="C168" s="10">
        <f>'A) Base RI'!AN164</f>
        <v>384</v>
      </c>
      <c r="D168" s="472">
        <f>'C) Prél. conj.'!H162</f>
        <v>14764.560000000001</v>
      </c>
      <c r="E168" s="10">
        <f>'D) Ecrêtage'!L162</f>
        <v>0</v>
      </c>
      <c r="F168" s="472">
        <f>$F$10*'D) Ecrêtage'!M162</f>
        <v>151279.23914679646</v>
      </c>
      <c r="G168" s="58">
        <f t="shared" si="2"/>
        <v>166043.79914679646</v>
      </c>
    </row>
    <row r="169" spans="1:7" x14ac:dyDescent="0.25">
      <c r="A169" s="50">
        <f>'A) Base RI'!A165</f>
        <v>5663</v>
      </c>
      <c r="B169" s="301" t="str">
        <f>'A) Base RI'!B165</f>
        <v>Bussy-sur-Moudon</v>
      </c>
      <c r="C169" s="10">
        <f>'A) Base RI'!AN165</f>
        <v>214</v>
      </c>
      <c r="D169" s="472">
        <f>'C) Prél. conj.'!H163</f>
        <v>7254</v>
      </c>
      <c r="E169" s="10">
        <f>'D) Ecrêtage'!L163</f>
        <v>0</v>
      </c>
      <c r="F169" s="472">
        <f>$F$10*'D) Ecrêtage'!M163</f>
        <v>77465.264404549074</v>
      </c>
      <c r="G169" s="58">
        <f t="shared" si="2"/>
        <v>84719.264404549074</v>
      </c>
    </row>
    <row r="170" spans="1:7" x14ac:dyDescent="0.25">
      <c r="A170" s="50">
        <f>'A) Base RI'!A166</f>
        <v>5665</v>
      </c>
      <c r="B170" s="301" t="str">
        <f>'A) Base RI'!B166</f>
        <v>Chavannes-sur-Moudon</v>
      </c>
      <c r="C170" s="10">
        <f>'A) Base RI'!AN166</f>
        <v>216</v>
      </c>
      <c r="D170" s="472">
        <f>'C) Prél. conj.'!H164</f>
        <v>9612</v>
      </c>
      <c r="E170" s="10">
        <f>'D) Ecrêtage'!L164</f>
        <v>0</v>
      </c>
      <c r="F170" s="472">
        <f>$F$10*'D) Ecrêtage'!M164</f>
        <v>67572.68099710028</v>
      </c>
      <c r="G170" s="58">
        <f t="shared" si="2"/>
        <v>77184.68099710028</v>
      </c>
    </row>
    <row r="171" spans="1:7" x14ac:dyDescent="0.25">
      <c r="A171" s="50">
        <f>'A) Base RI'!A167</f>
        <v>5669</v>
      </c>
      <c r="B171" s="301" t="str">
        <f>'A) Base RI'!B167</f>
        <v>Curtilles</v>
      </c>
      <c r="C171" s="10">
        <f>'A) Base RI'!AN167</f>
        <v>313</v>
      </c>
      <c r="D171" s="472">
        <f>'C) Prél. conj.'!H165</f>
        <v>11116.125</v>
      </c>
      <c r="E171" s="10">
        <f>'D) Ecrêtage'!L165</f>
        <v>0</v>
      </c>
      <c r="F171" s="472">
        <f>$F$10*'D) Ecrêtage'!M165</f>
        <v>114062.02848946799</v>
      </c>
      <c r="G171" s="58">
        <f t="shared" si="2"/>
        <v>125178.15348946799</v>
      </c>
    </row>
    <row r="172" spans="1:7" x14ac:dyDescent="0.25">
      <c r="A172" s="50">
        <f>'A) Base RI'!A168</f>
        <v>5671</v>
      </c>
      <c r="B172" s="301" t="str">
        <f>'A) Base RI'!B168</f>
        <v>Dompierre</v>
      </c>
      <c r="C172" s="10">
        <f>'A) Base RI'!AN168</f>
        <v>239</v>
      </c>
      <c r="D172" s="472">
        <f>'C) Prél. conj.'!H166</f>
        <v>17243.875</v>
      </c>
      <c r="E172" s="10">
        <f>'D) Ecrêtage'!L166</f>
        <v>0</v>
      </c>
      <c r="F172" s="472">
        <f>$F$10*'D) Ecrêtage'!M166</f>
        <v>90111.351933529324</v>
      </c>
      <c r="G172" s="58">
        <f t="shared" si="2"/>
        <v>107355.22693352932</v>
      </c>
    </row>
    <row r="173" spans="1:7" x14ac:dyDescent="0.25">
      <c r="A173" s="50">
        <f>'A) Base RI'!A169</f>
        <v>5673</v>
      </c>
      <c r="B173" s="301" t="str">
        <f>'A) Base RI'!B169</f>
        <v>Hermenches</v>
      </c>
      <c r="C173" s="10">
        <f>'A) Base RI'!AN169</f>
        <v>364</v>
      </c>
      <c r="D173" s="472">
        <f>'C) Prél. conj.'!H167</f>
        <v>12892.255000000001</v>
      </c>
      <c r="E173" s="10">
        <f>'D) Ecrêtage'!L167</f>
        <v>0</v>
      </c>
      <c r="F173" s="472">
        <f>$F$10*'D) Ecrêtage'!M167</f>
        <v>135980.42482594028</v>
      </c>
      <c r="G173" s="58">
        <f t="shared" si="2"/>
        <v>148872.67982594029</v>
      </c>
    </row>
    <row r="174" spans="1:7" x14ac:dyDescent="0.25">
      <c r="A174" s="50">
        <f>'A) Base RI'!A170</f>
        <v>5674</v>
      </c>
      <c r="B174" s="301" t="str">
        <f>'A) Base RI'!B170</f>
        <v>Lovatens</v>
      </c>
      <c r="C174" s="10">
        <f>'A) Base RI'!AN170</f>
        <v>146</v>
      </c>
      <c r="D174" s="472">
        <f>'C) Prél. conj.'!H168</f>
        <v>13562.35</v>
      </c>
      <c r="E174" s="10">
        <f>'D) Ecrêtage'!L168</f>
        <v>0</v>
      </c>
      <c r="F174" s="472">
        <f>$F$10*'D) Ecrêtage'!M168</f>
        <v>47946.549221477289</v>
      </c>
      <c r="G174" s="58">
        <f t="shared" si="2"/>
        <v>61508.899221477288</v>
      </c>
    </row>
    <row r="175" spans="1:7" x14ac:dyDescent="0.25">
      <c r="A175" s="50">
        <f>'A) Base RI'!A171</f>
        <v>5675</v>
      </c>
      <c r="B175" s="301" t="str">
        <f>'A) Base RI'!B171</f>
        <v>Lucens</v>
      </c>
      <c r="C175" s="10">
        <f>'A) Base RI'!AN171</f>
        <v>4199</v>
      </c>
      <c r="D175" s="472">
        <f>'C) Prél. conj.'!H169</f>
        <v>345167.41499999998</v>
      </c>
      <c r="E175" s="10">
        <f>'D) Ecrêtage'!L169</f>
        <v>0</v>
      </c>
      <c r="F175" s="472">
        <f>$F$10*'D) Ecrêtage'!M169</f>
        <v>1348148.7894166827</v>
      </c>
      <c r="G175" s="58">
        <f t="shared" si="2"/>
        <v>1693316.2044166827</v>
      </c>
    </row>
    <row r="176" spans="1:7" x14ac:dyDescent="0.25">
      <c r="A176" s="50">
        <f>'A) Base RI'!A172</f>
        <v>5678</v>
      </c>
      <c r="B176" s="301" t="str">
        <f>'A) Base RI'!B172</f>
        <v>Moudon</v>
      </c>
      <c r="C176" s="10">
        <f>'A) Base RI'!AN172</f>
        <v>6135</v>
      </c>
      <c r="D176" s="472">
        <f>'C) Prél. conj.'!H170</f>
        <v>415489.21499999997</v>
      </c>
      <c r="E176" s="10">
        <f>'D) Ecrêtage'!L170</f>
        <v>0</v>
      </c>
      <c r="F176" s="472">
        <f>$F$10*'D) Ecrêtage'!M170</f>
        <v>1752787.3462995561</v>
      </c>
      <c r="G176" s="58">
        <f t="shared" si="2"/>
        <v>2168276.5612995559</v>
      </c>
    </row>
    <row r="177" spans="1:7" x14ac:dyDescent="0.25">
      <c r="A177" s="50">
        <f>'A) Base RI'!A173</f>
        <v>5680</v>
      </c>
      <c r="B177" s="301" t="str">
        <f>'A) Base RI'!B173</f>
        <v>Ogens</v>
      </c>
      <c r="C177" s="10">
        <f>'A) Base RI'!AN173</f>
        <v>299</v>
      </c>
      <c r="D177" s="472">
        <f>'C) Prél. conj.'!H171</f>
        <v>28923.449999999997</v>
      </c>
      <c r="E177" s="10">
        <f>'D) Ecrêtage'!L171</f>
        <v>0</v>
      </c>
      <c r="F177" s="472">
        <f>$F$10*'D) Ecrêtage'!M171</f>
        <v>94302.183132792852</v>
      </c>
      <c r="G177" s="58">
        <f t="shared" si="2"/>
        <v>123225.63313279285</v>
      </c>
    </row>
    <row r="178" spans="1:7" x14ac:dyDescent="0.25">
      <c r="A178" s="50">
        <f>'A) Base RI'!A174</f>
        <v>5683</v>
      </c>
      <c r="B178" s="301" t="str">
        <f>'A) Base RI'!B174</f>
        <v>Prévonloup</v>
      </c>
      <c r="C178" s="10">
        <f>'A) Base RI'!AN174</f>
        <v>184</v>
      </c>
      <c r="D178" s="472">
        <f>'C) Prél. conj.'!H172</f>
        <v>14205.75</v>
      </c>
      <c r="E178" s="10">
        <f>'D) Ecrêtage'!L172</f>
        <v>0</v>
      </c>
      <c r="F178" s="472">
        <f>$F$10*'D) Ecrêtage'!M172</f>
        <v>54495.589579917214</v>
      </c>
      <c r="G178" s="58">
        <f t="shared" si="2"/>
        <v>68701.339579917214</v>
      </c>
    </row>
    <row r="179" spans="1:7" x14ac:dyDescent="0.25">
      <c r="A179" s="50">
        <f>'A) Base RI'!A175</f>
        <v>5684</v>
      </c>
      <c r="B179" s="301" t="str">
        <f>'A) Base RI'!B175</f>
        <v>Rossenges</v>
      </c>
      <c r="C179" s="10">
        <f>'A) Base RI'!AN175</f>
        <v>65</v>
      </c>
      <c r="D179" s="472">
        <f>'C) Prél. conj.'!H173</f>
        <v>5960.9</v>
      </c>
      <c r="E179" s="10">
        <f>'D) Ecrêtage'!L173</f>
        <v>0</v>
      </c>
      <c r="F179" s="472">
        <f>$F$10*'D) Ecrêtage'!M173</f>
        <v>28551.754681023282</v>
      </c>
      <c r="G179" s="58">
        <f t="shared" si="2"/>
        <v>34512.654681023283</v>
      </c>
    </row>
    <row r="180" spans="1:7" x14ac:dyDescent="0.25">
      <c r="A180" s="50">
        <f>'A) Base RI'!A176</f>
        <v>5688</v>
      </c>
      <c r="B180" s="301" t="str">
        <f>'A) Base RI'!B176</f>
        <v>Syens</v>
      </c>
      <c r="C180" s="10">
        <f>'A) Base RI'!AN176</f>
        <v>159</v>
      </c>
      <c r="D180" s="472">
        <f>'C) Prél. conj.'!H174</f>
        <v>17696.375</v>
      </c>
      <c r="E180" s="10">
        <f>'D) Ecrêtage'!L174</f>
        <v>0</v>
      </c>
      <c r="F180" s="472">
        <f>$F$10*'D) Ecrêtage'!M174</f>
        <v>58040.690429302034</v>
      </c>
      <c r="G180" s="58">
        <f t="shared" si="2"/>
        <v>75737.065429302034</v>
      </c>
    </row>
    <row r="181" spans="1:7" x14ac:dyDescent="0.25">
      <c r="A181" s="50">
        <f>'A) Base RI'!A177</f>
        <v>5690</v>
      </c>
      <c r="B181" s="301" t="str">
        <f>'A) Base RI'!B177</f>
        <v>Villars-le-Comte</v>
      </c>
      <c r="C181" s="10">
        <f>'A) Base RI'!AN177</f>
        <v>132</v>
      </c>
      <c r="D181" s="472">
        <f>'C) Prél. conj.'!H175</f>
        <v>5113.4250000000002</v>
      </c>
      <c r="E181" s="10">
        <f>'D) Ecrêtage'!L175</f>
        <v>0</v>
      </c>
      <c r="F181" s="472">
        <f>$F$10*'D) Ecrêtage'!M175</f>
        <v>59393.563582704352</v>
      </c>
      <c r="G181" s="58">
        <f t="shared" si="2"/>
        <v>64506.988582704354</v>
      </c>
    </row>
    <row r="182" spans="1:7" x14ac:dyDescent="0.25">
      <c r="A182" s="50">
        <f>'A) Base RI'!A178</f>
        <v>5692</v>
      </c>
      <c r="B182" s="301" t="str">
        <f>'A) Base RI'!B178</f>
        <v>Vucherens</v>
      </c>
      <c r="C182" s="10">
        <f>'A) Base RI'!AN178</f>
        <v>577</v>
      </c>
      <c r="D182" s="472">
        <f>'C) Prél. conj.'!H176</f>
        <v>78868.100000000006</v>
      </c>
      <c r="E182" s="10">
        <f>'D) Ecrêtage'!L176</f>
        <v>0</v>
      </c>
      <c r="F182" s="472">
        <f>$F$10*'D) Ecrêtage'!M176</f>
        <v>237105.8316275221</v>
      </c>
      <c r="G182" s="58">
        <f t="shared" si="2"/>
        <v>315973.93162752211</v>
      </c>
    </row>
    <row r="183" spans="1:7" x14ac:dyDescent="0.25">
      <c r="A183" s="50">
        <f>'A) Base RI'!A179</f>
        <v>5693</v>
      </c>
      <c r="B183" s="301" t="str">
        <f>'A) Base RI'!B179</f>
        <v>Montanaire</v>
      </c>
      <c r="C183" s="10">
        <f>'A) Base RI'!AN179</f>
        <v>2685</v>
      </c>
      <c r="D183" s="472">
        <f>'C) Prél. conj.'!H177</f>
        <v>169831.68000000002</v>
      </c>
      <c r="E183" s="10">
        <f>'D) Ecrêtage'!L177</f>
        <v>0</v>
      </c>
      <c r="F183" s="472">
        <f>$F$10*'D) Ecrêtage'!M177</f>
        <v>1023150.8521795844</v>
      </c>
      <c r="G183" s="58">
        <f t="shared" si="2"/>
        <v>1192982.5321795845</v>
      </c>
    </row>
    <row r="184" spans="1:7" x14ac:dyDescent="0.25">
      <c r="A184" s="50">
        <f>'A) Base RI'!A180</f>
        <v>5701</v>
      </c>
      <c r="B184" s="301" t="str">
        <f>'A) Base RI'!B180</f>
        <v>Arnex-sur-Nyon</v>
      </c>
      <c r="C184" s="10">
        <f>'A) Base RI'!AN180</f>
        <v>235</v>
      </c>
      <c r="D184" s="472">
        <f>'C) Prél. conj.'!H178</f>
        <v>74835.95</v>
      </c>
      <c r="E184" s="10">
        <f>'D) Ecrêtage'!L178</f>
        <v>11490.183392490639</v>
      </c>
      <c r="F184" s="472">
        <f>$F$10*'D) Ecrêtage'!M178</f>
        <v>196349.4369940414</v>
      </c>
      <c r="G184" s="58">
        <f t="shared" si="2"/>
        <v>282675.570386532</v>
      </c>
    </row>
    <row r="185" spans="1:7" x14ac:dyDescent="0.25">
      <c r="A185" s="50">
        <f>'A) Base RI'!A181</f>
        <v>5702</v>
      </c>
      <c r="B185" s="301" t="str">
        <f>'A) Base RI'!B181</f>
        <v>Arzier-Le Muids</v>
      </c>
      <c r="C185" s="10">
        <f>'A) Base RI'!AN181</f>
        <v>2697</v>
      </c>
      <c r="D185" s="472">
        <f>'C) Prél. conj.'!H179</f>
        <v>674844.65</v>
      </c>
      <c r="E185" s="10">
        <f>'D) Ecrêtage'!L179</f>
        <v>607036.61220093758</v>
      </c>
      <c r="F185" s="472">
        <f>$F$10*'D) Ecrêtage'!M179</f>
        <v>2506740.7827339843</v>
      </c>
      <c r="G185" s="58">
        <f t="shared" si="2"/>
        <v>3788622.0449349219</v>
      </c>
    </row>
    <row r="186" spans="1:7" x14ac:dyDescent="0.25">
      <c r="A186" s="50">
        <f>'A) Base RI'!A182</f>
        <v>5703</v>
      </c>
      <c r="B186" s="301" t="str">
        <f>'A) Base RI'!B182</f>
        <v>Bassins</v>
      </c>
      <c r="C186" s="10">
        <f>'A) Base RI'!AN182</f>
        <v>1347</v>
      </c>
      <c r="D186" s="472">
        <f>'C) Prél. conj.'!H180</f>
        <v>196930.23499999999</v>
      </c>
      <c r="E186" s="10">
        <f>'D) Ecrêtage'!L180</f>
        <v>0</v>
      </c>
      <c r="F186" s="472">
        <f>$F$10*'D) Ecrêtage'!M180</f>
        <v>808298.16097556241</v>
      </c>
      <c r="G186" s="58">
        <f t="shared" si="2"/>
        <v>1005228.3959755624</v>
      </c>
    </row>
    <row r="187" spans="1:7" x14ac:dyDescent="0.25">
      <c r="A187" s="50">
        <f>'A) Base RI'!A183</f>
        <v>5704</v>
      </c>
      <c r="B187" s="301" t="str">
        <f>'A) Base RI'!B183</f>
        <v>Begnins</v>
      </c>
      <c r="C187" s="10">
        <f>'A) Base RI'!AN183</f>
        <v>1952</v>
      </c>
      <c r="D187" s="472">
        <f>'C) Prél. conj.'!H181</f>
        <v>618829.6</v>
      </c>
      <c r="E187" s="10">
        <f>'D) Ecrêtage'!L181</f>
        <v>357036.87184361543</v>
      </c>
      <c r="F187" s="472">
        <f>$F$10*'D) Ecrêtage'!M181</f>
        <v>1771432.5070083104</v>
      </c>
      <c r="G187" s="58">
        <f t="shared" si="2"/>
        <v>2747298.978851926</v>
      </c>
    </row>
    <row r="188" spans="1:7" x14ac:dyDescent="0.25">
      <c r="A188" s="50">
        <f>'A) Base RI'!A184</f>
        <v>5705</v>
      </c>
      <c r="B188" s="301" t="str">
        <f>'A) Base RI'!B184</f>
        <v>Bogis-Bossey</v>
      </c>
      <c r="C188" s="10">
        <f>'A) Base RI'!AN184</f>
        <v>867</v>
      </c>
      <c r="D188" s="472">
        <f>'C) Prél. conj.'!H182</f>
        <v>175845.12</v>
      </c>
      <c r="E188" s="10">
        <f>'D) Ecrêtage'!L182</f>
        <v>32082.660505911979</v>
      </c>
      <c r="F188" s="472">
        <f>$F$10*'D) Ecrêtage'!M182</f>
        <v>719496.17331569595</v>
      </c>
      <c r="G188" s="58">
        <f t="shared" si="2"/>
        <v>927423.95382160798</v>
      </c>
    </row>
    <row r="189" spans="1:7" x14ac:dyDescent="0.25">
      <c r="A189" s="50">
        <f>'A) Base RI'!A185</f>
        <v>5706</v>
      </c>
      <c r="B189" s="301" t="str">
        <f>'A) Base RI'!B185</f>
        <v>Borex</v>
      </c>
      <c r="C189" s="10">
        <f>'A) Base RI'!AN185</f>
        <v>1140</v>
      </c>
      <c r="D189" s="472">
        <f>'C) Prél. conj.'!H183</f>
        <v>137600.52999999997</v>
      </c>
      <c r="E189" s="10">
        <f>'D) Ecrêtage'!L183</f>
        <v>160367.93854148805</v>
      </c>
      <c r="F189" s="472">
        <f>$F$10*'D) Ecrêtage'!M183</f>
        <v>1018112.7710584805</v>
      </c>
      <c r="G189" s="58">
        <f t="shared" si="2"/>
        <v>1316081.2395999685</v>
      </c>
    </row>
    <row r="190" spans="1:7" x14ac:dyDescent="0.25">
      <c r="A190" s="50">
        <f>'A) Base RI'!A186</f>
        <v>5707</v>
      </c>
      <c r="B190" s="301" t="str">
        <f>'A) Base RI'!B186</f>
        <v>Chavannes-de-Bogis</v>
      </c>
      <c r="C190" s="10">
        <f>'A) Base RI'!AN186</f>
        <v>1281</v>
      </c>
      <c r="D190" s="472">
        <f>'C) Prél. conj.'!H184</f>
        <v>440259.79499999998</v>
      </c>
      <c r="E190" s="10">
        <f>'D) Ecrêtage'!L184</f>
        <v>139951.0073141793</v>
      </c>
      <c r="F190" s="472">
        <f>$F$10*'D) Ecrêtage'!M184</f>
        <v>1119545.8245966777</v>
      </c>
      <c r="G190" s="58">
        <f t="shared" si="2"/>
        <v>1699756.6269108569</v>
      </c>
    </row>
    <row r="191" spans="1:7" x14ac:dyDescent="0.25">
      <c r="A191" s="50">
        <f>'A) Base RI'!A187</f>
        <v>5708</v>
      </c>
      <c r="B191" s="301" t="str">
        <f>'A) Base RI'!B187</f>
        <v>Chavannes-des-Bois</v>
      </c>
      <c r="C191" s="10">
        <f>'A) Base RI'!AN187</f>
        <v>964</v>
      </c>
      <c r="D191" s="472">
        <f>'C) Prél. conj.'!H185</f>
        <v>171514.47500000001</v>
      </c>
      <c r="E191" s="10">
        <f>'D) Ecrêtage'!L185</f>
        <v>79922.458923424987</v>
      </c>
      <c r="F191" s="472">
        <f>$F$10*'D) Ecrêtage'!M185</f>
        <v>825288.47568540741</v>
      </c>
      <c r="G191" s="58">
        <f t="shared" si="2"/>
        <v>1076725.4096088323</v>
      </c>
    </row>
    <row r="192" spans="1:7" x14ac:dyDescent="0.25">
      <c r="A192" s="50">
        <f>'A) Base RI'!A188</f>
        <v>5709</v>
      </c>
      <c r="B192" s="301" t="str">
        <f>'A) Base RI'!B188</f>
        <v>Chéserex</v>
      </c>
      <c r="C192" s="10">
        <f>'A) Base RI'!AN188</f>
        <v>1227</v>
      </c>
      <c r="D192" s="472">
        <f>'C) Prél. conj.'!H186</f>
        <v>192234.30500000002</v>
      </c>
      <c r="E192" s="10">
        <f>'D) Ecrêtage'!L186</f>
        <v>967578.43591570633</v>
      </c>
      <c r="F192" s="472">
        <f>$F$10*'D) Ecrêtage'!M186</f>
        <v>1466536.4112684659</v>
      </c>
      <c r="G192" s="58">
        <f t="shared" si="2"/>
        <v>2626349.1521841721</v>
      </c>
    </row>
    <row r="193" spans="1:7" x14ac:dyDescent="0.25">
      <c r="A193" s="50">
        <f>'A) Base RI'!A189</f>
        <v>5710</v>
      </c>
      <c r="B193" s="301" t="str">
        <f>'A) Base RI'!B189</f>
        <v>Coinsins</v>
      </c>
      <c r="C193" s="10">
        <f>'A) Base RI'!AN189</f>
        <v>499</v>
      </c>
      <c r="D193" s="472">
        <f>'C) Prél. conj.'!H187</f>
        <v>60396.235000000001</v>
      </c>
      <c r="E193" s="10">
        <f>'D) Ecrêtage'!L187</f>
        <v>2916015.3827422205</v>
      </c>
      <c r="F193" s="472">
        <f>$F$10*'D) Ecrêtage'!M187</f>
        <v>1402957.4582949441</v>
      </c>
      <c r="G193" s="58">
        <f t="shared" si="2"/>
        <v>4379369.0760371648</v>
      </c>
    </row>
    <row r="194" spans="1:7" x14ac:dyDescent="0.25">
      <c r="A194" s="50">
        <f>'A) Base RI'!A190</f>
        <v>5711</v>
      </c>
      <c r="B194" s="301" t="str">
        <f>'A) Base RI'!B190</f>
        <v>Commugny</v>
      </c>
      <c r="C194" s="10">
        <f>'A) Base RI'!AN190</f>
        <v>2877</v>
      </c>
      <c r="D194" s="472">
        <f>'C) Prél. conj.'!H188</f>
        <v>670090.41500000004</v>
      </c>
      <c r="E194" s="10">
        <f>'D) Ecrêtage'!L188</f>
        <v>2945189.4049241166</v>
      </c>
      <c r="F194" s="472">
        <f>$F$10*'D) Ecrêtage'!M188</f>
        <v>3691351.8324411102</v>
      </c>
      <c r="G194" s="58">
        <f t="shared" si="2"/>
        <v>7306631.6523652263</v>
      </c>
    </row>
    <row r="195" spans="1:7" x14ac:dyDescent="0.25">
      <c r="A195" s="50">
        <f>'A) Base RI'!A191</f>
        <v>5712</v>
      </c>
      <c r="B195" s="301" t="str">
        <f>'A) Base RI'!B191</f>
        <v>Coppet</v>
      </c>
      <c r="C195" s="10">
        <f>'A) Base RI'!AN191</f>
        <v>3126</v>
      </c>
      <c r="D195" s="472">
        <f>'C) Prél. conj.'!H189</f>
        <v>1965631.5150000001</v>
      </c>
      <c r="E195" s="10">
        <f>'D) Ecrêtage'!L189</f>
        <v>4094717.6269570929</v>
      </c>
      <c r="F195" s="472">
        <f>$F$10*'D) Ecrêtage'!M189</f>
        <v>4408070.8423085995</v>
      </c>
      <c r="G195" s="58">
        <f t="shared" si="2"/>
        <v>10468419.984265693</v>
      </c>
    </row>
    <row r="196" spans="1:7" x14ac:dyDescent="0.25">
      <c r="A196" s="50">
        <f>'A) Base RI'!A192</f>
        <v>5713</v>
      </c>
      <c r="B196" s="301" t="str">
        <f>'A) Base RI'!B192</f>
        <v>Crans-près-Céligny</v>
      </c>
      <c r="C196" s="10">
        <f>'A) Base RI'!AN192</f>
        <v>2193</v>
      </c>
      <c r="D196" s="472">
        <f>'C) Prél. conj.'!H190</f>
        <v>686731.45499999996</v>
      </c>
      <c r="E196" s="10">
        <f>'D) Ecrêtage'!L190</f>
        <v>3902300.3306088629</v>
      </c>
      <c r="F196" s="472">
        <f>$F$10*'D) Ecrêtage'!M190</f>
        <v>3457895.6259024427</v>
      </c>
      <c r="G196" s="58">
        <f t="shared" si="2"/>
        <v>8046927.4115113057</v>
      </c>
    </row>
    <row r="197" spans="1:7" x14ac:dyDescent="0.25">
      <c r="A197" s="50">
        <f>'A) Base RI'!A193</f>
        <v>5714</v>
      </c>
      <c r="B197" s="301" t="str">
        <f>'A) Base RI'!B193</f>
        <v>Crassier</v>
      </c>
      <c r="C197" s="10">
        <f>'A) Base RI'!AN193</f>
        <v>1175</v>
      </c>
      <c r="D197" s="472">
        <f>'C) Prél. conj.'!H191</f>
        <v>163492.89000000001</v>
      </c>
      <c r="E197" s="10">
        <f>'D) Ecrêtage'!L191</f>
        <v>271188.41630852828</v>
      </c>
      <c r="F197" s="472">
        <f>$F$10*'D) Ecrêtage'!M191</f>
        <v>1095609.8140944284</v>
      </c>
      <c r="G197" s="58">
        <f t="shared" si="2"/>
        <v>1530291.1204029568</v>
      </c>
    </row>
    <row r="198" spans="1:7" x14ac:dyDescent="0.25">
      <c r="A198" s="50">
        <f>'A) Base RI'!A194</f>
        <v>5715</v>
      </c>
      <c r="B198" s="301" t="str">
        <f>'A) Base RI'!B194</f>
        <v>Duillier</v>
      </c>
      <c r="C198" s="10">
        <f>'A) Base RI'!AN194</f>
        <v>1085</v>
      </c>
      <c r="D198" s="472">
        <f>'C) Prél. conj.'!H192</f>
        <v>295847.63500000001</v>
      </c>
      <c r="E198" s="10">
        <f>'D) Ecrêtage'!L192</f>
        <v>423048.18018812325</v>
      </c>
      <c r="F198" s="472">
        <f>$F$10*'D) Ecrêtage'!M192</f>
        <v>1086173.101074348</v>
      </c>
      <c r="G198" s="58">
        <f t="shared" si="2"/>
        <v>1805068.9162624711</v>
      </c>
    </row>
    <row r="199" spans="1:7" x14ac:dyDescent="0.25">
      <c r="A199" s="50">
        <f>'A) Base RI'!A195</f>
        <v>5716</v>
      </c>
      <c r="B199" s="301" t="str">
        <f>'A) Base RI'!B195</f>
        <v>Eysins</v>
      </c>
      <c r="C199" s="10">
        <f>'A) Base RI'!AN195</f>
        <v>1618</v>
      </c>
      <c r="D199" s="472">
        <f>'C) Prél. conj.'!H193</f>
        <v>445836.69999999995</v>
      </c>
      <c r="E199" s="10">
        <f>'D) Ecrêtage'!L193</f>
        <v>2438810.5131130493</v>
      </c>
      <c r="F199" s="472">
        <f>$F$10*'D) Ecrêtage'!M193</f>
        <v>2281437.8004735615</v>
      </c>
      <c r="G199" s="58">
        <f t="shared" si="2"/>
        <v>5166085.0135866106</v>
      </c>
    </row>
    <row r="200" spans="1:7" x14ac:dyDescent="0.25">
      <c r="A200" s="50">
        <f>'A) Base RI'!A196</f>
        <v>5717</v>
      </c>
      <c r="B200" s="301" t="str">
        <f>'A) Base RI'!B196</f>
        <v>Founex</v>
      </c>
      <c r="C200" s="10">
        <f>'A) Base RI'!AN196</f>
        <v>3790</v>
      </c>
      <c r="D200" s="472">
        <f>'C) Prél. conj.'!H194</f>
        <v>609571.96499999997</v>
      </c>
      <c r="E200" s="10">
        <f>'D) Ecrêtage'!L194</f>
        <v>4186295.3315804168</v>
      </c>
      <c r="F200" s="472">
        <f>$F$10*'D) Ecrêtage'!M194</f>
        <v>4963923.341635799</v>
      </c>
      <c r="G200" s="58">
        <f t="shared" si="2"/>
        <v>9759790.6382162161</v>
      </c>
    </row>
    <row r="201" spans="1:7" x14ac:dyDescent="0.25">
      <c r="A201" s="50">
        <f>'A) Base RI'!A197</f>
        <v>5718</v>
      </c>
      <c r="B201" s="301" t="str">
        <f>'A) Base RI'!B197</f>
        <v>Genolier</v>
      </c>
      <c r="C201" s="10">
        <f>'A) Base RI'!AN197</f>
        <v>1961</v>
      </c>
      <c r="D201" s="472">
        <f>'C) Prél. conj.'!H195</f>
        <v>743101.55500000005</v>
      </c>
      <c r="E201" s="10">
        <f>'D) Ecrêtage'!L195</f>
        <v>1410780.123501312</v>
      </c>
      <c r="F201" s="472">
        <f>$F$10*'D) Ecrêtage'!M195</f>
        <v>2307603.5607490758</v>
      </c>
      <c r="G201" s="58">
        <f t="shared" si="2"/>
        <v>4461485.239250388</v>
      </c>
    </row>
    <row r="202" spans="1:7" x14ac:dyDescent="0.25">
      <c r="A202" s="50">
        <f>'A) Base RI'!A198</f>
        <v>5719</v>
      </c>
      <c r="B202" s="301" t="str">
        <f>'A) Base RI'!B198</f>
        <v>Gingins</v>
      </c>
      <c r="C202" s="10">
        <f>'A) Base RI'!AN198</f>
        <v>1226</v>
      </c>
      <c r="D202" s="472">
        <f>'C) Prél. conj.'!H196</f>
        <v>457201.44500000001</v>
      </c>
      <c r="E202" s="10">
        <f>'D) Ecrêtage'!L196</f>
        <v>1037231.652560274</v>
      </c>
      <c r="F202" s="472">
        <f>$F$10*'D) Ecrêtage'!M196</f>
        <v>1495607.8990127598</v>
      </c>
      <c r="G202" s="58">
        <f t="shared" si="2"/>
        <v>2990040.9965730337</v>
      </c>
    </row>
    <row r="203" spans="1:7" x14ac:dyDescent="0.25">
      <c r="A203" s="50">
        <f>'A) Base RI'!A199</f>
        <v>5720</v>
      </c>
      <c r="B203" s="301" t="str">
        <f>'A) Base RI'!B199</f>
        <v>Givrins</v>
      </c>
      <c r="C203" s="10">
        <f>'A) Base RI'!AN199</f>
        <v>1033</v>
      </c>
      <c r="D203" s="472">
        <f>'C) Prél. conj.'!H197</f>
        <v>162920.58499999999</v>
      </c>
      <c r="E203" s="10">
        <f>'D) Ecrêtage'!L197</f>
        <v>233252.41462081869</v>
      </c>
      <c r="F203" s="472">
        <f>$F$10*'D) Ecrêtage'!M197</f>
        <v>955077.39247845428</v>
      </c>
      <c r="G203" s="58">
        <f t="shared" si="2"/>
        <v>1351250.3920992729</v>
      </c>
    </row>
    <row r="204" spans="1:7" x14ac:dyDescent="0.25">
      <c r="A204" s="50">
        <f>'A) Base RI'!A200</f>
        <v>5721</v>
      </c>
      <c r="B204" s="301" t="str">
        <f>'A) Base RI'!B200</f>
        <v>Gland</v>
      </c>
      <c r="C204" s="10">
        <f>'A) Base RI'!AN200</f>
        <v>13101</v>
      </c>
      <c r="D204" s="472">
        <f>'C) Prél. conj.'!H198</f>
        <v>2085207.385</v>
      </c>
      <c r="E204" s="10">
        <f>'D) Ecrêtage'!L198</f>
        <v>0</v>
      </c>
      <c r="F204" s="472">
        <f>$F$10*'D) Ecrêtage'!M198</f>
        <v>9576404.7016110048</v>
      </c>
      <c r="G204" s="58">
        <f t="shared" ref="G204:G267" si="3">D204+F204+E204</f>
        <v>11661612.086611005</v>
      </c>
    </row>
    <row r="205" spans="1:7" x14ac:dyDescent="0.25">
      <c r="A205" s="50">
        <f>'A) Base RI'!A201</f>
        <v>5722</v>
      </c>
      <c r="B205" s="301" t="str">
        <f>'A) Base RI'!B201</f>
        <v>Grens</v>
      </c>
      <c r="C205" s="10">
        <f>'A) Base RI'!AN201</f>
        <v>391</v>
      </c>
      <c r="D205" s="472">
        <f>'C) Prél. conj.'!H199</f>
        <v>15397.595000000001</v>
      </c>
      <c r="E205" s="10">
        <f>'D) Ecrêtage'!L199</f>
        <v>10842.640889140237</v>
      </c>
      <c r="F205" s="472">
        <f>$F$10*'D) Ecrêtage'!M199</f>
        <v>323418.43072254874</v>
      </c>
      <c r="G205" s="58">
        <f t="shared" si="3"/>
        <v>349658.66661168897</v>
      </c>
    </row>
    <row r="206" spans="1:7" x14ac:dyDescent="0.25">
      <c r="A206" s="50">
        <f>'A) Base RI'!A202</f>
        <v>5723</v>
      </c>
      <c r="B206" s="301" t="str">
        <f>'A) Base RI'!B202</f>
        <v>Mies</v>
      </c>
      <c r="C206" s="10">
        <f>'A) Base RI'!AN202</f>
        <v>2075</v>
      </c>
      <c r="D206" s="472">
        <f>'C) Prél. conj.'!H200</f>
        <v>847447.18500000006</v>
      </c>
      <c r="E206" s="10">
        <f>'D) Ecrêtage'!L200</f>
        <v>11419381.372848121</v>
      </c>
      <c r="F206" s="472">
        <f>$F$10*'D) Ecrêtage'!M200</f>
        <v>5763976.981290034</v>
      </c>
      <c r="G206" s="58">
        <f t="shared" si="3"/>
        <v>18030805.539138153</v>
      </c>
    </row>
    <row r="207" spans="1:7" x14ac:dyDescent="0.25">
      <c r="A207" s="50">
        <f>'A) Base RI'!A203</f>
        <v>5724</v>
      </c>
      <c r="B207" s="301" t="str">
        <f>'A) Base RI'!B203</f>
        <v>Nyon</v>
      </c>
      <c r="C207" s="10">
        <f>'A) Base RI'!AN203</f>
        <v>21239</v>
      </c>
      <c r="D207" s="472">
        <f>'C) Prél. conj.'!H201</f>
        <v>5798147.5199999996</v>
      </c>
      <c r="E207" s="10">
        <f>'D) Ecrêtage'!L201</f>
        <v>3490981.6143018864</v>
      </c>
      <c r="F207" s="472">
        <f>$F$10*'D) Ecrêtage'!M201</f>
        <v>19158648.262999471</v>
      </c>
      <c r="G207" s="58">
        <f t="shared" si="3"/>
        <v>28447777.397301357</v>
      </c>
    </row>
    <row r="208" spans="1:7" x14ac:dyDescent="0.25">
      <c r="A208" s="50">
        <f>'A) Base RI'!A204</f>
        <v>5725</v>
      </c>
      <c r="B208" s="301" t="str">
        <f>'A) Base RI'!B204</f>
        <v>Prangins</v>
      </c>
      <c r="C208" s="10">
        <f>'A) Base RI'!AN204</f>
        <v>4040</v>
      </c>
      <c r="D208" s="472">
        <f>'C) Prél. conj.'!H202</f>
        <v>1434480.3599999999</v>
      </c>
      <c r="E208" s="10">
        <f>'D) Ecrêtage'!L202</f>
        <v>2276236.5957392948</v>
      </c>
      <c r="F208" s="472">
        <f>$F$10*'D) Ecrêtage'!M202</f>
        <v>4455332.4424981019</v>
      </c>
      <c r="G208" s="58">
        <f t="shared" si="3"/>
        <v>8166049.398237397</v>
      </c>
    </row>
    <row r="209" spans="1:7" x14ac:dyDescent="0.25">
      <c r="A209" s="50">
        <f>'A) Base RI'!A205</f>
        <v>5726</v>
      </c>
      <c r="B209" s="301" t="str">
        <f>'A) Base RI'!B205</f>
        <v>La Rippe</v>
      </c>
      <c r="C209" s="10">
        <f>'A) Base RI'!AN205</f>
        <v>1161</v>
      </c>
      <c r="D209" s="472">
        <f>'C) Prél. conj.'!H203</f>
        <v>58305.35</v>
      </c>
      <c r="E209" s="10">
        <f>'D) Ecrêtage'!L203</f>
        <v>0</v>
      </c>
      <c r="F209" s="472">
        <f>$F$10*'D) Ecrêtage'!M203</f>
        <v>875290.83264567005</v>
      </c>
      <c r="G209" s="58">
        <f t="shared" si="3"/>
        <v>933596.18264567002</v>
      </c>
    </row>
    <row r="210" spans="1:7" x14ac:dyDescent="0.25">
      <c r="A210" s="50">
        <f>'A) Base RI'!A206</f>
        <v>5727</v>
      </c>
      <c r="B210" s="301" t="str">
        <f>'A) Base RI'!B206</f>
        <v>Saint-Cergue</v>
      </c>
      <c r="C210" s="10">
        <f>'A) Base RI'!AN206</f>
        <v>2583</v>
      </c>
      <c r="D210" s="472">
        <f>'C) Prél. conj.'!H204</f>
        <v>310933.39</v>
      </c>
      <c r="E210" s="10">
        <f>'D) Ecrêtage'!L204</f>
        <v>0</v>
      </c>
      <c r="F210" s="472">
        <f>$F$10*'D) Ecrêtage'!M204</f>
        <v>1239956.1211504459</v>
      </c>
      <c r="G210" s="58">
        <f t="shared" si="3"/>
        <v>1550889.5111504458</v>
      </c>
    </row>
    <row r="211" spans="1:7" x14ac:dyDescent="0.25">
      <c r="A211" s="50">
        <f>'A) Base RI'!A207</f>
        <v>5728</v>
      </c>
      <c r="B211" s="301" t="str">
        <f>'A) Base RI'!B207</f>
        <v>Signy-Avenex</v>
      </c>
      <c r="C211" s="10">
        <f>'A) Base RI'!AN207</f>
        <v>592</v>
      </c>
      <c r="D211" s="472">
        <f>'C) Prél. conj.'!H205</f>
        <v>165818.345</v>
      </c>
      <c r="E211" s="10">
        <f>'D) Ecrêtage'!L205</f>
        <v>268153.44461633556</v>
      </c>
      <c r="F211" s="472">
        <f>$F$10*'D) Ecrêtage'!M205</f>
        <v>620217.01845391432</v>
      </c>
      <c r="G211" s="58">
        <f t="shared" si="3"/>
        <v>1054188.8080702499</v>
      </c>
    </row>
    <row r="212" spans="1:7" x14ac:dyDescent="0.25">
      <c r="A212" s="50">
        <f>'A) Base RI'!A208</f>
        <v>5729</v>
      </c>
      <c r="B212" s="301" t="str">
        <f>'A) Base RI'!B208</f>
        <v>Tannay</v>
      </c>
      <c r="C212" s="10">
        <f>'A) Base RI'!AN208</f>
        <v>1593</v>
      </c>
      <c r="D212" s="472">
        <f>'C) Prél. conj.'!H206</f>
        <v>269559.40000000002</v>
      </c>
      <c r="E212" s="10">
        <f>'D) Ecrêtage'!L206</f>
        <v>1504333.2853025352</v>
      </c>
      <c r="F212" s="472">
        <f>$F$10*'D) Ecrêtage'!M206</f>
        <v>1968219.7881856624</v>
      </c>
      <c r="G212" s="58">
        <f t="shared" si="3"/>
        <v>3742112.4734881977</v>
      </c>
    </row>
    <row r="213" spans="1:7" x14ac:dyDescent="0.25">
      <c r="A213" s="50">
        <f>'A) Base RI'!A209</f>
        <v>5730</v>
      </c>
      <c r="B213" s="301" t="str">
        <f>'A) Base RI'!B209</f>
        <v>Trélex</v>
      </c>
      <c r="C213" s="10">
        <f>'A) Base RI'!AN209</f>
        <v>1408</v>
      </c>
      <c r="D213" s="472">
        <f>'C) Prél. conj.'!H207</f>
        <v>274987.55499999999</v>
      </c>
      <c r="E213" s="10">
        <f>'D) Ecrêtage'!L207</f>
        <v>2204602.4509428041</v>
      </c>
      <c r="F213" s="472">
        <f>$F$10*'D) Ecrêtage'!M207</f>
        <v>2058427.6492606958</v>
      </c>
      <c r="G213" s="58">
        <f t="shared" si="3"/>
        <v>4538017.6552034998</v>
      </c>
    </row>
    <row r="214" spans="1:7" x14ac:dyDescent="0.25">
      <c r="A214" s="50">
        <f>'A) Base RI'!A210</f>
        <v>5731</v>
      </c>
      <c r="B214" s="301" t="str">
        <f>'A) Base RI'!B210</f>
        <v>Le Vaud</v>
      </c>
      <c r="C214" s="10">
        <f>'A) Base RI'!AN210</f>
        <v>1319</v>
      </c>
      <c r="D214" s="472">
        <f>'C) Prél. conj.'!H208</f>
        <v>371887.07000000007</v>
      </c>
      <c r="E214" s="10">
        <f>'D) Ecrêtage'!L208</f>
        <v>0</v>
      </c>
      <c r="F214" s="472">
        <f>$F$10*'D) Ecrêtage'!M208</f>
        <v>773028.96511335496</v>
      </c>
      <c r="G214" s="58">
        <f t="shared" si="3"/>
        <v>1144916.0351133551</v>
      </c>
    </row>
    <row r="215" spans="1:7" x14ac:dyDescent="0.25">
      <c r="A215" s="50">
        <f>'A) Base RI'!A211</f>
        <v>5732</v>
      </c>
      <c r="B215" s="301" t="str">
        <f>'A) Base RI'!B211</f>
        <v>Vich</v>
      </c>
      <c r="C215" s="10">
        <f>'A) Base RI'!AN211</f>
        <v>1039</v>
      </c>
      <c r="D215" s="472">
        <f>'C) Prél. conj.'!H209</f>
        <v>402859.76</v>
      </c>
      <c r="E215" s="10">
        <f>'D) Ecrêtage'!L209</f>
        <v>165733.91273129769</v>
      </c>
      <c r="F215" s="472">
        <f>$F$10*'D) Ecrêtage'!M209</f>
        <v>926366.61357088445</v>
      </c>
      <c r="G215" s="58">
        <f t="shared" si="3"/>
        <v>1494960.2863021824</v>
      </c>
    </row>
    <row r="216" spans="1:7" x14ac:dyDescent="0.25">
      <c r="A216" s="50">
        <f>'A) Base RI'!A212</f>
        <v>5741</v>
      </c>
      <c r="B216" s="301" t="str">
        <f>'A) Base RI'!B212</f>
        <v>L'Abergement</v>
      </c>
      <c r="C216" s="10">
        <f>'A) Base RI'!AN212</f>
        <v>248</v>
      </c>
      <c r="D216" s="472">
        <f>'C) Prél. conj.'!H210</f>
        <v>23818.375</v>
      </c>
      <c r="E216" s="10">
        <f>'D) Ecrêtage'!L210</f>
        <v>0</v>
      </c>
      <c r="F216" s="472">
        <f>$F$10*'D) Ecrêtage'!M210</f>
        <v>109211.31350517344</v>
      </c>
      <c r="G216" s="58">
        <f t="shared" si="3"/>
        <v>133029.68850517343</v>
      </c>
    </row>
    <row r="217" spans="1:7" x14ac:dyDescent="0.25">
      <c r="A217" s="50">
        <f>'A) Base RI'!A213</f>
        <v>5742</v>
      </c>
      <c r="B217" s="301" t="str">
        <f>'A) Base RI'!B213</f>
        <v>Agiez</v>
      </c>
      <c r="C217" s="10">
        <f>'A) Base RI'!AN213</f>
        <v>327</v>
      </c>
      <c r="D217" s="472">
        <f>'C) Prél. conj.'!H211</f>
        <v>10992.1</v>
      </c>
      <c r="E217" s="10">
        <f>'D) Ecrêtage'!L211</f>
        <v>0</v>
      </c>
      <c r="F217" s="472">
        <f>$F$10*'D) Ecrêtage'!M211</f>
        <v>133618.50535837718</v>
      </c>
      <c r="G217" s="58">
        <f t="shared" si="3"/>
        <v>144610.60535837719</v>
      </c>
    </row>
    <row r="218" spans="1:7" x14ac:dyDescent="0.25">
      <c r="A218" s="50">
        <f>'A) Base RI'!A214</f>
        <v>5743</v>
      </c>
      <c r="B218" s="301" t="str">
        <f>'A) Base RI'!B214</f>
        <v>Arnex-sur-Orbe</v>
      </c>
      <c r="C218" s="10">
        <f>'A) Base RI'!AN214</f>
        <v>631</v>
      </c>
      <c r="D218" s="472">
        <f>'C) Prél. conj.'!H212</f>
        <v>150112.63999999998</v>
      </c>
      <c r="E218" s="10">
        <f>'D) Ecrêtage'!L212</f>
        <v>0</v>
      </c>
      <c r="F218" s="472">
        <f>$F$10*'D) Ecrêtage'!M212</f>
        <v>268669.3818712685</v>
      </c>
      <c r="G218" s="58">
        <f t="shared" si="3"/>
        <v>418782.02187126852</v>
      </c>
    </row>
    <row r="219" spans="1:7" x14ac:dyDescent="0.25">
      <c r="A219" s="50">
        <f>'A) Base RI'!A215</f>
        <v>5744</v>
      </c>
      <c r="B219" s="301" t="str">
        <f>'A) Base RI'!B215</f>
        <v>Ballaigues</v>
      </c>
      <c r="C219" s="10">
        <f>'A) Base RI'!AN215</f>
        <v>1075</v>
      </c>
      <c r="D219" s="472">
        <f>'C) Prél. conj.'!H213</f>
        <v>436731.245</v>
      </c>
      <c r="E219" s="10">
        <f>'D) Ecrêtage'!L213</f>
        <v>0</v>
      </c>
      <c r="F219" s="472">
        <f>$F$10*'D) Ecrêtage'!M213</f>
        <v>673255.33896368637</v>
      </c>
      <c r="G219" s="58">
        <f t="shared" si="3"/>
        <v>1109986.5839636864</v>
      </c>
    </row>
    <row r="220" spans="1:7" x14ac:dyDescent="0.25">
      <c r="A220" s="50">
        <f>'A) Base RI'!A216</f>
        <v>5745</v>
      </c>
      <c r="B220" s="301" t="str">
        <f>'A) Base RI'!B216</f>
        <v>Baulmes</v>
      </c>
      <c r="C220" s="10">
        <f>'A) Base RI'!AN216</f>
        <v>1027</v>
      </c>
      <c r="D220" s="472">
        <f>'C) Prél. conj.'!H214</f>
        <v>213589.44500000001</v>
      </c>
      <c r="E220" s="10">
        <f>'D) Ecrêtage'!L214</f>
        <v>0</v>
      </c>
      <c r="F220" s="472">
        <f>$F$10*'D) Ecrêtage'!M214</f>
        <v>395605.39238188212</v>
      </c>
      <c r="G220" s="58">
        <f t="shared" si="3"/>
        <v>609194.83738188213</v>
      </c>
    </row>
    <row r="221" spans="1:7" x14ac:dyDescent="0.25">
      <c r="A221" s="50">
        <f>'A) Base RI'!A217</f>
        <v>5746</v>
      </c>
      <c r="B221" s="301" t="str">
        <f>'A) Base RI'!B217</f>
        <v>Bavois</v>
      </c>
      <c r="C221" s="10">
        <f>'A) Base RI'!AN217</f>
        <v>942</v>
      </c>
      <c r="D221" s="472">
        <f>'C) Prél. conj.'!H215</f>
        <v>71745.414999999994</v>
      </c>
      <c r="E221" s="10">
        <f>'D) Ecrêtage'!L215</f>
        <v>0</v>
      </c>
      <c r="F221" s="472">
        <f>$F$10*'D) Ecrêtage'!M215</f>
        <v>391433.4554362109</v>
      </c>
      <c r="G221" s="58">
        <f t="shared" si="3"/>
        <v>463178.87043621088</v>
      </c>
    </row>
    <row r="222" spans="1:7" x14ac:dyDescent="0.25">
      <c r="A222" s="50">
        <f>'A) Base RI'!A218</f>
        <v>5747</v>
      </c>
      <c r="B222" s="301" t="str">
        <f>'A) Base RI'!B218</f>
        <v>Bofflens</v>
      </c>
      <c r="C222" s="10">
        <f>'A) Base RI'!AN218</f>
        <v>196</v>
      </c>
      <c r="D222" s="472">
        <f>'C) Prél. conj.'!H216</f>
        <v>19512.3</v>
      </c>
      <c r="E222" s="10">
        <f>'D) Ecrêtage'!L216</f>
        <v>0</v>
      </c>
      <c r="F222" s="472">
        <f>$F$10*'D) Ecrêtage'!M216</f>
        <v>72942.305021885506</v>
      </c>
      <c r="G222" s="58">
        <f t="shared" si="3"/>
        <v>92454.605021885509</v>
      </c>
    </row>
    <row r="223" spans="1:7" x14ac:dyDescent="0.25">
      <c r="A223" s="50">
        <f>'A) Base RI'!A219</f>
        <v>5748</v>
      </c>
      <c r="B223" s="301" t="str">
        <f>'A) Base RI'!B219</f>
        <v>Bretonnières</v>
      </c>
      <c r="C223" s="10">
        <f>'A) Base RI'!AN219</f>
        <v>265</v>
      </c>
      <c r="D223" s="472">
        <f>'C) Prél. conj.'!H217</f>
        <v>23758.43</v>
      </c>
      <c r="E223" s="10">
        <f>'D) Ecrêtage'!L217</f>
        <v>0</v>
      </c>
      <c r="F223" s="472">
        <f>$F$10*'D) Ecrêtage'!M217</f>
        <v>81251.476554145833</v>
      </c>
      <c r="G223" s="58">
        <f t="shared" si="3"/>
        <v>105009.90655414583</v>
      </c>
    </row>
    <row r="224" spans="1:7" x14ac:dyDescent="0.25">
      <c r="A224" s="50">
        <f>'A) Base RI'!A220</f>
        <v>5749</v>
      </c>
      <c r="B224" s="301" t="str">
        <f>'A) Base RI'!B220</f>
        <v>Chavornay</v>
      </c>
      <c r="C224" s="10">
        <f>'A) Base RI'!AN220</f>
        <v>4996</v>
      </c>
      <c r="D224" s="472">
        <f>'C) Prél. conj.'!H218</f>
        <v>391750.61499999999</v>
      </c>
      <c r="E224" s="10">
        <f>'D) Ecrêtage'!L218</f>
        <v>0</v>
      </c>
      <c r="F224" s="472">
        <f>$F$10*'D) Ecrêtage'!M218</f>
        <v>2059695.0520242467</v>
      </c>
      <c r="G224" s="58">
        <f t="shared" si="3"/>
        <v>2451445.6670242464</v>
      </c>
    </row>
    <row r="225" spans="1:7" x14ac:dyDescent="0.25">
      <c r="A225" s="50">
        <f>'A) Base RI'!A221</f>
        <v>5750</v>
      </c>
      <c r="B225" s="301" t="str">
        <f>'A) Base RI'!B221</f>
        <v>Les Clées</v>
      </c>
      <c r="C225" s="10">
        <f>'A) Base RI'!AN221</f>
        <v>185</v>
      </c>
      <c r="D225" s="472">
        <f>'C) Prél. conj.'!H219</f>
        <v>87.474999999999994</v>
      </c>
      <c r="E225" s="10">
        <f>'D) Ecrêtage'!L219</f>
        <v>0</v>
      </c>
      <c r="F225" s="472">
        <f>$F$10*'D) Ecrêtage'!M219</f>
        <v>75427.923046001117</v>
      </c>
      <c r="G225" s="58">
        <f t="shared" si="3"/>
        <v>75515.398046001123</v>
      </c>
    </row>
    <row r="226" spans="1:7" x14ac:dyDescent="0.25">
      <c r="A226" s="50">
        <f>'A) Base RI'!A222</f>
        <v>5752</v>
      </c>
      <c r="B226" s="301" t="str">
        <f>'A) Base RI'!B222</f>
        <v>Croy</v>
      </c>
      <c r="C226" s="10">
        <f>'A) Base RI'!AN222</f>
        <v>404</v>
      </c>
      <c r="D226" s="472">
        <f>'C) Prél. conj.'!H220</f>
        <v>26844.854999999996</v>
      </c>
      <c r="E226" s="10">
        <f>'D) Ecrêtage'!L220</f>
        <v>0</v>
      </c>
      <c r="F226" s="472">
        <f>$F$10*'D) Ecrêtage'!M220</f>
        <v>157328.2274114897</v>
      </c>
      <c r="G226" s="58">
        <f t="shared" si="3"/>
        <v>184173.08241148968</v>
      </c>
    </row>
    <row r="227" spans="1:7" x14ac:dyDescent="0.25">
      <c r="A227" s="50">
        <f>'A) Base RI'!A223</f>
        <v>5754</v>
      </c>
      <c r="B227" s="301" t="str">
        <f>'A) Base RI'!B223</f>
        <v>Juriens</v>
      </c>
      <c r="C227" s="10">
        <f>'A) Base RI'!AN223</f>
        <v>308</v>
      </c>
      <c r="D227" s="472">
        <f>'C) Prél. conj.'!H221</f>
        <v>4741.415</v>
      </c>
      <c r="E227" s="10">
        <f>'D) Ecrêtage'!L221</f>
        <v>0</v>
      </c>
      <c r="F227" s="472">
        <f>$F$10*'D) Ecrêtage'!M221</f>
        <v>117574.83369767563</v>
      </c>
      <c r="G227" s="58">
        <f t="shared" si="3"/>
        <v>122316.24869767562</v>
      </c>
    </row>
    <row r="228" spans="1:7" x14ac:dyDescent="0.25">
      <c r="A228" s="50">
        <f>'A) Base RI'!A224</f>
        <v>5755</v>
      </c>
      <c r="B228" s="301" t="str">
        <f>'A) Base RI'!B224</f>
        <v>Lignerolle</v>
      </c>
      <c r="C228" s="10">
        <f>'A) Base RI'!AN224</f>
        <v>422</v>
      </c>
      <c r="D228" s="472">
        <f>'C) Prél. conj.'!H222</f>
        <v>21200.71</v>
      </c>
      <c r="E228" s="10">
        <f>'D) Ecrêtage'!L222</f>
        <v>0</v>
      </c>
      <c r="F228" s="472">
        <f>$F$10*'D) Ecrêtage'!M222</f>
        <v>140235.92411758748</v>
      </c>
      <c r="G228" s="58">
        <f t="shared" si="3"/>
        <v>161436.63411758747</v>
      </c>
    </row>
    <row r="229" spans="1:7" x14ac:dyDescent="0.25">
      <c r="A229" s="50">
        <f>'A) Base RI'!A225</f>
        <v>5756</v>
      </c>
      <c r="B229" s="301" t="str">
        <f>'A) Base RI'!B225</f>
        <v>Montcherand</v>
      </c>
      <c r="C229" s="10">
        <f>'A) Base RI'!AN225</f>
        <v>489</v>
      </c>
      <c r="D229" s="472">
        <f>'C) Prél. conj.'!H223</f>
        <v>14497.92</v>
      </c>
      <c r="E229" s="10">
        <f>'D) Ecrêtage'!L223</f>
        <v>0</v>
      </c>
      <c r="F229" s="472">
        <f>$F$10*'D) Ecrêtage'!M223</f>
        <v>231824.85583947424</v>
      </c>
      <c r="G229" s="58">
        <f t="shared" si="3"/>
        <v>246322.77583947426</v>
      </c>
    </row>
    <row r="230" spans="1:7" x14ac:dyDescent="0.25">
      <c r="A230" s="50">
        <f>'A) Base RI'!A226</f>
        <v>5757</v>
      </c>
      <c r="B230" s="301" t="str">
        <f>'A) Base RI'!B226</f>
        <v>Orbe</v>
      </c>
      <c r="C230" s="10">
        <f>'A) Base RI'!AN226</f>
        <v>6942</v>
      </c>
      <c r="D230" s="472">
        <f>'C) Prél. conj.'!H224</f>
        <v>1422097.19</v>
      </c>
      <c r="E230" s="10">
        <f>'D) Ecrêtage'!L224</f>
        <v>0</v>
      </c>
      <c r="F230" s="472">
        <f>$F$10*'D) Ecrêtage'!M224</f>
        <v>3329242.4444347997</v>
      </c>
      <c r="G230" s="58">
        <f t="shared" si="3"/>
        <v>4751339.6344347997</v>
      </c>
    </row>
    <row r="231" spans="1:7" x14ac:dyDescent="0.25">
      <c r="A231" s="50">
        <f>'A) Base RI'!A227</f>
        <v>5758</v>
      </c>
      <c r="B231" s="301" t="str">
        <f>'A) Base RI'!B227</f>
        <v>La Praz</v>
      </c>
      <c r="C231" s="10">
        <f>'A) Base RI'!AN227</f>
        <v>165</v>
      </c>
      <c r="D231" s="472">
        <f>'C) Prél. conj.'!H225</f>
        <v>32639.824999999997</v>
      </c>
      <c r="E231" s="10">
        <f>'D) Ecrêtage'!L225</f>
        <v>0</v>
      </c>
      <c r="F231" s="472">
        <f>$F$10*'D) Ecrêtage'!M225</f>
        <v>65143.442355289684</v>
      </c>
      <c r="G231" s="58">
        <f t="shared" si="3"/>
        <v>97783.267355289689</v>
      </c>
    </row>
    <row r="232" spans="1:7" x14ac:dyDescent="0.25">
      <c r="A232" s="50">
        <f>'A) Base RI'!A228</f>
        <v>5759</v>
      </c>
      <c r="B232" s="301" t="str">
        <f>'A) Base RI'!B228</f>
        <v>Premier</v>
      </c>
      <c r="C232" s="10">
        <f>'A) Base RI'!AN228</f>
        <v>213</v>
      </c>
      <c r="D232" s="472">
        <f>'C) Prél. conj.'!H226</f>
        <v>30606.440000000002</v>
      </c>
      <c r="E232" s="10">
        <f>'D) Ecrêtage'!L226</f>
        <v>0</v>
      </c>
      <c r="F232" s="472">
        <f>$F$10*'D) Ecrêtage'!M226</f>
        <v>69419.668691193117</v>
      </c>
      <c r="G232" s="58">
        <f t="shared" si="3"/>
        <v>100026.10869119312</v>
      </c>
    </row>
    <row r="233" spans="1:7" x14ac:dyDescent="0.25">
      <c r="A233" s="50">
        <f>'A) Base RI'!A229</f>
        <v>5760</v>
      </c>
      <c r="B233" s="301" t="str">
        <f>'A) Base RI'!B229</f>
        <v>Rances</v>
      </c>
      <c r="C233" s="10">
        <f>'A) Base RI'!AN229</f>
        <v>482</v>
      </c>
      <c r="D233" s="472">
        <f>'C) Prél. conj.'!H227</f>
        <v>43182.195000000007</v>
      </c>
      <c r="E233" s="10">
        <f>'D) Ecrêtage'!L227</f>
        <v>0</v>
      </c>
      <c r="F233" s="472">
        <f>$F$10*'D) Ecrêtage'!M227</f>
        <v>167201.42500261511</v>
      </c>
      <c r="G233" s="58">
        <f t="shared" si="3"/>
        <v>210383.62000261512</v>
      </c>
    </row>
    <row r="234" spans="1:7" x14ac:dyDescent="0.25">
      <c r="A234" s="50">
        <f>'A) Base RI'!A230</f>
        <v>5761</v>
      </c>
      <c r="B234" s="301" t="str">
        <f>'A) Base RI'!B230</f>
        <v>Romainmôtier-Envy</v>
      </c>
      <c r="C234" s="10">
        <f>'A) Base RI'!AN230</f>
        <v>540</v>
      </c>
      <c r="D234" s="472">
        <f>'C) Prél. conj.'!H228</f>
        <v>57659.57</v>
      </c>
      <c r="E234" s="10">
        <f>'D) Ecrêtage'!L228</f>
        <v>0</v>
      </c>
      <c r="F234" s="472">
        <f>$F$10*'D) Ecrêtage'!M228</f>
        <v>217174.81083778109</v>
      </c>
      <c r="G234" s="58">
        <f t="shared" si="3"/>
        <v>274834.38083778106</v>
      </c>
    </row>
    <row r="235" spans="1:7" x14ac:dyDescent="0.25">
      <c r="A235" s="50">
        <f>'A) Base RI'!A231</f>
        <v>5762</v>
      </c>
      <c r="B235" s="301" t="str">
        <f>'A) Base RI'!B231</f>
        <v>Sergey</v>
      </c>
      <c r="C235" s="10">
        <f>'A) Base RI'!AN231</f>
        <v>146</v>
      </c>
      <c r="D235" s="472">
        <f>'C) Prél. conj.'!H229</f>
        <v>2129.59</v>
      </c>
      <c r="E235" s="10">
        <f>'D) Ecrêtage'!L229</f>
        <v>0</v>
      </c>
      <c r="F235" s="472">
        <f>$F$10*'D) Ecrêtage'!M229</f>
        <v>55848.418149516656</v>
      </c>
      <c r="G235" s="58">
        <f t="shared" si="3"/>
        <v>57978.008149516652</v>
      </c>
    </row>
    <row r="236" spans="1:7" x14ac:dyDescent="0.25">
      <c r="A236" s="50">
        <f>'A) Base RI'!A232</f>
        <v>5763</v>
      </c>
      <c r="B236" s="301" t="str">
        <f>'A) Base RI'!B232</f>
        <v>Valeyres-sous-Rances</v>
      </c>
      <c r="C236" s="10">
        <f>'A) Base RI'!AN232</f>
        <v>622</v>
      </c>
      <c r="D236" s="472">
        <f>'C) Prél. conj.'!H230</f>
        <v>5347.1650000000009</v>
      </c>
      <c r="E236" s="10">
        <f>'D) Ecrêtage'!L230</f>
        <v>0</v>
      </c>
      <c r="F236" s="472">
        <f>$F$10*'D) Ecrêtage'!M230</f>
        <v>307889.11147941503</v>
      </c>
      <c r="G236" s="58">
        <f t="shared" si="3"/>
        <v>313236.27647941501</v>
      </c>
    </row>
    <row r="237" spans="1:7" x14ac:dyDescent="0.25">
      <c r="A237" s="50">
        <f>'A) Base RI'!A233</f>
        <v>5764</v>
      </c>
      <c r="B237" s="301" t="str">
        <f>'A) Base RI'!B233</f>
        <v>Vallorbe</v>
      </c>
      <c r="C237" s="10">
        <f>'A) Base RI'!AN233</f>
        <v>3852</v>
      </c>
      <c r="D237" s="472">
        <f>'C) Prél. conj.'!H231</f>
        <v>863754.78999999992</v>
      </c>
      <c r="E237" s="10">
        <f>'D) Ecrêtage'!L231</f>
        <v>0</v>
      </c>
      <c r="F237" s="472">
        <f>$F$10*'D) Ecrêtage'!M231</f>
        <v>1262503.9433335077</v>
      </c>
      <c r="G237" s="58">
        <f t="shared" si="3"/>
        <v>2126258.7333335076</v>
      </c>
    </row>
    <row r="238" spans="1:7" x14ac:dyDescent="0.25">
      <c r="A238" s="50">
        <f>'A) Base RI'!A234</f>
        <v>5765</v>
      </c>
      <c r="B238" s="301" t="str">
        <f>'A) Base RI'!B234</f>
        <v>Vaulion</v>
      </c>
      <c r="C238" s="10">
        <f>'A) Base RI'!AN234</f>
        <v>469</v>
      </c>
      <c r="D238" s="472">
        <f>'C) Prél. conj.'!H232</f>
        <v>40990.724999999999</v>
      </c>
      <c r="E238" s="10">
        <f>'D) Ecrêtage'!L232</f>
        <v>0</v>
      </c>
      <c r="F238" s="472">
        <f>$F$10*'D) Ecrêtage'!M232</f>
        <v>143964.9977797805</v>
      </c>
      <c r="G238" s="58">
        <f t="shared" si="3"/>
        <v>184955.72277978051</v>
      </c>
    </row>
    <row r="239" spans="1:7" x14ac:dyDescent="0.25">
      <c r="A239" s="50">
        <f>'A) Base RI'!A235</f>
        <v>5766</v>
      </c>
      <c r="B239" s="301" t="str">
        <f>'A) Base RI'!B235</f>
        <v>Vuiteboeuf</v>
      </c>
      <c r="C239" s="10">
        <f>'A) Base RI'!AN235</f>
        <v>584</v>
      </c>
      <c r="D239" s="472">
        <f>'C) Prél. conj.'!H233</f>
        <v>28014.44</v>
      </c>
      <c r="E239" s="10">
        <f>'D) Ecrêtage'!L233</f>
        <v>0</v>
      </c>
      <c r="F239" s="472">
        <f>$F$10*'D) Ecrêtage'!M233</f>
        <v>195120.51464122743</v>
      </c>
      <c r="G239" s="58">
        <f t="shared" si="3"/>
        <v>223134.95464122744</v>
      </c>
    </row>
    <row r="240" spans="1:7" x14ac:dyDescent="0.25">
      <c r="A240" s="50">
        <f>'A) Base RI'!A236</f>
        <v>5785</v>
      </c>
      <c r="B240" s="301" t="str">
        <f>'A) Base RI'!B236</f>
        <v>Corcelles-le-Jorat</v>
      </c>
      <c r="C240" s="10">
        <f>'A) Base RI'!AN236</f>
        <v>445</v>
      </c>
      <c r="D240" s="472">
        <f>'C) Prél. conj.'!H234</f>
        <v>25727.125</v>
      </c>
      <c r="E240" s="10">
        <f>'D) Ecrêtage'!L234</f>
        <v>0</v>
      </c>
      <c r="F240" s="472">
        <f>$F$10*'D) Ecrêtage'!M234</f>
        <v>228976.33722543277</v>
      </c>
      <c r="G240" s="58">
        <f t="shared" si="3"/>
        <v>254703.46222543277</v>
      </c>
    </row>
    <row r="241" spans="1:7" x14ac:dyDescent="0.25">
      <c r="A241" s="50">
        <f>'A) Base RI'!A237</f>
        <v>5788</v>
      </c>
      <c r="B241" s="301" t="str">
        <f>'A) Base RI'!B237</f>
        <v>Essertes</v>
      </c>
      <c r="C241" s="10">
        <f>'A) Base RI'!AN237</f>
        <v>374</v>
      </c>
      <c r="D241" s="472">
        <f>'C) Prél. conj.'!H235</f>
        <v>23265.525000000001</v>
      </c>
      <c r="E241" s="10">
        <f>'D) Ecrêtage'!L235</f>
        <v>0</v>
      </c>
      <c r="F241" s="472">
        <f>$F$10*'D) Ecrêtage'!M235</f>
        <v>174833.58687885734</v>
      </c>
      <c r="G241" s="58">
        <f t="shared" si="3"/>
        <v>198099.11187885734</v>
      </c>
    </row>
    <row r="242" spans="1:7" x14ac:dyDescent="0.25">
      <c r="A242" s="50">
        <f>'A) Base RI'!A238</f>
        <v>5790</v>
      </c>
      <c r="B242" s="301" t="str">
        <f>'A) Base RI'!B238</f>
        <v>Maracon</v>
      </c>
      <c r="C242" s="10">
        <f>'A) Base RI'!AN238</f>
        <v>492</v>
      </c>
      <c r="D242" s="472">
        <f>'C) Prél. conj.'!H236</f>
        <v>68514.989999999991</v>
      </c>
      <c r="E242" s="10">
        <f>'D) Ecrêtage'!L236</f>
        <v>0</v>
      </c>
      <c r="F242" s="472">
        <f>$F$10*'D) Ecrêtage'!M236</f>
        <v>194434.82076321697</v>
      </c>
      <c r="G242" s="58">
        <f t="shared" si="3"/>
        <v>262949.81076321693</v>
      </c>
    </row>
    <row r="243" spans="1:7" x14ac:dyDescent="0.25">
      <c r="A243" s="50">
        <f>'A) Base RI'!A239</f>
        <v>5792</v>
      </c>
      <c r="B243" s="301" t="str">
        <f>'A) Base RI'!B239</f>
        <v>Montpreveyres</v>
      </c>
      <c r="C243" s="10">
        <f>'A) Base RI'!AN239</f>
        <v>643</v>
      </c>
      <c r="D243" s="472">
        <f>'C) Prél. conj.'!H237</f>
        <v>70587.72</v>
      </c>
      <c r="E243" s="10">
        <f>'D) Ecrêtage'!L237</f>
        <v>0</v>
      </c>
      <c r="F243" s="472">
        <f>$F$10*'D) Ecrêtage'!M237</f>
        <v>274382.35297949007</v>
      </c>
      <c r="G243" s="58">
        <f t="shared" si="3"/>
        <v>344970.07297949004</v>
      </c>
    </row>
    <row r="244" spans="1:7" x14ac:dyDescent="0.25">
      <c r="A244" s="50">
        <f>'A) Base RI'!A240</f>
        <v>5798</v>
      </c>
      <c r="B244" s="301" t="str">
        <f>'A) Base RI'!B240</f>
        <v>Ropraz</v>
      </c>
      <c r="C244" s="10">
        <f>'A) Base RI'!AN240</f>
        <v>494</v>
      </c>
      <c r="D244" s="472">
        <f>'C) Prél. conj.'!H238</f>
        <v>49013.630000000005</v>
      </c>
      <c r="E244" s="10">
        <f>'D) Ecrêtage'!L238</f>
        <v>0</v>
      </c>
      <c r="F244" s="472">
        <f>$F$10*'D) Ecrêtage'!M238</f>
        <v>201393.18237487221</v>
      </c>
      <c r="G244" s="58">
        <f t="shared" si="3"/>
        <v>250406.81237487221</v>
      </c>
    </row>
    <row r="245" spans="1:7" x14ac:dyDescent="0.25">
      <c r="A245" s="50">
        <f>'A) Base RI'!A241</f>
        <v>5799</v>
      </c>
      <c r="B245" s="301" t="str">
        <f>'A) Base RI'!B241</f>
        <v>Servion</v>
      </c>
      <c r="C245" s="10">
        <f>'A) Base RI'!AN241</f>
        <v>1942</v>
      </c>
      <c r="D245" s="472">
        <f>'C) Prél. conj.'!H239</f>
        <v>318076.18</v>
      </c>
      <c r="E245" s="10">
        <f>'D) Ecrêtage'!L239</f>
        <v>0</v>
      </c>
      <c r="F245" s="472">
        <f>$F$10*'D) Ecrêtage'!M239</f>
        <v>1014461.3714659648</v>
      </c>
      <c r="G245" s="58">
        <f t="shared" si="3"/>
        <v>1332537.5514659649</v>
      </c>
    </row>
    <row r="246" spans="1:7" x14ac:dyDescent="0.25">
      <c r="A246" s="50">
        <f>'A) Base RI'!A242</f>
        <v>5803</v>
      </c>
      <c r="B246" s="301" t="str">
        <f>'A) Base RI'!B242</f>
        <v>Vulliens</v>
      </c>
      <c r="C246" s="10">
        <f>'A) Base RI'!AN242</f>
        <v>595</v>
      </c>
      <c r="D246" s="472">
        <f>'C) Prél. conj.'!H240</f>
        <v>65594.975000000006</v>
      </c>
      <c r="E246" s="10">
        <f>'D) Ecrêtage'!L240</f>
        <v>0</v>
      </c>
      <c r="F246" s="472">
        <f>$F$10*'D) Ecrêtage'!M240</f>
        <v>243164.11959504659</v>
      </c>
      <c r="G246" s="58">
        <f t="shared" si="3"/>
        <v>308759.0945950466</v>
      </c>
    </row>
    <row r="247" spans="1:7" x14ac:dyDescent="0.25">
      <c r="A247" s="50">
        <f>'A) Base RI'!A243</f>
        <v>5804</v>
      </c>
      <c r="B247" s="301" t="str">
        <f>'A) Base RI'!B243</f>
        <v>Jorat-Menthue</v>
      </c>
      <c r="C247" s="10">
        <f>'A) Base RI'!AN243</f>
        <v>1586</v>
      </c>
      <c r="D247" s="472">
        <f>'C) Prél. conj.'!H241</f>
        <v>49945.405000000006</v>
      </c>
      <c r="E247" s="10">
        <f>'D) Ecrêtage'!L241</f>
        <v>0</v>
      </c>
      <c r="F247" s="472">
        <f>$F$10*'D) Ecrêtage'!M241</f>
        <v>695847.95708787302</v>
      </c>
      <c r="G247" s="58">
        <f t="shared" si="3"/>
        <v>745793.36208787304</v>
      </c>
    </row>
    <row r="248" spans="1:7" x14ac:dyDescent="0.25">
      <c r="A248" s="50">
        <f>'A) Base RI'!A244</f>
        <v>5805</v>
      </c>
      <c r="B248" s="301" t="str">
        <f>'A) Base RI'!B244</f>
        <v>Oron</v>
      </c>
      <c r="C248" s="10">
        <f>'A) Base RI'!AN244</f>
        <v>5501</v>
      </c>
      <c r="D248" s="472">
        <f>'C) Prél. conj.'!H242</f>
        <v>616695.32500000007</v>
      </c>
      <c r="E248" s="10">
        <f>'D) Ecrêtage'!L242</f>
        <v>0</v>
      </c>
      <c r="F248" s="472">
        <f>$F$10*'D) Ecrêtage'!M242</f>
        <v>2302115.5179001321</v>
      </c>
      <c r="G248" s="58">
        <f t="shared" si="3"/>
        <v>2918810.8429001323</v>
      </c>
    </row>
    <row r="249" spans="1:7" x14ac:dyDescent="0.25">
      <c r="A249" s="50">
        <f>'A) Base RI'!A245</f>
        <v>5806</v>
      </c>
      <c r="B249" s="301" t="str">
        <f>'A) Base RI'!B245</f>
        <v>Jorat-Mézières</v>
      </c>
      <c r="C249" s="10">
        <f>'A) Base RI'!AN245</f>
        <v>2869</v>
      </c>
      <c r="D249" s="472">
        <f>'C) Prél. conj.'!H243</f>
        <v>341256.73</v>
      </c>
      <c r="E249" s="10">
        <f>'D) Ecrêtage'!L243</f>
        <v>0</v>
      </c>
      <c r="F249" s="472">
        <f>$F$10*'D) Ecrêtage'!M243</f>
        <v>1325157.9622904896</v>
      </c>
      <c r="G249" s="58">
        <f t="shared" si="3"/>
        <v>1666414.6922904896</v>
      </c>
    </row>
    <row r="250" spans="1:7" x14ac:dyDescent="0.25">
      <c r="A250" s="50">
        <f>'A) Base RI'!A246</f>
        <v>5812</v>
      </c>
      <c r="B250" s="301" t="str">
        <f>'A) Base RI'!B246</f>
        <v>Champtauroz</v>
      </c>
      <c r="C250" s="10">
        <f>'A) Base RI'!AN246</f>
        <v>122</v>
      </c>
      <c r="D250" s="472">
        <f>'C) Prél. conj.'!H244</f>
        <v>10451.675000000001</v>
      </c>
      <c r="E250" s="10">
        <f>'D) Ecrêtage'!L244</f>
        <v>0</v>
      </c>
      <c r="F250" s="472">
        <f>$F$10*'D) Ecrêtage'!M244</f>
        <v>35482.260944489484</v>
      </c>
      <c r="G250" s="58">
        <f t="shared" si="3"/>
        <v>45933.935944489487</v>
      </c>
    </row>
    <row r="251" spans="1:7" x14ac:dyDescent="0.25">
      <c r="A251" s="50">
        <f>'A) Base RI'!A247</f>
        <v>5813</v>
      </c>
      <c r="B251" s="301" t="str">
        <f>'A) Base RI'!B247</f>
        <v>Chevroux</v>
      </c>
      <c r="C251" s="10">
        <f>'A) Base RI'!AN247</f>
        <v>480</v>
      </c>
      <c r="D251" s="472">
        <f>'C) Prél. conj.'!H245</f>
        <v>86278.05</v>
      </c>
      <c r="E251" s="10">
        <f>'D) Ecrêtage'!L245</f>
        <v>0</v>
      </c>
      <c r="F251" s="472">
        <f>$F$10*'D) Ecrêtage'!M245</f>
        <v>191873.54827618357</v>
      </c>
      <c r="G251" s="58">
        <f t="shared" si="3"/>
        <v>278151.59827618359</v>
      </c>
    </row>
    <row r="252" spans="1:7" x14ac:dyDescent="0.25">
      <c r="A252" s="50">
        <f>'A) Base RI'!A248</f>
        <v>5816</v>
      </c>
      <c r="B252" s="301" t="str">
        <f>'A) Base RI'!B248</f>
        <v>Corcelles-près-Payerne</v>
      </c>
      <c r="C252" s="10">
        <f>'A) Base RI'!AN248</f>
        <v>2479</v>
      </c>
      <c r="D252" s="472">
        <f>'C) Prél. conj.'!H246</f>
        <v>130775.41500000001</v>
      </c>
      <c r="E252" s="10">
        <f>'D) Ecrêtage'!L246</f>
        <v>0</v>
      </c>
      <c r="F252" s="472">
        <f>$F$10*'D) Ecrêtage'!M246</f>
        <v>822968.02468181611</v>
      </c>
      <c r="G252" s="58">
        <f t="shared" si="3"/>
        <v>953743.43968181615</v>
      </c>
    </row>
    <row r="253" spans="1:7" x14ac:dyDescent="0.25">
      <c r="A253" s="50">
        <f>'A) Base RI'!A249</f>
        <v>5817</v>
      </c>
      <c r="B253" s="301" t="str">
        <f>'A) Base RI'!B249</f>
        <v>Grandcour</v>
      </c>
      <c r="C253" s="10">
        <f>'A) Base RI'!AN249</f>
        <v>929</v>
      </c>
      <c r="D253" s="472">
        <f>'C) Prél. conj.'!H247</f>
        <v>133381.57500000001</v>
      </c>
      <c r="E253" s="10">
        <f>'D) Ecrêtage'!L247</f>
        <v>0</v>
      </c>
      <c r="F253" s="472">
        <f>$F$10*'D) Ecrêtage'!M247</f>
        <v>344904.50660773151</v>
      </c>
      <c r="G253" s="58">
        <f t="shared" si="3"/>
        <v>478286.08160773152</v>
      </c>
    </row>
    <row r="254" spans="1:7" x14ac:dyDescent="0.25">
      <c r="A254" s="50">
        <f>'A) Base RI'!A250</f>
        <v>5819</v>
      </c>
      <c r="B254" s="301" t="str">
        <f>'A) Base RI'!B250</f>
        <v>Henniez</v>
      </c>
      <c r="C254" s="10">
        <f>'A) Base RI'!AN250</f>
        <v>341</v>
      </c>
      <c r="D254" s="472">
        <f>'C) Prél. conj.'!H248</f>
        <v>38130.724999999999</v>
      </c>
      <c r="E254" s="10">
        <f>'D) Ecrêtage'!L248</f>
        <v>0</v>
      </c>
      <c r="F254" s="472">
        <f>$F$10*'D) Ecrêtage'!M248</f>
        <v>198375.65107519089</v>
      </c>
      <c r="G254" s="58">
        <f t="shared" si="3"/>
        <v>236506.3760751909</v>
      </c>
    </row>
    <row r="255" spans="1:7" x14ac:dyDescent="0.25">
      <c r="A255" s="50">
        <f>'A) Base RI'!A251</f>
        <v>5821</v>
      </c>
      <c r="B255" s="301" t="str">
        <f>'A) Base RI'!B251</f>
        <v>Missy</v>
      </c>
      <c r="C255" s="10">
        <f>'A) Base RI'!AN251</f>
        <v>368</v>
      </c>
      <c r="D255" s="472">
        <f>'C) Prél. conj.'!H249</f>
        <v>15106.025</v>
      </c>
      <c r="E255" s="10">
        <f>'D) Ecrêtage'!L249</f>
        <v>0</v>
      </c>
      <c r="F255" s="472">
        <f>$F$10*'D) Ecrêtage'!M249</f>
        <v>125879.56162542735</v>
      </c>
      <c r="G255" s="58">
        <f t="shared" si="3"/>
        <v>140985.58662542736</v>
      </c>
    </row>
    <row r="256" spans="1:7" x14ac:dyDescent="0.25">
      <c r="A256" s="50">
        <f>'A) Base RI'!A252</f>
        <v>5822</v>
      </c>
      <c r="B256" s="301" t="str">
        <f>'A) Base RI'!B252</f>
        <v>Payerne</v>
      </c>
      <c r="C256" s="10">
        <f>'A) Base RI'!AN252</f>
        <v>9971</v>
      </c>
      <c r="D256" s="472">
        <f>'C) Prél. conj.'!H250</f>
        <v>742157.56500000006</v>
      </c>
      <c r="E256" s="10">
        <f>'D) Ecrêtage'!L250</f>
        <v>0</v>
      </c>
      <c r="F256" s="472">
        <f>$F$10*'D) Ecrêtage'!M250</f>
        <v>3647810.0581436004</v>
      </c>
      <c r="G256" s="58">
        <f t="shared" si="3"/>
        <v>4389967.6231436003</v>
      </c>
    </row>
    <row r="257" spans="1:7" x14ac:dyDescent="0.25">
      <c r="A257" s="50">
        <f>'A) Base RI'!A253</f>
        <v>5827</v>
      </c>
      <c r="B257" s="301" t="str">
        <f>'A) Base RI'!B253</f>
        <v>Trey</v>
      </c>
      <c r="C257" s="10">
        <f>'A) Base RI'!AN253</f>
        <v>267</v>
      </c>
      <c r="D257" s="472">
        <f>'C) Prél. conj.'!H251</f>
        <v>19127.75</v>
      </c>
      <c r="E257" s="10">
        <f>'D) Ecrêtage'!L251</f>
        <v>0</v>
      </c>
      <c r="F257" s="472">
        <f>$F$10*'D) Ecrêtage'!M251</f>
        <v>105766.12631407175</v>
      </c>
      <c r="G257" s="58">
        <f t="shared" si="3"/>
        <v>124893.87631407175</v>
      </c>
    </row>
    <row r="258" spans="1:7" x14ac:dyDescent="0.25">
      <c r="A258" s="50">
        <f>'A) Base RI'!A254</f>
        <v>5828</v>
      </c>
      <c r="B258" s="301" t="str">
        <f>'A) Base RI'!B254</f>
        <v>Treytorrens (Payerne)</v>
      </c>
      <c r="C258" s="10">
        <f>'A) Base RI'!AN254</f>
        <v>119</v>
      </c>
      <c r="D258" s="472">
        <f>'C) Prél. conj.'!H252</f>
        <v>10937.95</v>
      </c>
      <c r="E258" s="10">
        <f>'D) Ecrêtage'!L252</f>
        <v>0</v>
      </c>
      <c r="F258" s="472">
        <f>$F$10*'D) Ecrêtage'!M252</f>
        <v>39098.47656907796</v>
      </c>
      <c r="G258" s="58">
        <f t="shared" si="3"/>
        <v>50036.426569077958</v>
      </c>
    </row>
    <row r="259" spans="1:7" x14ac:dyDescent="0.25">
      <c r="A259" s="50">
        <f>'A) Base RI'!A255</f>
        <v>5830</v>
      </c>
      <c r="B259" s="301" t="str">
        <f>'A) Base RI'!B255</f>
        <v>Villarzel</v>
      </c>
      <c r="C259" s="10">
        <f>'A) Base RI'!AN255</f>
        <v>446</v>
      </c>
      <c r="D259" s="472">
        <f>'C) Prél. conj.'!H253</f>
        <v>29044.075000000001</v>
      </c>
      <c r="E259" s="10">
        <f>'D) Ecrêtage'!L253</f>
        <v>0</v>
      </c>
      <c r="F259" s="472">
        <f>$F$10*'D) Ecrêtage'!M253</f>
        <v>177587.88428191692</v>
      </c>
      <c r="G259" s="58">
        <f t="shared" si="3"/>
        <v>206631.95928191693</v>
      </c>
    </row>
    <row r="260" spans="1:7" x14ac:dyDescent="0.25">
      <c r="A260" s="50">
        <f>'A) Base RI'!A256</f>
        <v>5831</v>
      </c>
      <c r="B260" s="301" t="str">
        <f>'A) Base RI'!B256</f>
        <v>Valbroye</v>
      </c>
      <c r="C260" s="10">
        <f>'A) Base RI'!AN256</f>
        <v>3174</v>
      </c>
      <c r="D260" s="472">
        <f>'C) Prél. conj.'!H254</f>
        <v>344584.625</v>
      </c>
      <c r="E260" s="10">
        <f>'D) Ecrêtage'!L254</f>
        <v>0</v>
      </c>
      <c r="F260" s="472">
        <f>$F$10*'D) Ecrêtage'!M254</f>
        <v>1257693.3507041733</v>
      </c>
      <c r="G260" s="58">
        <f t="shared" si="3"/>
        <v>1602277.9757041733</v>
      </c>
    </row>
    <row r="261" spans="1:7" x14ac:dyDescent="0.25">
      <c r="A261" s="50">
        <f>'A) Base RI'!A257</f>
        <v>5841</v>
      </c>
      <c r="B261" s="301" t="str">
        <f>'A) Base RI'!B257</f>
        <v>Château-d'Oex</v>
      </c>
      <c r="C261" s="10">
        <f>'A) Base RI'!AN257</f>
        <v>3460</v>
      </c>
      <c r="D261" s="472">
        <f>'C) Prél. conj.'!H255</f>
        <v>500686.88999999996</v>
      </c>
      <c r="E261" s="10">
        <f>'D) Ecrêtage'!L255</f>
        <v>0</v>
      </c>
      <c r="F261" s="472">
        <f>$F$10*'D) Ecrêtage'!M255</f>
        <v>1729350.1381045773</v>
      </c>
      <c r="G261" s="58">
        <f t="shared" si="3"/>
        <v>2230037.0281045772</v>
      </c>
    </row>
    <row r="262" spans="1:7" x14ac:dyDescent="0.25">
      <c r="A262" s="50">
        <f>'A) Base RI'!A258</f>
        <v>5842</v>
      </c>
      <c r="B262" s="301" t="str">
        <f>'A) Base RI'!B258</f>
        <v>Rossinière</v>
      </c>
      <c r="C262" s="10">
        <f>'A) Base RI'!AN258</f>
        <v>548</v>
      </c>
      <c r="D262" s="472">
        <f>'C) Prél. conj.'!H256</f>
        <v>55351.7</v>
      </c>
      <c r="E262" s="10">
        <f>'D) Ecrêtage'!L256</f>
        <v>0</v>
      </c>
      <c r="F262" s="472">
        <f>$F$10*'D) Ecrêtage'!M256</f>
        <v>236714.76024976527</v>
      </c>
      <c r="G262" s="58">
        <f t="shared" si="3"/>
        <v>292066.46024976525</v>
      </c>
    </row>
    <row r="263" spans="1:7" x14ac:dyDescent="0.25">
      <c r="A263" s="50">
        <f>'A) Base RI'!A259</f>
        <v>5843</v>
      </c>
      <c r="B263" s="301" t="str">
        <f>'A) Base RI'!B259</f>
        <v>Rougemont</v>
      </c>
      <c r="C263" s="10">
        <f>'A) Base RI'!AN259</f>
        <v>882</v>
      </c>
      <c r="D263" s="472">
        <f>'C) Prél. conj.'!H257</f>
        <v>630097.32499999995</v>
      </c>
      <c r="E263" s="10">
        <f>'D) Ecrêtage'!L257</f>
        <v>1638470.8598527189</v>
      </c>
      <c r="F263" s="472">
        <f>$F$10*'D) Ecrêtage'!M257</f>
        <v>1250187.1664894198</v>
      </c>
      <c r="G263" s="58">
        <f t="shared" si="3"/>
        <v>3518755.3513421388</v>
      </c>
    </row>
    <row r="264" spans="1:7" x14ac:dyDescent="0.25">
      <c r="A264" s="50">
        <f>'A) Base RI'!A260</f>
        <v>5851</v>
      </c>
      <c r="B264" s="301" t="str">
        <f>'A) Base RI'!B260</f>
        <v>Allaman</v>
      </c>
      <c r="C264" s="10">
        <f>'A) Base RI'!AN260</f>
        <v>434</v>
      </c>
      <c r="D264" s="472">
        <f>'C) Prél. conj.'!H258</f>
        <v>284453.92499999999</v>
      </c>
      <c r="E264" s="10">
        <f>'D) Ecrêtage'!L258</f>
        <v>120918.52822589072</v>
      </c>
      <c r="F264" s="472">
        <f>$F$10*'D) Ecrêtage'!M258</f>
        <v>417513.47664949892</v>
      </c>
      <c r="G264" s="58">
        <f t="shared" si="3"/>
        <v>822885.92987538956</v>
      </c>
    </row>
    <row r="265" spans="1:7" x14ac:dyDescent="0.25">
      <c r="A265" s="50">
        <f>'A) Base RI'!A261</f>
        <v>5852</v>
      </c>
      <c r="B265" s="301" t="str">
        <f>'A) Base RI'!B261</f>
        <v>Bursinel</v>
      </c>
      <c r="C265" s="10">
        <f>'A) Base RI'!AN261</f>
        <v>471</v>
      </c>
      <c r="D265" s="472">
        <f>'C) Prél. conj.'!H259</f>
        <v>156507.89000000001</v>
      </c>
      <c r="E265" s="10">
        <f>'D) Ecrêtage'!L259</f>
        <v>367535.62306265021</v>
      </c>
      <c r="F265" s="472">
        <f>$F$10*'D) Ecrêtage'!M259</f>
        <v>540787.90018169151</v>
      </c>
      <c r="G265" s="58">
        <f t="shared" si="3"/>
        <v>1064831.4132443417</v>
      </c>
    </row>
    <row r="266" spans="1:7" x14ac:dyDescent="0.25">
      <c r="A266" s="50">
        <f>'A) Base RI'!A262</f>
        <v>5853</v>
      </c>
      <c r="B266" s="301" t="str">
        <f>'A) Base RI'!B262</f>
        <v>Bursins</v>
      </c>
      <c r="C266" s="10">
        <f>'A) Base RI'!AN262</f>
        <v>752</v>
      </c>
      <c r="D266" s="472">
        <f>'C) Prél. conj.'!H260</f>
        <v>155233.65</v>
      </c>
      <c r="E266" s="10">
        <f>'D) Ecrêtage'!L260</f>
        <v>0</v>
      </c>
      <c r="F266" s="472">
        <f>$F$10*'D) Ecrêtage'!M260</f>
        <v>539085.5278879049</v>
      </c>
      <c r="G266" s="58">
        <f t="shared" si="3"/>
        <v>694319.17788790492</v>
      </c>
    </row>
    <row r="267" spans="1:7" x14ac:dyDescent="0.25">
      <c r="A267" s="50">
        <f>'A) Base RI'!A263</f>
        <v>5854</v>
      </c>
      <c r="B267" s="301" t="str">
        <f>'A) Base RI'!B263</f>
        <v>Burtigny</v>
      </c>
      <c r="C267" s="10">
        <f>'A) Base RI'!AN263</f>
        <v>391</v>
      </c>
      <c r="D267" s="472">
        <f>'C) Prél. conj.'!H261</f>
        <v>112309.14</v>
      </c>
      <c r="E267" s="10">
        <f>'D) Ecrêtage'!L261</f>
        <v>0</v>
      </c>
      <c r="F267" s="472">
        <f>$F$10*'D) Ecrêtage'!M261</f>
        <v>224162.0002738664</v>
      </c>
      <c r="G267" s="58">
        <f t="shared" si="3"/>
        <v>336471.14027386642</v>
      </c>
    </row>
    <row r="268" spans="1:7" x14ac:dyDescent="0.25">
      <c r="A268" s="50">
        <f>'A) Base RI'!A264</f>
        <v>5855</v>
      </c>
      <c r="B268" s="301" t="str">
        <f>'A) Base RI'!B264</f>
        <v>Dully</v>
      </c>
      <c r="C268" s="10">
        <f>'A) Base RI'!AN264</f>
        <v>635</v>
      </c>
      <c r="D268" s="472">
        <f>'C) Prél. conj.'!H262</f>
        <v>296588.18499999994</v>
      </c>
      <c r="E268" s="10">
        <f>'D) Ecrêtage'!L262</f>
        <v>1391853.2017361715</v>
      </c>
      <c r="F268" s="472">
        <f>$F$10*'D) Ecrêtage'!M262</f>
        <v>1126533.8926455849</v>
      </c>
      <c r="G268" s="58">
        <f t="shared" ref="G268:G319" si="4">D268+F268+E268</f>
        <v>2814975.2793817567</v>
      </c>
    </row>
    <row r="269" spans="1:7" x14ac:dyDescent="0.25">
      <c r="A269" s="50">
        <f>'A) Base RI'!A265</f>
        <v>5856</v>
      </c>
      <c r="B269" s="301" t="str">
        <f>'A) Base RI'!B265</f>
        <v>Essertines-sur-Rolle</v>
      </c>
      <c r="C269" s="10">
        <f>'A) Base RI'!AN265</f>
        <v>726</v>
      </c>
      <c r="D269" s="472">
        <f>'C) Prél. conj.'!H263</f>
        <v>181892.07499999998</v>
      </c>
      <c r="E269" s="10">
        <f>'D) Ecrêtage'!L263</f>
        <v>0</v>
      </c>
      <c r="F269" s="472">
        <f>$F$10*'D) Ecrêtage'!M263</f>
        <v>547582.80687362491</v>
      </c>
      <c r="G269" s="58">
        <f t="shared" si="4"/>
        <v>729474.88187362486</v>
      </c>
    </row>
    <row r="270" spans="1:7" x14ac:dyDescent="0.25">
      <c r="A270" s="50">
        <f>'A) Base RI'!A266</f>
        <v>5857</v>
      </c>
      <c r="B270" s="301" t="str">
        <f>'A) Base RI'!B266</f>
        <v>Gilly</v>
      </c>
      <c r="C270" s="10">
        <f>'A) Base RI'!AN266</f>
        <v>1324</v>
      </c>
      <c r="D270" s="472">
        <f>'C) Prél. conj.'!H264</f>
        <v>205303.90000000002</v>
      </c>
      <c r="E270" s="10">
        <f>'D) Ecrêtage'!L264</f>
        <v>389740.58397936798</v>
      </c>
      <c r="F270" s="472">
        <f>$F$10*'D) Ecrêtage'!M264</f>
        <v>1272218.3764098042</v>
      </c>
      <c r="G270" s="58">
        <f t="shared" si="4"/>
        <v>1867262.8603891723</v>
      </c>
    </row>
    <row r="271" spans="1:7" x14ac:dyDescent="0.25">
      <c r="A271" s="50">
        <f>'A) Base RI'!A267</f>
        <v>5858</v>
      </c>
      <c r="B271" s="301" t="str">
        <f>'A) Base RI'!B267</f>
        <v>Luins</v>
      </c>
      <c r="C271" s="10">
        <f>'A) Base RI'!AN267</f>
        <v>613</v>
      </c>
      <c r="D271" s="472">
        <f>'C) Prél. conj.'!H265</f>
        <v>91214</v>
      </c>
      <c r="E271" s="10">
        <f>'D) Ecrêtage'!L265</f>
        <v>219245.8484247055</v>
      </c>
      <c r="F271" s="472">
        <f>$F$10*'D) Ecrêtage'!M265</f>
        <v>614463.5472166473</v>
      </c>
      <c r="G271" s="58">
        <f t="shared" si="4"/>
        <v>924923.39564135275</v>
      </c>
    </row>
    <row r="272" spans="1:7" x14ac:dyDescent="0.25">
      <c r="A272" s="50">
        <f>'A) Base RI'!A268</f>
        <v>5859</v>
      </c>
      <c r="B272" s="301" t="str">
        <f>'A) Base RI'!B268</f>
        <v>Mont-sur-Rolle</v>
      </c>
      <c r="C272" s="10">
        <f>'A) Base RI'!AN268</f>
        <v>2651</v>
      </c>
      <c r="D272" s="472">
        <f>'C) Prél. conj.'!H266</f>
        <v>259518.62</v>
      </c>
      <c r="E272" s="10">
        <f>'D) Ecrêtage'!L266</f>
        <v>0</v>
      </c>
      <c r="F272" s="472">
        <f>$F$10*'D) Ecrêtage'!M266</f>
        <v>2091085.4694337505</v>
      </c>
      <c r="G272" s="58">
        <f t="shared" si="4"/>
        <v>2350604.0894337506</v>
      </c>
    </row>
    <row r="273" spans="1:7" x14ac:dyDescent="0.25">
      <c r="A273" s="50">
        <f>'A) Base RI'!A269</f>
        <v>5860</v>
      </c>
      <c r="B273" s="301" t="str">
        <f>'A) Base RI'!B269</f>
        <v>Perroy</v>
      </c>
      <c r="C273" s="10">
        <f>'A) Base RI'!AN269</f>
        <v>1542</v>
      </c>
      <c r="D273" s="472">
        <f>'C) Prél. conj.'!H267</f>
        <v>556132.11</v>
      </c>
      <c r="E273" s="10">
        <f>'D) Ecrêtage'!L267</f>
        <v>218912.39884620035</v>
      </c>
      <c r="F273" s="472">
        <f>$F$10*'D) Ecrêtage'!M267</f>
        <v>1374084.1789286388</v>
      </c>
      <c r="G273" s="58">
        <f t="shared" si="4"/>
        <v>2149128.6877748389</v>
      </c>
    </row>
    <row r="274" spans="1:7" x14ac:dyDescent="0.25">
      <c r="A274" s="50">
        <f>'A) Base RI'!A270</f>
        <v>5861</v>
      </c>
      <c r="B274" s="301" t="str">
        <f>'A) Base RI'!B270</f>
        <v>Rolle</v>
      </c>
      <c r="C274" s="10">
        <f>'A) Base RI'!AN270</f>
        <v>6246</v>
      </c>
      <c r="D274" s="472">
        <f>'C) Prél. conj.'!H268</f>
        <v>1000841.245</v>
      </c>
      <c r="E274" s="10">
        <f>'D) Ecrêtage'!L268</f>
        <v>8347270.7062228927</v>
      </c>
      <c r="F274" s="472">
        <f>$F$10*'D) Ecrêtage'!M268</f>
        <v>8542833.3661011718</v>
      </c>
      <c r="G274" s="58">
        <f t="shared" si="4"/>
        <v>17890945.317324065</v>
      </c>
    </row>
    <row r="275" spans="1:7" x14ac:dyDescent="0.25">
      <c r="A275" s="50">
        <f>'A) Base RI'!A271</f>
        <v>5862</v>
      </c>
      <c r="B275" s="301" t="str">
        <f>'A) Base RI'!B271</f>
        <v>Tartegnin</v>
      </c>
      <c r="C275" s="10">
        <f>'A) Base RI'!AN271</f>
        <v>246</v>
      </c>
      <c r="D275" s="472">
        <f>'C) Prél. conj.'!H269</f>
        <v>24481.45</v>
      </c>
      <c r="E275" s="10">
        <f>'D) Ecrêtage'!L269</f>
        <v>0</v>
      </c>
      <c r="F275" s="472">
        <f>$F$10*'D) Ecrêtage'!M269</f>
        <v>180112.24674303946</v>
      </c>
      <c r="G275" s="58">
        <f t="shared" si="4"/>
        <v>204593.69674303947</v>
      </c>
    </row>
    <row r="276" spans="1:7" x14ac:dyDescent="0.25">
      <c r="A276" s="50">
        <f>'A) Base RI'!A272</f>
        <v>5863</v>
      </c>
      <c r="B276" s="301" t="str">
        <f>'A) Base RI'!B272</f>
        <v>Vinzel</v>
      </c>
      <c r="C276" s="10">
        <f>'A) Base RI'!AN272</f>
        <v>358</v>
      </c>
      <c r="D276" s="472">
        <f>'C) Prél. conj.'!H270</f>
        <v>33639.895000000004</v>
      </c>
      <c r="E276" s="10">
        <f>'D) Ecrêtage'!L270</f>
        <v>63302.17499191987</v>
      </c>
      <c r="F276" s="472">
        <f>$F$10*'D) Ecrêtage'!M270</f>
        <v>322273.02551488171</v>
      </c>
      <c r="G276" s="58">
        <f t="shared" si="4"/>
        <v>419215.09550680162</v>
      </c>
    </row>
    <row r="277" spans="1:7" x14ac:dyDescent="0.25">
      <c r="A277" s="50">
        <f>'A) Base RI'!A273</f>
        <v>5871</v>
      </c>
      <c r="B277" s="301" t="str">
        <f>'A) Base RI'!B273</f>
        <v>L'Abbaye</v>
      </c>
      <c r="C277" s="10">
        <f>'A) Base RI'!AN273</f>
        <v>1481</v>
      </c>
      <c r="D277" s="472">
        <f>'C) Prél. conj.'!H271</f>
        <v>279256.82</v>
      </c>
      <c r="E277" s="10">
        <f>'D) Ecrêtage'!L271</f>
        <v>0</v>
      </c>
      <c r="F277" s="472">
        <f>$F$10*'D) Ecrêtage'!M271</f>
        <v>652954.8608455736</v>
      </c>
      <c r="G277" s="58">
        <f t="shared" si="4"/>
        <v>932211.68084557354</v>
      </c>
    </row>
    <row r="278" spans="1:7" x14ac:dyDescent="0.25">
      <c r="A278" s="50">
        <f>'A) Base RI'!A274</f>
        <v>5872</v>
      </c>
      <c r="B278" s="301" t="str">
        <f>'A) Base RI'!B274</f>
        <v>Le Chenit</v>
      </c>
      <c r="C278" s="10">
        <f>'A) Base RI'!AN274</f>
        <v>4605</v>
      </c>
      <c r="D278" s="472">
        <f>'C) Prél. conj.'!H272</f>
        <v>2475314.915</v>
      </c>
      <c r="E278" s="10">
        <f>'D) Ecrêtage'!L272</f>
        <v>0</v>
      </c>
      <c r="F278" s="472">
        <f>$F$10*'D) Ecrêtage'!M272</f>
        <v>2865574.1096527125</v>
      </c>
      <c r="G278" s="58">
        <f t="shared" si="4"/>
        <v>5340889.024652712</v>
      </c>
    </row>
    <row r="279" spans="1:7" x14ac:dyDescent="0.25">
      <c r="A279" s="50">
        <f>'A) Base RI'!A275</f>
        <v>5873</v>
      </c>
      <c r="B279" s="301" t="str">
        <f>'A) Base RI'!B275</f>
        <v>Le Lieu</v>
      </c>
      <c r="C279" s="10">
        <f>'A) Base RI'!AN275</f>
        <v>875</v>
      </c>
      <c r="D279" s="472">
        <f>'C) Prél. conj.'!H273</f>
        <v>286552.36499999999</v>
      </c>
      <c r="E279" s="10">
        <f>'D) Ecrêtage'!L273</f>
        <v>0</v>
      </c>
      <c r="F279" s="472">
        <f>$F$10*'D) Ecrêtage'!M273</f>
        <v>463267.76466161764</v>
      </c>
      <c r="G279" s="58">
        <f t="shared" si="4"/>
        <v>749820.12966161757</v>
      </c>
    </row>
    <row r="280" spans="1:7" x14ac:dyDescent="0.25">
      <c r="A280" s="50">
        <f>'A) Base RI'!A276</f>
        <v>5881</v>
      </c>
      <c r="B280" s="301" t="str">
        <f>'A) Base RI'!B276</f>
        <v>Blonay</v>
      </c>
      <c r="C280" s="10">
        <f>'A) Base RI'!AN276</f>
        <v>6175</v>
      </c>
      <c r="D280" s="472">
        <f>'C) Prél. conj.'!H274</f>
        <v>698507.71500000008</v>
      </c>
      <c r="E280" s="10">
        <f>'D) Ecrêtage'!L274</f>
        <v>0</v>
      </c>
      <c r="F280" s="472">
        <f>$F$10*'D) Ecrêtage'!M274</f>
        <v>4879053.1070253374</v>
      </c>
      <c r="G280" s="58">
        <f t="shared" si="4"/>
        <v>5577560.8220253373</v>
      </c>
    </row>
    <row r="281" spans="1:7" x14ac:dyDescent="0.25">
      <c r="A281" s="50">
        <f>'A) Base RI'!A277</f>
        <v>5882</v>
      </c>
      <c r="B281" s="301" t="str">
        <f>'A) Base RI'!B277</f>
        <v>Chardonne</v>
      </c>
      <c r="C281" s="10">
        <f>'A) Base RI'!AN277</f>
        <v>2941</v>
      </c>
      <c r="D281" s="472">
        <f>'C) Prél. conj.'!H275</f>
        <v>945082.21499999997</v>
      </c>
      <c r="E281" s="10">
        <f>'D) Ecrêtage'!L275</f>
        <v>0</v>
      </c>
      <c r="F281" s="472">
        <f>$F$10*'D) Ecrêtage'!M275</f>
        <v>2361746.4425770836</v>
      </c>
      <c r="G281" s="58">
        <f t="shared" si="4"/>
        <v>3306828.6575770834</v>
      </c>
    </row>
    <row r="282" spans="1:7" x14ac:dyDescent="0.25">
      <c r="A282" s="50">
        <f>'A) Base RI'!A278</f>
        <v>5883</v>
      </c>
      <c r="B282" s="301" t="str">
        <f>'A) Base RI'!B278</f>
        <v>Corseaux</v>
      </c>
      <c r="C282" s="10">
        <f>'A) Base RI'!AN278</f>
        <v>2282</v>
      </c>
      <c r="D282" s="472">
        <f>'C) Prél. conj.'!H276</f>
        <v>1744190.605</v>
      </c>
      <c r="E282" s="10">
        <f>'D) Ecrêtage'!L276</f>
        <v>737092.22165526997</v>
      </c>
      <c r="F282" s="472">
        <f>$F$10*'D) Ecrêtage'!M276</f>
        <v>2209566.4500296493</v>
      </c>
      <c r="G282" s="58">
        <f t="shared" si="4"/>
        <v>4690849.2766849194</v>
      </c>
    </row>
    <row r="283" spans="1:7" x14ac:dyDescent="0.25">
      <c r="A283" s="50">
        <f>'A) Base RI'!A279</f>
        <v>5884</v>
      </c>
      <c r="B283" s="301" t="str">
        <f>'A) Base RI'!B279</f>
        <v>Corsier-sur-Vevey</v>
      </c>
      <c r="C283" s="10">
        <f>'A) Base RI'!AN279</f>
        <v>3386</v>
      </c>
      <c r="D283" s="472">
        <f>'C) Prél. conj.'!H277</f>
        <v>410193.255</v>
      </c>
      <c r="E283" s="10">
        <f>'D) Ecrêtage'!L277</f>
        <v>0</v>
      </c>
      <c r="F283" s="472">
        <f>$F$10*'D) Ecrêtage'!M277</f>
        <v>1742724.7044143765</v>
      </c>
      <c r="G283" s="58">
        <f t="shared" si="4"/>
        <v>2152917.9594143764</v>
      </c>
    </row>
    <row r="284" spans="1:7" x14ac:dyDescent="0.25">
      <c r="A284" s="50">
        <f>'A) Base RI'!A280</f>
        <v>5885</v>
      </c>
      <c r="B284" s="301" t="str">
        <f>'A) Base RI'!B280</f>
        <v>Jongny</v>
      </c>
      <c r="C284" s="10">
        <f>'A) Base RI'!AN280</f>
        <v>1536</v>
      </c>
      <c r="D284" s="472">
        <f>'C) Prél. conj.'!H278</f>
        <v>631319.9</v>
      </c>
      <c r="E284" s="10">
        <f>'D) Ecrêtage'!L278</f>
        <v>0</v>
      </c>
      <c r="F284" s="472">
        <f>$F$10*'D) Ecrêtage'!M278</f>
        <v>1226165.5426230088</v>
      </c>
      <c r="G284" s="58">
        <f t="shared" si="4"/>
        <v>1857485.442623009</v>
      </c>
    </row>
    <row r="285" spans="1:7" x14ac:dyDescent="0.25">
      <c r="A285" s="50">
        <f>'A) Base RI'!A281</f>
        <v>5886</v>
      </c>
      <c r="B285" s="301" t="str">
        <f>'A) Base RI'!B281</f>
        <v>Montreux</v>
      </c>
      <c r="C285" s="10">
        <f>'A) Base RI'!AN281</f>
        <v>26006</v>
      </c>
      <c r="D285" s="472">
        <f>'C) Prél. conj.'!H279</f>
        <v>11995435.610000001</v>
      </c>
      <c r="E285" s="10">
        <f>'D) Ecrêtage'!L279</f>
        <v>0</v>
      </c>
      <c r="F285" s="472">
        <f>$F$10*'D) Ecrêtage'!M279</f>
        <v>16400712.610601058</v>
      </c>
      <c r="G285" s="58">
        <f t="shared" si="4"/>
        <v>28396148.220601059</v>
      </c>
    </row>
    <row r="286" spans="1:7" x14ac:dyDescent="0.25">
      <c r="A286" s="50">
        <f>'A) Base RI'!A282</f>
        <v>5888</v>
      </c>
      <c r="B286" s="301" t="str">
        <f>'A) Base RI'!B282</f>
        <v>Saint-Légier-La Chiésaz</v>
      </c>
      <c r="C286" s="10">
        <f>'A) Base RI'!AN282</f>
        <v>5185</v>
      </c>
      <c r="D286" s="472">
        <f>'C) Prél. conj.'!H280</f>
        <v>980631.11</v>
      </c>
      <c r="E286" s="10">
        <f>'D) Ecrêtage'!L280</f>
        <v>777973.5596726127</v>
      </c>
      <c r="F286" s="472">
        <f>$F$10*'D) Ecrêtage'!M280</f>
        <v>4581909.4617220983</v>
      </c>
      <c r="G286" s="58">
        <f t="shared" si="4"/>
        <v>6340514.1313947113</v>
      </c>
    </row>
    <row r="287" spans="1:7" x14ac:dyDescent="0.25">
      <c r="A287" s="50">
        <f>'A) Base RI'!A283</f>
        <v>5889</v>
      </c>
      <c r="B287" s="301" t="str">
        <f>'A) Base RI'!B283</f>
        <v>La Tour-de-Peilz</v>
      </c>
      <c r="C287" s="10">
        <f>'A) Base RI'!AN283</f>
        <v>11871</v>
      </c>
      <c r="D287" s="472">
        <f>'C) Prél. conj.'!H281</f>
        <v>4109066.67</v>
      </c>
      <c r="E287" s="10">
        <f>'D) Ecrêtage'!L281</f>
        <v>0</v>
      </c>
      <c r="F287" s="472">
        <f>$F$10*'D) Ecrêtage'!M281</f>
        <v>9445688.3441096172</v>
      </c>
      <c r="G287" s="58">
        <f t="shared" si="4"/>
        <v>13554755.014109617</v>
      </c>
    </row>
    <row r="288" spans="1:7" x14ac:dyDescent="0.25">
      <c r="A288" s="50">
        <f>'A) Base RI'!A284</f>
        <v>5890</v>
      </c>
      <c r="B288" s="301" t="str">
        <f>'A) Base RI'!B284</f>
        <v>Vevey</v>
      </c>
      <c r="C288" s="10">
        <f>'A) Base RI'!AN284</f>
        <v>19904</v>
      </c>
      <c r="D288" s="472">
        <f>'C) Prél. conj.'!H282</f>
        <v>3812330.34</v>
      </c>
      <c r="E288" s="10">
        <f>'D) Ecrêtage'!L282</f>
        <v>0</v>
      </c>
      <c r="F288" s="472">
        <f>$F$10*'D) Ecrêtage'!M282</f>
        <v>13516430.791263858</v>
      </c>
      <c r="G288" s="58">
        <f t="shared" si="4"/>
        <v>17328761.13126386</v>
      </c>
    </row>
    <row r="289" spans="1:7" x14ac:dyDescent="0.25">
      <c r="A289" s="50">
        <f>'A) Base RI'!A285</f>
        <v>5891</v>
      </c>
      <c r="B289" s="301" t="str">
        <f>'A) Base RI'!B285</f>
        <v>Veytaux</v>
      </c>
      <c r="C289" s="10">
        <f>'A) Base RI'!AN285</f>
        <v>884</v>
      </c>
      <c r="D289" s="472">
        <f>'C) Prél. conj.'!H283</f>
        <v>434297.19999999995</v>
      </c>
      <c r="E289" s="10">
        <f>'D) Ecrêtage'!L283</f>
        <v>0</v>
      </c>
      <c r="F289" s="472">
        <f>$F$10*'D) Ecrêtage'!M283</f>
        <v>548201.16277875996</v>
      </c>
      <c r="G289" s="58">
        <f t="shared" si="4"/>
        <v>982498.36277875991</v>
      </c>
    </row>
    <row r="290" spans="1:7" x14ac:dyDescent="0.25">
      <c r="A290" s="50">
        <f>'A) Base RI'!A286</f>
        <v>5902</v>
      </c>
      <c r="B290" s="301" t="str">
        <f>'A) Base RI'!B286</f>
        <v>Belmont-sur-Yverdon</v>
      </c>
      <c r="C290" s="10">
        <f>'A) Base RI'!AN286</f>
        <v>384</v>
      </c>
      <c r="D290" s="472">
        <f>'C) Prél. conj.'!H284</f>
        <v>636.95000000000005</v>
      </c>
      <c r="E290" s="10">
        <f>'D) Ecrêtage'!L284</f>
        <v>0</v>
      </c>
      <c r="F290" s="472">
        <f>$F$10*'D) Ecrêtage'!M284</f>
        <v>151028.76732790589</v>
      </c>
      <c r="G290" s="58">
        <f t="shared" si="4"/>
        <v>151665.71732790591</v>
      </c>
    </row>
    <row r="291" spans="1:7" x14ac:dyDescent="0.25">
      <c r="A291" s="50">
        <f>'A) Base RI'!A287</f>
        <v>5903</v>
      </c>
      <c r="B291" s="301" t="str">
        <f>'A) Base RI'!B287</f>
        <v>Bioley-Magnoux</v>
      </c>
      <c r="C291" s="10">
        <f>'A) Base RI'!AN287</f>
        <v>225</v>
      </c>
      <c r="D291" s="472">
        <f>'C) Prél. conj.'!H285</f>
        <v>15724.154999999999</v>
      </c>
      <c r="E291" s="10">
        <f>'D) Ecrêtage'!L285</f>
        <v>0</v>
      </c>
      <c r="F291" s="472">
        <f>$F$10*'D) Ecrêtage'!M285</f>
        <v>80367.430159160314</v>
      </c>
      <c r="G291" s="58">
        <f t="shared" si="4"/>
        <v>96091.585159160313</v>
      </c>
    </row>
    <row r="292" spans="1:7" x14ac:dyDescent="0.25">
      <c r="A292" s="50">
        <f>'A) Base RI'!A288</f>
        <v>5904</v>
      </c>
      <c r="B292" s="301" t="str">
        <f>'A) Base RI'!B288</f>
        <v>Chamblon</v>
      </c>
      <c r="C292" s="10">
        <f>'A) Base RI'!AN288</f>
        <v>542</v>
      </c>
      <c r="D292" s="472">
        <f>'C) Prél. conj.'!H286</f>
        <v>34506.18</v>
      </c>
      <c r="E292" s="10">
        <f>'D) Ecrêtage'!L286</f>
        <v>0</v>
      </c>
      <c r="F292" s="472">
        <f>$F$10*'D) Ecrêtage'!M286</f>
        <v>293225.72780382755</v>
      </c>
      <c r="G292" s="58">
        <f t="shared" si="4"/>
        <v>327731.90780382755</v>
      </c>
    </row>
    <row r="293" spans="1:7" x14ac:dyDescent="0.25">
      <c r="A293" s="50">
        <f>'A) Base RI'!A289</f>
        <v>5905</v>
      </c>
      <c r="B293" s="301" t="str">
        <f>'A) Base RI'!B289</f>
        <v>Champvent</v>
      </c>
      <c r="C293" s="10">
        <f>'A) Base RI'!AN289</f>
        <v>685</v>
      </c>
      <c r="D293" s="472">
        <f>'C) Prél. conj.'!H287</f>
        <v>40566.985000000001</v>
      </c>
      <c r="E293" s="10">
        <f>'D) Ecrêtage'!L287</f>
        <v>0</v>
      </c>
      <c r="F293" s="472">
        <f>$F$10*'D) Ecrêtage'!M287</f>
        <v>352644.01998405607</v>
      </c>
      <c r="G293" s="58">
        <f t="shared" si="4"/>
        <v>393211.00498405605</v>
      </c>
    </row>
    <row r="294" spans="1:7" x14ac:dyDescent="0.25">
      <c r="A294" s="50">
        <f>'A) Base RI'!A290</f>
        <v>5907</v>
      </c>
      <c r="B294" s="301" t="str">
        <f>'A) Base RI'!B290</f>
        <v>Chavannes-le-Chêne</v>
      </c>
      <c r="C294" s="10">
        <f>'A) Base RI'!AN290</f>
        <v>308</v>
      </c>
      <c r="D294" s="472">
        <f>'C) Prél. conj.'!H288</f>
        <v>8304.65</v>
      </c>
      <c r="E294" s="10">
        <f>'D) Ecrêtage'!L288</f>
        <v>0</v>
      </c>
      <c r="F294" s="472">
        <f>$F$10*'D) Ecrêtage'!M288</f>
        <v>118088.59267270818</v>
      </c>
      <c r="G294" s="58">
        <f t="shared" si="4"/>
        <v>126393.24267270818</v>
      </c>
    </row>
    <row r="295" spans="1:7" x14ac:dyDescent="0.25">
      <c r="A295" s="50">
        <f>'A) Base RI'!A291</f>
        <v>5908</v>
      </c>
      <c r="B295" s="301" t="str">
        <f>'A) Base RI'!B291</f>
        <v>Chêne-Pâquier</v>
      </c>
      <c r="C295" s="10">
        <f>'A) Base RI'!AN291</f>
        <v>141</v>
      </c>
      <c r="D295" s="472">
        <f>'C) Prél. conj.'!H289</f>
        <v>39999.185000000005</v>
      </c>
      <c r="E295" s="10">
        <f>'D) Ecrêtage'!L289</f>
        <v>0</v>
      </c>
      <c r="F295" s="472">
        <f>$F$10*'D) Ecrêtage'!M289</f>
        <v>45730.653116084191</v>
      </c>
      <c r="G295" s="58">
        <f t="shared" si="4"/>
        <v>85729.838116084196</v>
      </c>
    </row>
    <row r="296" spans="1:7" x14ac:dyDescent="0.25">
      <c r="A296" s="50">
        <f>'A) Base RI'!A292</f>
        <v>5909</v>
      </c>
      <c r="B296" s="301" t="str">
        <f>'A) Base RI'!B292</f>
        <v>Cheseaux-Noréaz</v>
      </c>
      <c r="C296" s="10">
        <f>'A) Base RI'!AN292</f>
        <v>721</v>
      </c>
      <c r="D296" s="472">
        <f>'C) Prél. conj.'!H290</f>
        <v>89287.89499999999</v>
      </c>
      <c r="E296" s="10">
        <f>'D) Ecrêtage'!L290</f>
        <v>0</v>
      </c>
      <c r="F296" s="472">
        <f>$F$10*'D) Ecrêtage'!M290</f>
        <v>479363.3936576909</v>
      </c>
      <c r="G296" s="58">
        <f t="shared" si="4"/>
        <v>568651.28865769086</v>
      </c>
    </row>
    <row r="297" spans="1:7" x14ac:dyDescent="0.25">
      <c r="A297" s="50">
        <f>'A) Base RI'!A293</f>
        <v>5910</v>
      </c>
      <c r="B297" s="301" t="str">
        <f>'A) Base RI'!B293</f>
        <v>Cronay</v>
      </c>
      <c r="C297" s="10">
        <f>'A) Base RI'!AN293</f>
        <v>385</v>
      </c>
      <c r="D297" s="472">
        <f>'C) Prél. conj.'!H291</f>
        <v>13933.2</v>
      </c>
      <c r="E297" s="10">
        <f>'D) Ecrêtage'!L291</f>
        <v>0</v>
      </c>
      <c r="F297" s="472">
        <f>$F$10*'D) Ecrêtage'!M291</f>
        <v>141236.94367736691</v>
      </c>
      <c r="G297" s="58">
        <f t="shared" si="4"/>
        <v>155170.14367736693</v>
      </c>
    </row>
    <row r="298" spans="1:7" x14ac:dyDescent="0.25">
      <c r="A298" s="50">
        <f>'A) Base RI'!A294</f>
        <v>5911</v>
      </c>
      <c r="B298" s="301" t="str">
        <f>'A) Base RI'!B294</f>
        <v>Cuarny</v>
      </c>
      <c r="C298" s="10">
        <f>'A) Base RI'!AN294</f>
        <v>243</v>
      </c>
      <c r="D298" s="472">
        <f>'C) Prél. conj.'!H292</f>
        <v>28785.954999999998</v>
      </c>
      <c r="E298" s="10">
        <f>'D) Ecrêtage'!L292</f>
        <v>0</v>
      </c>
      <c r="F298" s="472">
        <f>$F$10*'D) Ecrêtage'!M292</f>
        <v>100908.08471289212</v>
      </c>
      <c r="G298" s="58">
        <f t="shared" si="4"/>
        <v>129694.03971289212</v>
      </c>
    </row>
    <row r="299" spans="1:7" x14ac:dyDescent="0.25">
      <c r="A299" s="50">
        <f>'A) Base RI'!A295</f>
        <v>5912</v>
      </c>
      <c r="B299" s="301" t="str">
        <f>'A) Base RI'!B295</f>
        <v>Démoret</v>
      </c>
      <c r="C299" s="10">
        <f>'A) Base RI'!AN295</f>
        <v>141</v>
      </c>
      <c r="D299" s="472">
        <f>'C) Prél. conj.'!H293</f>
        <v>0</v>
      </c>
      <c r="E299" s="10">
        <f>'D) Ecrêtage'!L293</f>
        <v>0</v>
      </c>
      <c r="F299" s="472">
        <f>$F$10*'D) Ecrêtage'!M293</f>
        <v>45889.138565556335</v>
      </c>
      <c r="G299" s="58">
        <f t="shared" si="4"/>
        <v>45889.138565556335</v>
      </c>
    </row>
    <row r="300" spans="1:7" x14ac:dyDescent="0.25">
      <c r="A300" s="50">
        <f>'A) Base RI'!A296</f>
        <v>5913</v>
      </c>
      <c r="B300" s="301" t="str">
        <f>'A) Base RI'!B296</f>
        <v>Donneloye</v>
      </c>
      <c r="C300" s="10">
        <f>'A) Base RI'!AN296</f>
        <v>809</v>
      </c>
      <c r="D300" s="472">
        <f>'C) Prél. conj.'!H294</f>
        <v>80353.964999999997</v>
      </c>
      <c r="E300" s="10">
        <f>'D) Ecrêtage'!L294</f>
        <v>0</v>
      </c>
      <c r="F300" s="472">
        <f>$F$10*'D) Ecrêtage'!M294</f>
        <v>298077.94237143523</v>
      </c>
      <c r="G300" s="58">
        <f t="shared" si="4"/>
        <v>378431.9073714352</v>
      </c>
    </row>
    <row r="301" spans="1:7" x14ac:dyDescent="0.25">
      <c r="A301" s="50">
        <f>'A) Base RI'!A297</f>
        <v>5914</v>
      </c>
      <c r="B301" s="301" t="str">
        <f>'A) Base RI'!B297</f>
        <v>Ependes</v>
      </c>
      <c r="C301" s="10">
        <f>'A) Base RI'!AN297</f>
        <v>360</v>
      </c>
      <c r="D301" s="472">
        <f>'C) Prél. conj.'!H295</f>
        <v>18898.919999999998</v>
      </c>
      <c r="E301" s="10">
        <f>'D) Ecrêtage'!L295</f>
        <v>0</v>
      </c>
      <c r="F301" s="472">
        <f>$F$10*'D) Ecrêtage'!M295</f>
        <v>136882.35370563302</v>
      </c>
      <c r="G301" s="58">
        <f t="shared" si="4"/>
        <v>155781.27370563301</v>
      </c>
    </row>
    <row r="302" spans="1:7" x14ac:dyDescent="0.25">
      <c r="A302" s="50">
        <f>'A) Base RI'!A298</f>
        <v>5919</v>
      </c>
      <c r="B302" s="301" t="str">
        <f>'A) Base RI'!B298</f>
        <v>Mathod</v>
      </c>
      <c r="C302" s="10">
        <f>'A) Base RI'!AN298</f>
        <v>611</v>
      </c>
      <c r="D302" s="472">
        <f>'C) Prél. conj.'!H296</f>
        <v>107369.565</v>
      </c>
      <c r="E302" s="10">
        <f>'D) Ecrêtage'!L296</f>
        <v>0</v>
      </c>
      <c r="F302" s="472">
        <f>$F$10*'D) Ecrêtage'!M296</f>
        <v>251112.40927605095</v>
      </c>
      <c r="G302" s="58">
        <f t="shared" si="4"/>
        <v>358481.97427605093</v>
      </c>
    </row>
    <row r="303" spans="1:7" x14ac:dyDescent="0.25">
      <c r="A303" s="50">
        <f>'A) Base RI'!A299</f>
        <v>5921</v>
      </c>
      <c r="B303" s="301" t="str">
        <f>'A) Base RI'!B299</f>
        <v>Molondin</v>
      </c>
      <c r="C303" s="10">
        <f>'A) Base RI'!AN299</f>
        <v>235</v>
      </c>
      <c r="D303" s="472">
        <f>'C) Prél. conj.'!H297</f>
        <v>10896.9</v>
      </c>
      <c r="E303" s="10">
        <f>'D) Ecrêtage'!L297</f>
        <v>0</v>
      </c>
      <c r="F303" s="472">
        <f>$F$10*'D) Ecrêtage'!M297</f>
        <v>81325.876341786876</v>
      </c>
      <c r="G303" s="58">
        <f t="shared" si="4"/>
        <v>92222.77634178687</v>
      </c>
    </row>
    <row r="304" spans="1:7" x14ac:dyDescent="0.25">
      <c r="A304" s="50">
        <f>'A) Base RI'!A300</f>
        <v>5922</v>
      </c>
      <c r="B304" s="301" t="str">
        <f>'A) Base RI'!B300</f>
        <v>Montagny-près-Yverdon</v>
      </c>
      <c r="C304" s="10">
        <f>'A) Base RI'!AN300</f>
        <v>738</v>
      </c>
      <c r="D304" s="472">
        <f>'C) Prél. conj.'!H298</f>
        <v>242073.11000000002</v>
      </c>
      <c r="E304" s="10">
        <f>'D) Ecrêtage'!L298</f>
        <v>0</v>
      </c>
      <c r="F304" s="472">
        <f>$F$10*'D) Ecrêtage'!M298</f>
        <v>574971.66941340466</v>
      </c>
      <c r="G304" s="58">
        <f t="shared" si="4"/>
        <v>817044.77941340464</v>
      </c>
    </row>
    <row r="305" spans="1:7" x14ac:dyDescent="0.25">
      <c r="A305" s="50">
        <f>'A) Base RI'!A301</f>
        <v>5923</v>
      </c>
      <c r="B305" s="301" t="str">
        <f>'A) Base RI'!B301</f>
        <v>Oppens</v>
      </c>
      <c r="C305" s="10">
        <f>'A) Base RI'!AN301</f>
        <v>196</v>
      </c>
      <c r="D305" s="472">
        <f>'C) Prél. conj.'!H299</f>
        <v>16674.575000000001</v>
      </c>
      <c r="E305" s="10">
        <f>'D) Ecrêtage'!L299</f>
        <v>0</v>
      </c>
      <c r="F305" s="472">
        <f>$F$10*'D) Ecrêtage'!M299</f>
        <v>75325.881668238653</v>
      </c>
      <c r="G305" s="58">
        <f t="shared" si="4"/>
        <v>92000.45666823865</v>
      </c>
    </row>
    <row r="306" spans="1:7" x14ac:dyDescent="0.25">
      <c r="A306" s="50">
        <f>'A) Base RI'!A302</f>
        <v>5924</v>
      </c>
      <c r="B306" s="301" t="str">
        <f>'A) Base RI'!B302</f>
        <v>Orges</v>
      </c>
      <c r="C306" s="10">
        <f>'A) Base RI'!AN302</f>
        <v>332</v>
      </c>
      <c r="D306" s="472">
        <f>'C) Prél. conj.'!H300</f>
        <v>21861.205000000002</v>
      </c>
      <c r="E306" s="10">
        <f>'D) Ecrêtage'!L300</f>
        <v>0</v>
      </c>
      <c r="F306" s="472">
        <f>$F$10*'D) Ecrêtage'!M300</f>
        <v>154424.83294160353</v>
      </c>
      <c r="G306" s="58">
        <f t="shared" si="4"/>
        <v>176286.03794160351</v>
      </c>
    </row>
    <row r="307" spans="1:7" x14ac:dyDescent="0.25">
      <c r="A307" s="50">
        <f>'A) Base RI'!A303</f>
        <v>5925</v>
      </c>
      <c r="B307" s="301" t="str">
        <f>'A) Base RI'!B303</f>
        <v>Orzens</v>
      </c>
      <c r="C307" s="10">
        <f>'A) Base RI'!AN303</f>
        <v>196</v>
      </c>
      <c r="D307" s="472">
        <f>'C) Prél. conj.'!H301</f>
        <v>25186.479999999996</v>
      </c>
      <c r="E307" s="10">
        <f>'D) Ecrêtage'!L301</f>
        <v>0</v>
      </c>
      <c r="F307" s="472">
        <f>$F$10*'D) Ecrêtage'!M301</f>
        <v>81832.763269665724</v>
      </c>
      <c r="G307" s="58">
        <f t="shared" si="4"/>
        <v>107019.24326966572</v>
      </c>
    </row>
    <row r="308" spans="1:7" x14ac:dyDescent="0.25">
      <c r="A308" s="50">
        <f>'A) Base RI'!A304</f>
        <v>5926</v>
      </c>
      <c r="B308" s="301" t="str">
        <f>'A) Base RI'!B304</f>
        <v>Pomy</v>
      </c>
      <c r="C308" s="10">
        <f>'A) Base RI'!AN304</f>
        <v>780</v>
      </c>
      <c r="D308" s="472">
        <f>'C) Prél. conj.'!H302</f>
        <v>28316.91</v>
      </c>
      <c r="E308" s="10">
        <f>'D) Ecrêtage'!L302</f>
        <v>0</v>
      </c>
      <c r="F308" s="472">
        <f>$F$10*'D) Ecrêtage'!M302</f>
        <v>389362.88806213439</v>
      </c>
      <c r="G308" s="58">
        <f t="shared" si="4"/>
        <v>417679.79806213436</v>
      </c>
    </row>
    <row r="309" spans="1:7" x14ac:dyDescent="0.25">
      <c r="A309" s="50">
        <f>'A) Base RI'!A305</f>
        <v>5928</v>
      </c>
      <c r="B309" s="301" t="str">
        <f>'A) Base RI'!B305</f>
        <v>Rovray</v>
      </c>
      <c r="C309" s="10">
        <f>'A) Base RI'!AN305</f>
        <v>180</v>
      </c>
      <c r="D309" s="472">
        <f>'C) Prél. conj.'!H303</f>
        <v>14239.58</v>
      </c>
      <c r="E309" s="10">
        <f>'D) Ecrêtage'!L303</f>
        <v>0</v>
      </c>
      <c r="F309" s="472">
        <f>$F$10*'D) Ecrêtage'!M303</f>
        <v>63411.131022877831</v>
      </c>
      <c r="G309" s="58">
        <f t="shared" si="4"/>
        <v>77650.711022877833</v>
      </c>
    </row>
    <row r="310" spans="1:7" x14ac:dyDescent="0.25">
      <c r="A310" s="50">
        <f>'A) Base RI'!A306</f>
        <v>5929</v>
      </c>
      <c r="B310" s="301" t="str">
        <f>'A) Base RI'!B306</f>
        <v>Suchy</v>
      </c>
      <c r="C310" s="10">
        <f>'A) Base RI'!AN306</f>
        <v>599</v>
      </c>
      <c r="D310" s="472">
        <f>'C) Prél. conj.'!H304</f>
        <v>48813.845000000001</v>
      </c>
      <c r="E310" s="10">
        <f>'D) Ecrêtage'!L304</f>
        <v>0</v>
      </c>
      <c r="F310" s="472">
        <f>$F$10*'D) Ecrêtage'!M304</f>
        <v>250905.58746758013</v>
      </c>
      <c r="G310" s="58">
        <f t="shared" si="4"/>
        <v>299719.43246758013</v>
      </c>
    </row>
    <row r="311" spans="1:7" x14ac:dyDescent="0.25">
      <c r="A311" s="50">
        <f>'A) Base RI'!A307</f>
        <v>5930</v>
      </c>
      <c r="B311" s="301" t="str">
        <f>'A) Base RI'!B307</f>
        <v>Suscévaz</v>
      </c>
      <c r="C311" s="10">
        <f>'A) Base RI'!AN307</f>
        <v>213</v>
      </c>
      <c r="D311" s="472">
        <f>'C) Prél. conj.'!H305</f>
        <v>30650.454999999998</v>
      </c>
      <c r="E311" s="10">
        <f>'D) Ecrêtage'!L305</f>
        <v>0</v>
      </c>
      <c r="F311" s="472">
        <f>$F$10*'D) Ecrêtage'!M305</f>
        <v>86428.451899257168</v>
      </c>
      <c r="G311" s="58">
        <f t="shared" si="4"/>
        <v>117078.90689925717</v>
      </c>
    </row>
    <row r="312" spans="1:7" x14ac:dyDescent="0.25">
      <c r="A312" s="50">
        <f>'A) Base RI'!A308</f>
        <v>5931</v>
      </c>
      <c r="B312" s="301" t="str">
        <f>'A) Base RI'!B308</f>
        <v>Treycovagnes</v>
      </c>
      <c r="C312" s="10">
        <f>'A) Base RI'!AN308</f>
        <v>480</v>
      </c>
      <c r="D312" s="472">
        <f>'C) Prél. conj.'!H306</f>
        <v>34521.85</v>
      </c>
      <c r="E312" s="10">
        <f>'D) Ecrêtage'!L306</f>
        <v>0</v>
      </c>
      <c r="F312" s="472">
        <f>$F$10*'D) Ecrêtage'!M306</f>
        <v>189810.06510749031</v>
      </c>
      <c r="G312" s="58">
        <f t="shared" si="4"/>
        <v>224331.91510749032</v>
      </c>
    </row>
    <row r="313" spans="1:7" x14ac:dyDescent="0.25">
      <c r="A313" s="50">
        <f>'A) Base RI'!A309</f>
        <v>5932</v>
      </c>
      <c r="B313" s="301" t="str">
        <f>'A) Base RI'!B309</f>
        <v>Ursins</v>
      </c>
      <c r="C313" s="10">
        <f>'A) Base RI'!AN309</f>
        <v>230</v>
      </c>
      <c r="D313" s="472">
        <f>'C) Prél. conj.'!H307</f>
        <v>23643.9</v>
      </c>
      <c r="E313" s="10">
        <f>'D) Ecrêtage'!L307</f>
        <v>0</v>
      </c>
      <c r="F313" s="472">
        <f>$F$10*'D) Ecrêtage'!M307</f>
        <v>97784.325187929426</v>
      </c>
      <c r="G313" s="58">
        <f t="shared" si="4"/>
        <v>121428.22518792943</v>
      </c>
    </row>
    <row r="314" spans="1:7" x14ac:dyDescent="0.25">
      <c r="A314" s="50">
        <f>'A) Base RI'!A310</f>
        <v>5933</v>
      </c>
      <c r="B314" s="301" t="str">
        <f>'A) Base RI'!B310</f>
        <v>Valeyres-sous-Montagny</v>
      </c>
      <c r="C314" s="10">
        <f>'A) Base RI'!AN310</f>
        <v>708</v>
      </c>
      <c r="D314" s="472">
        <f>'C) Prél. conj.'!H308</f>
        <v>46856.845000000008</v>
      </c>
      <c r="E314" s="10">
        <f>'D) Ecrêtage'!L308</f>
        <v>0</v>
      </c>
      <c r="F314" s="472">
        <f>$F$10*'D) Ecrêtage'!M308</f>
        <v>327207.89458899695</v>
      </c>
      <c r="G314" s="58">
        <f t="shared" si="4"/>
        <v>374064.73958899698</v>
      </c>
    </row>
    <row r="315" spans="1:7" x14ac:dyDescent="0.25">
      <c r="A315" s="50">
        <f>'A) Base RI'!A311</f>
        <v>5934</v>
      </c>
      <c r="B315" s="301" t="str">
        <f>'A) Base RI'!B311</f>
        <v>Valeyres-sous-Ursins</v>
      </c>
      <c r="C315" s="10">
        <f>'A) Base RI'!AN311</f>
        <v>232</v>
      </c>
      <c r="D315" s="472">
        <f>'C) Prél. conj.'!H309</f>
        <v>1405.5</v>
      </c>
      <c r="E315" s="10">
        <f>'D) Ecrêtage'!L309</f>
        <v>0</v>
      </c>
      <c r="F315" s="472">
        <f>$F$10*'D) Ecrêtage'!M309</f>
        <v>111561.58762974221</v>
      </c>
      <c r="G315" s="58">
        <f t="shared" si="4"/>
        <v>112967.08762974221</v>
      </c>
    </row>
    <row r="316" spans="1:7" x14ac:dyDescent="0.25">
      <c r="A316" s="50">
        <f>'A) Base RI'!A312</f>
        <v>5935</v>
      </c>
      <c r="B316" s="301" t="str">
        <f>'A) Base RI'!B312</f>
        <v>Villars-Epeney</v>
      </c>
      <c r="C316" s="10">
        <f>'A) Base RI'!AN312</f>
        <v>100</v>
      </c>
      <c r="D316" s="472">
        <f>'C) Prél. conj.'!H310</f>
        <v>6738.05</v>
      </c>
      <c r="E316" s="10">
        <f>'D) Ecrêtage'!L310</f>
        <v>1125.8738161060087</v>
      </c>
      <c r="F316" s="472">
        <f>$F$10*'D) Ecrêtage'!M310</f>
        <v>81850.48795740999</v>
      </c>
      <c r="G316" s="58">
        <f t="shared" si="4"/>
        <v>89714.411773515996</v>
      </c>
    </row>
    <row r="317" spans="1:7" x14ac:dyDescent="0.25">
      <c r="A317" s="50">
        <f>'A) Base RI'!A313</f>
        <v>5937</v>
      </c>
      <c r="B317" s="301" t="str">
        <f>'A) Base RI'!B313</f>
        <v>Vugelles-La Mothe</v>
      </c>
      <c r="C317" s="10">
        <f>'A) Base RI'!AN313</f>
        <v>132</v>
      </c>
      <c r="D317" s="472">
        <f>'C) Prél. conj.'!H311</f>
        <v>9276.5</v>
      </c>
      <c r="E317" s="10">
        <f>'D) Ecrêtage'!L311</f>
        <v>0</v>
      </c>
      <c r="F317" s="472">
        <f>$F$10*'D) Ecrêtage'!M311</f>
        <v>35600.572798046851</v>
      </c>
      <c r="G317" s="58">
        <f t="shared" si="4"/>
        <v>44877.072798046851</v>
      </c>
    </row>
    <row r="318" spans="1:7" x14ac:dyDescent="0.25">
      <c r="A318" s="50">
        <f>'A) Base RI'!A314</f>
        <v>5938</v>
      </c>
      <c r="B318" s="301" t="str">
        <f>'A) Base RI'!B314</f>
        <v>Yverdon-les-Bains</v>
      </c>
      <c r="C318" s="10">
        <f>'A) Base RI'!AN314</f>
        <v>30211</v>
      </c>
      <c r="D318" s="472">
        <f>'C) Prél. conj.'!H312</f>
        <v>3587359.06</v>
      </c>
      <c r="E318" s="10">
        <f>'D) Ecrêtage'!L312</f>
        <v>0</v>
      </c>
      <c r="F318" s="472">
        <f>$F$10*'D) Ecrêtage'!M312</f>
        <v>11334106.743547525</v>
      </c>
      <c r="G318" s="58">
        <f t="shared" si="4"/>
        <v>14921465.803547526</v>
      </c>
    </row>
    <row r="319" spans="1:7" x14ac:dyDescent="0.25">
      <c r="A319" s="50">
        <f>'A) Base RI'!A315</f>
        <v>5939</v>
      </c>
      <c r="B319" s="301" t="str">
        <f>'A) Base RI'!B315</f>
        <v>Yvonand</v>
      </c>
      <c r="C319" s="10">
        <f>'A) Base RI'!AN315</f>
        <v>3426</v>
      </c>
      <c r="D319" s="472">
        <f>'C) Prél. conj.'!H313</f>
        <v>350363.39</v>
      </c>
      <c r="E319" s="10">
        <f>'D) Ecrêtage'!L313</f>
        <v>0</v>
      </c>
      <c r="F319" s="472">
        <f>$F$10*'D) Ecrêtage'!M313</f>
        <v>1372707.2333460362</v>
      </c>
      <c r="G319" s="58">
        <f t="shared" si="4"/>
        <v>1723070.6233460363</v>
      </c>
    </row>
    <row r="320" spans="1:7" x14ac:dyDescent="0.25">
      <c r="A320" s="31"/>
      <c r="B320" s="308">
        <f>COUNTA(B11:B319)</f>
        <v>309</v>
      </c>
      <c r="C320" s="11">
        <f>SUM(C11:C319)</f>
        <v>800162</v>
      </c>
      <c r="D320" s="309">
        <f>SUM(D11:D319)</f>
        <v>152965574.78000018</v>
      </c>
      <c r="E320" s="11">
        <f>SUM(E11:E319)</f>
        <v>109478427.37115017</v>
      </c>
      <c r="F320" s="309">
        <f>SUM(F11:F319)</f>
        <v>527566911.84884989</v>
      </c>
      <c r="G320" s="38">
        <f>SUM(G11:G319)</f>
        <v>790010913.99999928</v>
      </c>
    </row>
    <row r="321" spans="1:13" x14ac:dyDescent="0.25">
      <c r="C321" s="76"/>
      <c r="D321" s="76"/>
      <c r="E321" s="76"/>
      <c r="F321" s="76"/>
    </row>
    <row r="322" spans="1:13" x14ac:dyDescent="0.25">
      <c r="A322" s="77"/>
      <c r="B322" s="78"/>
      <c r="C322" s="78"/>
      <c r="D322" s="46"/>
      <c r="E322" s="79"/>
      <c r="F322" s="16"/>
      <c r="G322" s="16"/>
      <c r="H322" s="16"/>
      <c r="I322" s="16"/>
      <c r="J322" s="16"/>
      <c r="M322" s="16"/>
    </row>
    <row r="323" spans="1:13" x14ac:dyDescent="0.25">
      <c r="F323" s="77"/>
      <c r="G323" s="77"/>
      <c r="H323" s="77"/>
      <c r="I323" s="77"/>
      <c r="J323" s="77"/>
      <c r="K323" s="77"/>
      <c r="L323" s="78"/>
      <c r="M323" s="77"/>
    </row>
    <row r="324" spans="1:13" x14ac:dyDescent="0.25">
      <c r="F324" s="78"/>
      <c r="G324" s="77"/>
      <c r="H324" s="77"/>
      <c r="I324" s="77"/>
      <c r="J324" s="77"/>
      <c r="K324" s="77"/>
      <c r="L324" s="77"/>
      <c r="M324" s="77"/>
    </row>
    <row r="325" spans="1:13" x14ac:dyDescent="0.25">
      <c r="F325" s="78"/>
      <c r="G325" s="77"/>
      <c r="H325" s="77"/>
      <c r="I325" s="77"/>
      <c r="M325" s="77"/>
    </row>
    <row r="326" spans="1:13" x14ac:dyDescent="0.25">
      <c r="F326" s="78"/>
      <c r="G326" s="77"/>
      <c r="H326" s="77"/>
      <c r="I326" s="77"/>
      <c r="M326" s="77"/>
    </row>
    <row r="327" spans="1:13" x14ac:dyDescent="0.25">
      <c r="F327" s="90"/>
      <c r="G327" s="77"/>
      <c r="H327" s="77"/>
      <c r="I327" s="77"/>
      <c r="M327" s="77"/>
    </row>
    <row r="328" spans="1:13" x14ac:dyDescent="0.25">
      <c r="D328" s="18"/>
      <c r="E328" s="77"/>
      <c r="F328" s="77"/>
      <c r="G328" s="77"/>
      <c r="H328" s="77"/>
      <c r="I328" s="77"/>
      <c r="J328" s="77"/>
      <c r="K328" s="77"/>
      <c r="L328" s="77"/>
      <c r="M328" s="77"/>
    </row>
    <row r="329" spans="1:13" x14ac:dyDescent="0.25">
      <c r="C329" s="62"/>
      <c r="E329" s="77"/>
      <c r="F329" s="77"/>
      <c r="G329" s="77"/>
      <c r="H329" s="77"/>
      <c r="I329" s="77"/>
      <c r="J329" s="77"/>
      <c r="K329" s="77"/>
      <c r="L329" s="77"/>
      <c r="M329" s="77"/>
    </row>
    <row r="330" spans="1:13" x14ac:dyDescent="0.25">
      <c r="E330" s="77"/>
      <c r="F330" s="77"/>
      <c r="G330" s="77"/>
      <c r="H330" s="77"/>
      <c r="I330" s="77"/>
      <c r="J330" s="77"/>
      <c r="M330" s="77"/>
    </row>
    <row r="331" spans="1:13" x14ac:dyDescent="0.25">
      <c r="E331" s="77"/>
      <c r="F331" s="77"/>
      <c r="G331" s="77"/>
      <c r="H331" s="77"/>
      <c r="I331" s="77"/>
      <c r="J331" s="77"/>
      <c r="M331" s="77"/>
    </row>
    <row r="332" spans="1:13" x14ac:dyDescent="0.25">
      <c r="E332" s="77"/>
      <c r="F332" s="77"/>
      <c r="G332" s="77"/>
      <c r="H332" s="77"/>
      <c r="I332" s="77"/>
      <c r="J332" s="77"/>
      <c r="M332" s="77"/>
    </row>
  </sheetData>
  <mergeCells count="7">
    <mergeCell ref="A3:C3"/>
    <mergeCell ref="A9:A10"/>
    <mergeCell ref="G9:G10"/>
    <mergeCell ref="E9:E10"/>
    <mergeCell ref="D9:D10"/>
    <mergeCell ref="C9:C10"/>
    <mergeCell ref="B9:B10"/>
  </mergeCells>
  <phoneticPr fontId="0" type="noConversion"/>
  <printOptions horizontalCentered="1"/>
  <pageMargins left="0" right="0" top="0" bottom="0" header="0.51181102362204722" footer="0.51181102362204722"/>
  <pageSetup paperSize="9" scale="73" orientation="portrait" horizontalDpi="4294967292" verticalDpi="4294967292"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9">
    <tabColor rgb="FF00B050"/>
  </sheetPr>
  <dimension ref="A1:L328"/>
  <sheetViews>
    <sheetView workbookViewId="0"/>
  </sheetViews>
  <sheetFormatPr baseColWidth="10" defaultColWidth="11" defaultRowHeight="15" x14ac:dyDescent="0.25"/>
  <cols>
    <col min="1" max="1" width="7.25" style="13" customWidth="1"/>
    <col min="2" max="2" width="17.375" style="13" bestFit="1" customWidth="1"/>
    <col min="3" max="3" width="8" style="13" bestFit="1" customWidth="1"/>
    <col min="4" max="9" width="11" style="13"/>
    <col min="10" max="10" width="8.25" style="13" bestFit="1" customWidth="1"/>
    <col min="11" max="11" width="10.75" style="13" bestFit="1" customWidth="1"/>
    <col min="12" max="16384" width="11" style="13"/>
  </cols>
  <sheetData>
    <row r="1" spans="1:12" ht="21" x14ac:dyDescent="0.25">
      <c r="A1" s="52" t="s">
        <v>465</v>
      </c>
      <c r="B1" s="43"/>
      <c r="C1" s="73"/>
    </row>
    <row r="2" spans="1:12" x14ac:dyDescent="0.25">
      <c r="A2" s="28"/>
      <c r="B2" s="54"/>
    </row>
    <row r="3" spans="1:12" x14ac:dyDescent="0.25">
      <c r="A3" s="28"/>
      <c r="B3" s="54"/>
      <c r="C3" s="563" t="s">
        <v>314</v>
      </c>
      <c r="D3" s="564"/>
      <c r="E3" s="564"/>
      <c r="F3" s="564"/>
      <c r="G3" s="564"/>
      <c r="H3" s="564"/>
      <c r="I3" s="564"/>
      <c r="J3" s="565"/>
    </row>
    <row r="4" spans="1:12" x14ac:dyDescent="0.25">
      <c r="C4" s="110" t="s">
        <v>313</v>
      </c>
      <c r="D4" s="107">
        <f>Paramètres!B24</f>
        <v>0</v>
      </c>
      <c r="E4" s="107">
        <f>Paramètres!C24</f>
        <v>1000</v>
      </c>
      <c r="F4" s="107">
        <f>Paramètres!D24</f>
        <v>3000</v>
      </c>
      <c r="G4" s="107">
        <f>Paramètres!E24</f>
        <v>5000</v>
      </c>
      <c r="H4" s="107">
        <f>Paramètres!F24</f>
        <v>9000</v>
      </c>
      <c r="I4" s="107">
        <f>Paramètres!G24</f>
        <v>12000</v>
      </c>
      <c r="J4" s="107">
        <f>Paramètres!H24</f>
        <v>15000</v>
      </c>
    </row>
    <row r="5" spans="1:12" x14ac:dyDescent="0.25">
      <c r="C5" s="111" t="s">
        <v>315</v>
      </c>
      <c r="D5" s="107">
        <f>Paramètres!B25</f>
        <v>1000</v>
      </c>
      <c r="E5" s="107">
        <f>Paramètres!C25</f>
        <v>3000</v>
      </c>
      <c r="F5" s="107">
        <f>Paramètres!D25</f>
        <v>5000</v>
      </c>
      <c r="G5" s="107">
        <f>Paramètres!E25</f>
        <v>9000</v>
      </c>
      <c r="H5" s="107">
        <f>Paramètres!F25</f>
        <v>12000</v>
      </c>
      <c r="I5" s="107">
        <f>Paramètres!G25</f>
        <v>15000</v>
      </c>
      <c r="J5" s="107"/>
    </row>
    <row r="6" spans="1:12" ht="30.2" customHeight="1" x14ac:dyDescent="0.25">
      <c r="A6" s="535" t="s">
        <v>50</v>
      </c>
      <c r="B6" s="535" t="s">
        <v>101</v>
      </c>
      <c r="C6" s="535" t="s">
        <v>310</v>
      </c>
      <c r="D6" s="553" t="s">
        <v>316</v>
      </c>
      <c r="E6" s="554"/>
      <c r="F6" s="554"/>
      <c r="G6" s="554"/>
      <c r="H6" s="554"/>
      <c r="I6" s="554"/>
      <c r="J6" s="555"/>
      <c r="K6" s="535" t="s">
        <v>301</v>
      </c>
    </row>
    <row r="7" spans="1:12" x14ac:dyDescent="0.25">
      <c r="A7" s="537"/>
      <c r="B7" s="537"/>
      <c r="C7" s="536"/>
      <c r="D7" s="280">
        <f>Paramètres!B29</f>
        <v>99.899396378269614</v>
      </c>
      <c r="E7" s="280">
        <f>Paramètres!C29</f>
        <v>349.64788732394362</v>
      </c>
      <c r="F7" s="280">
        <f>Paramètres!D29</f>
        <v>499.49698189134801</v>
      </c>
      <c r="G7" s="280">
        <f>Paramètres!E29</f>
        <v>599.39637826961768</v>
      </c>
      <c r="H7" s="280">
        <f>Paramètres!F29</f>
        <v>849.14486921529169</v>
      </c>
      <c r="I7" s="280">
        <f>Paramètres!G29</f>
        <v>998.99396378269603</v>
      </c>
      <c r="J7" s="280">
        <f>Paramètres!H29</f>
        <v>1048.9436619718308</v>
      </c>
      <c r="K7" s="537"/>
    </row>
    <row r="8" spans="1:12" x14ac:dyDescent="0.25">
      <c r="A8" s="47">
        <f>'A) Base RI'!A7</f>
        <v>5401</v>
      </c>
      <c r="B8" s="307" t="str">
        <f>'A) Base RI'!B7</f>
        <v>Aigle</v>
      </c>
      <c r="C8" s="14">
        <f>'A) Base RI'!AN7</f>
        <v>10134</v>
      </c>
      <c r="D8" s="10">
        <f>IF($C8&gt;D$4,IF($C8&lt;D$5,$C8-D$4,D$5-D$4),0)</f>
        <v>1000</v>
      </c>
      <c r="E8" s="14">
        <f t="shared" ref="E8:I23" si="0">IF($C8&gt;E$4,IF($C8&lt;E$5,$C8-E$4,E$5-E$4),0)</f>
        <v>2000</v>
      </c>
      <c r="F8" s="10">
        <f t="shared" si="0"/>
        <v>2000</v>
      </c>
      <c r="G8" s="14">
        <f t="shared" si="0"/>
        <v>4000</v>
      </c>
      <c r="H8" s="42">
        <f t="shared" si="0"/>
        <v>1134</v>
      </c>
      <c r="I8" s="10">
        <f t="shared" si="0"/>
        <v>0</v>
      </c>
      <c r="J8" s="10">
        <f>IF(C8&gt;$J$4,C8-$J$4,0)</f>
        <v>0</v>
      </c>
      <c r="K8" s="120">
        <f>(D8*D$7)+(E8*E$7)+(F8*F$7)+(G8*G$7)+(H8*H$7)+(I8*I$7)+(J8*J$7)</f>
        <v>5158704.9295774642</v>
      </c>
    </row>
    <row r="9" spans="1:12" x14ac:dyDescent="0.25">
      <c r="A9" s="50">
        <f>'A) Base RI'!A8</f>
        <v>5402</v>
      </c>
      <c r="B9" s="33" t="str">
        <f>'A) Base RI'!B8</f>
        <v>Bex</v>
      </c>
      <c r="C9" s="472">
        <f>'A) Base RI'!AN8</f>
        <v>7757</v>
      </c>
      <c r="D9" s="10">
        <f t="shared" ref="D9:I63" si="1">IF($C9&gt;D$4,IF($C9&lt;D$5,$C9-D$4,D$5-D$4),0)</f>
        <v>1000</v>
      </c>
      <c r="E9" s="472">
        <f t="shared" si="0"/>
        <v>2000</v>
      </c>
      <c r="F9" s="10">
        <f t="shared" si="0"/>
        <v>2000</v>
      </c>
      <c r="G9" s="472">
        <f t="shared" si="0"/>
        <v>2757</v>
      </c>
      <c r="H9" s="42">
        <f t="shared" si="0"/>
        <v>0</v>
      </c>
      <c r="I9" s="10">
        <f t="shared" si="0"/>
        <v>0</v>
      </c>
      <c r="J9" s="10">
        <f t="shared" ref="J9:J72" si="2">IF(C9&gt;$J$4,C9-$J$4,0)</f>
        <v>0</v>
      </c>
      <c r="K9" s="120">
        <f t="shared" ref="K9:K72" si="3">(D9*D$7)+(E9*E$7)+(F9*F$7)+(G9*G$7)+(H9*H$7)+(I9*I$7)+(J9*J$7)</f>
        <v>3450724.9496981888</v>
      </c>
    </row>
    <row r="10" spans="1:12" x14ac:dyDescent="0.25">
      <c r="A10" s="50">
        <f>'A) Base RI'!A9</f>
        <v>5403</v>
      </c>
      <c r="B10" s="33" t="str">
        <f>'A) Base RI'!B9</f>
        <v>Chessel</v>
      </c>
      <c r="C10" s="472">
        <f>'A) Base RI'!AN9</f>
        <v>426</v>
      </c>
      <c r="D10" s="10">
        <f t="shared" si="1"/>
        <v>426</v>
      </c>
      <c r="E10" s="472">
        <f t="shared" si="0"/>
        <v>0</v>
      </c>
      <c r="F10" s="10">
        <f t="shared" si="0"/>
        <v>0</v>
      </c>
      <c r="G10" s="472">
        <f t="shared" si="0"/>
        <v>0</v>
      </c>
      <c r="H10" s="42">
        <f t="shared" si="0"/>
        <v>0</v>
      </c>
      <c r="I10" s="10">
        <f t="shared" si="0"/>
        <v>0</v>
      </c>
      <c r="J10" s="10">
        <f t="shared" si="2"/>
        <v>0</v>
      </c>
      <c r="K10" s="120">
        <f t="shared" si="3"/>
        <v>42557.142857142855</v>
      </c>
    </row>
    <row r="11" spans="1:12" x14ac:dyDescent="0.25">
      <c r="A11" s="50">
        <f>'A) Base RI'!A10</f>
        <v>5404</v>
      </c>
      <c r="B11" s="33" t="str">
        <f>'A) Base RI'!B10</f>
        <v>Corbeyrier</v>
      </c>
      <c r="C11" s="472">
        <f>'A) Base RI'!AN10</f>
        <v>438</v>
      </c>
      <c r="D11" s="10">
        <f t="shared" si="1"/>
        <v>438</v>
      </c>
      <c r="E11" s="472">
        <f t="shared" si="0"/>
        <v>0</v>
      </c>
      <c r="F11" s="10">
        <f t="shared" si="0"/>
        <v>0</v>
      </c>
      <c r="G11" s="472">
        <f t="shared" si="0"/>
        <v>0</v>
      </c>
      <c r="H11" s="42">
        <f t="shared" si="0"/>
        <v>0</v>
      </c>
      <c r="I11" s="10">
        <f t="shared" si="0"/>
        <v>0</v>
      </c>
      <c r="J11" s="10">
        <f t="shared" si="2"/>
        <v>0</v>
      </c>
      <c r="K11" s="120">
        <f t="shared" si="3"/>
        <v>43755.935613682093</v>
      </c>
    </row>
    <row r="12" spans="1:12" x14ac:dyDescent="0.25">
      <c r="A12" s="50">
        <f>'A) Base RI'!A11</f>
        <v>5405</v>
      </c>
      <c r="B12" s="33" t="str">
        <f>'A) Base RI'!B11</f>
        <v>Gryon</v>
      </c>
      <c r="C12" s="472">
        <f>'A) Base RI'!AN11</f>
        <v>1332</v>
      </c>
      <c r="D12" s="10">
        <f t="shared" si="1"/>
        <v>1000</v>
      </c>
      <c r="E12" s="472">
        <f t="shared" si="0"/>
        <v>332</v>
      </c>
      <c r="F12" s="10">
        <f t="shared" si="0"/>
        <v>0</v>
      </c>
      <c r="G12" s="472">
        <f t="shared" si="0"/>
        <v>0</v>
      </c>
      <c r="H12" s="42">
        <f t="shared" si="0"/>
        <v>0</v>
      </c>
      <c r="I12" s="10">
        <f t="shared" si="0"/>
        <v>0</v>
      </c>
      <c r="J12" s="10">
        <f t="shared" si="2"/>
        <v>0</v>
      </c>
      <c r="K12" s="120">
        <f t="shared" si="3"/>
        <v>215982.49496981889</v>
      </c>
    </row>
    <row r="13" spans="1:12" x14ac:dyDescent="0.25">
      <c r="A13" s="50">
        <f>'A) Base RI'!A12</f>
        <v>5406</v>
      </c>
      <c r="B13" s="33" t="str">
        <f>'A) Base RI'!B12</f>
        <v>Lavey-Morcles</v>
      </c>
      <c r="C13" s="472">
        <f>'A) Base RI'!AN12</f>
        <v>946</v>
      </c>
      <c r="D13" s="10">
        <f t="shared" si="1"/>
        <v>946</v>
      </c>
      <c r="E13" s="472">
        <f t="shared" si="0"/>
        <v>0</v>
      </c>
      <c r="F13" s="10">
        <f t="shared" si="0"/>
        <v>0</v>
      </c>
      <c r="G13" s="472">
        <f t="shared" si="0"/>
        <v>0</v>
      </c>
      <c r="H13" s="42">
        <f t="shared" si="0"/>
        <v>0</v>
      </c>
      <c r="I13" s="10">
        <f t="shared" si="0"/>
        <v>0</v>
      </c>
      <c r="J13" s="10">
        <f t="shared" si="2"/>
        <v>0</v>
      </c>
      <c r="K13" s="120">
        <f t="shared" si="3"/>
        <v>94504.828973843061</v>
      </c>
    </row>
    <row r="14" spans="1:12" x14ac:dyDescent="0.25">
      <c r="A14" s="50">
        <f>'A) Base RI'!A13</f>
        <v>5407</v>
      </c>
      <c r="B14" s="33" t="str">
        <f>'A) Base RI'!B13</f>
        <v>Leysin</v>
      </c>
      <c r="C14" s="472">
        <f>'A) Base RI'!AN13</f>
        <v>3939</v>
      </c>
      <c r="D14" s="10">
        <f t="shared" si="1"/>
        <v>1000</v>
      </c>
      <c r="E14" s="472">
        <f t="shared" si="0"/>
        <v>2000</v>
      </c>
      <c r="F14" s="10">
        <f t="shared" si="0"/>
        <v>939</v>
      </c>
      <c r="G14" s="472">
        <f t="shared" si="0"/>
        <v>0</v>
      </c>
      <c r="H14" s="42">
        <f t="shared" si="0"/>
        <v>0</v>
      </c>
      <c r="I14" s="10">
        <f t="shared" si="0"/>
        <v>0</v>
      </c>
      <c r="J14" s="10">
        <f t="shared" si="2"/>
        <v>0</v>
      </c>
      <c r="K14" s="120">
        <f t="shared" si="3"/>
        <v>1268222.8370221327</v>
      </c>
      <c r="L14" s="12"/>
    </row>
    <row r="15" spans="1:12" x14ac:dyDescent="0.25">
      <c r="A15" s="50">
        <f>'A) Base RI'!A14</f>
        <v>5408</v>
      </c>
      <c r="B15" s="33" t="str">
        <f>'A) Base RI'!B14</f>
        <v>Noville</v>
      </c>
      <c r="C15" s="472">
        <f>'A) Base RI'!AN14</f>
        <v>1113</v>
      </c>
      <c r="D15" s="10">
        <f t="shared" si="1"/>
        <v>1000</v>
      </c>
      <c r="E15" s="472">
        <f t="shared" si="0"/>
        <v>113</v>
      </c>
      <c r="F15" s="10">
        <f t="shared" si="0"/>
        <v>0</v>
      </c>
      <c r="G15" s="472">
        <f t="shared" si="0"/>
        <v>0</v>
      </c>
      <c r="H15" s="42">
        <f t="shared" si="0"/>
        <v>0</v>
      </c>
      <c r="I15" s="10">
        <f t="shared" si="0"/>
        <v>0</v>
      </c>
      <c r="J15" s="10">
        <f t="shared" si="2"/>
        <v>0</v>
      </c>
      <c r="K15" s="120">
        <f t="shared" si="3"/>
        <v>139409.60764587525</v>
      </c>
    </row>
    <row r="16" spans="1:12" x14ac:dyDescent="0.25">
      <c r="A16" s="50">
        <f>'A) Base RI'!A15</f>
        <v>5409</v>
      </c>
      <c r="B16" s="33" t="str">
        <f>'A) Base RI'!B15</f>
        <v>Ollon</v>
      </c>
      <c r="C16" s="472">
        <f>'A) Base RI'!AN15</f>
        <v>7461</v>
      </c>
      <c r="D16" s="10">
        <f t="shared" si="1"/>
        <v>1000</v>
      </c>
      <c r="E16" s="472">
        <f t="shared" si="0"/>
        <v>2000</v>
      </c>
      <c r="F16" s="10">
        <f t="shared" si="0"/>
        <v>2000</v>
      </c>
      <c r="G16" s="472">
        <f t="shared" si="0"/>
        <v>2461</v>
      </c>
      <c r="H16" s="42">
        <f t="shared" si="0"/>
        <v>0</v>
      </c>
      <c r="I16" s="10">
        <f t="shared" si="0"/>
        <v>0</v>
      </c>
      <c r="J16" s="10">
        <f t="shared" si="2"/>
        <v>0</v>
      </c>
      <c r="K16" s="120">
        <f t="shared" si="3"/>
        <v>3273303.6217303816</v>
      </c>
    </row>
    <row r="17" spans="1:11" x14ac:dyDescent="0.25">
      <c r="A17" s="50">
        <f>'A) Base RI'!A16</f>
        <v>5410</v>
      </c>
      <c r="B17" s="33" t="str">
        <f>'A) Base RI'!B16</f>
        <v>Ormont-Dessous</v>
      </c>
      <c r="C17" s="472">
        <f>'A) Base RI'!AN16</f>
        <v>1121</v>
      </c>
      <c r="D17" s="10">
        <f t="shared" si="1"/>
        <v>1000</v>
      </c>
      <c r="E17" s="472">
        <f t="shared" si="0"/>
        <v>121</v>
      </c>
      <c r="F17" s="10">
        <f t="shared" si="0"/>
        <v>0</v>
      </c>
      <c r="G17" s="472">
        <f t="shared" si="0"/>
        <v>0</v>
      </c>
      <c r="H17" s="42">
        <f t="shared" si="0"/>
        <v>0</v>
      </c>
      <c r="I17" s="10">
        <f t="shared" si="0"/>
        <v>0</v>
      </c>
      <c r="J17" s="10">
        <f t="shared" si="2"/>
        <v>0</v>
      </c>
      <c r="K17" s="120">
        <f t="shared" si="3"/>
        <v>142206.79074446679</v>
      </c>
    </row>
    <row r="18" spans="1:11" x14ac:dyDescent="0.25">
      <c r="A18" s="50">
        <f>'A) Base RI'!A17</f>
        <v>5411</v>
      </c>
      <c r="B18" s="33" t="str">
        <f>'A) Base RI'!B17</f>
        <v>Ormont-Dessus</v>
      </c>
      <c r="C18" s="472">
        <f>'A) Base RI'!AN17</f>
        <v>1446</v>
      </c>
      <c r="D18" s="10">
        <f t="shared" si="1"/>
        <v>1000</v>
      </c>
      <c r="E18" s="472">
        <f t="shared" si="0"/>
        <v>446</v>
      </c>
      <c r="F18" s="10">
        <f t="shared" si="0"/>
        <v>0</v>
      </c>
      <c r="G18" s="472">
        <f t="shared" si="0"/>
        <v>0</v>
      </c>
      <c r="H18" s="42">
        <f t="shared" si="0"/>
        <v>0</v>
      </c>
      <c r="I18" s="10">
        <f t="shared" si="0"/>
        <v>0</v>
      </c>
      <c r="J18" s="10">
        <f t="shared" si="2"/>
        <v>0</v>
      </c>
      <c r="K18" s="120">
        <f t="shared" si="3"/>
        <v>255842.35412474844</v>
      </c>
    </row>
    <row r="19" spans="1:11" x14ac:dyDescent="0.25">
      <c r="A19" s="50">
        <f>'A) Base RI'!A18</f>
        <v>5412</v>
      </c>
      <c r="B19" s="33" t="str">
        <f>'A) Base RI'!B18</f>
        <v>Rennaz</v>
      </c>
      <c r="C19" s="472">
        <f>'A) Base RI'!AN18</f>
        <v>826</v>
      </c>
      <c r="D19" s="10">
        <f t="shared" si="1"/>
        <v>826</v>
      </c>
      <c r="E19" s="472">
        <f t="shared" si="0"/>
        <v>0</v>
      </c>
      <c r="F19" s="10">
        <f t="shared" si="0"/>
        <v>0</v>
      </c>
      <c r="G19" s="472">
        <f t="shared" si="0"/>
        <v>0</v>
      </c>
      <c r="H19" s="42">
        <f t="shared" si="0"/>
        <v>0</v>
      </c>
      <c r="I19" s="10">
        <f t="shared" si="0"/>
        <v>0</v>
      </c>
      <c r="J19" s="10">
        <f t="shared" si="2"/>
        <v>0</v>
      </c>
      <c r="K19" s="120">
        <f t="shared" si="3"/>
        <v>82516.901408450707</v>
      </c>
    </row>
    <row r="20" spans="1:11" x14ac:dyDescent="0.25">
      <c r="A20" s="50">
        <f>'A) Base RI'!A19</f>
        <v>5413</v>
      </c>
      <c r="B20" s="33" t="str">
        <f>'A) Base RI'!B19</f>
        <v>Roche</v>
      </c>
      <c r="C20" s="472">
        <f>'A) Base RI'!AN19</f>
        <v>1775</v>
      </c>
      <c r="D20" s="10">
        <f t="shared" si="1"/>
        <v>1000</v>
      </c>
      <c r="E20" s="472">
        <f t="shared" si="0"/>
        <v>775</v>
      </c>
      <c r="F20" s="10">
        <f t="shared" si="0"/>
        <v>0</v>
      </c>
      <c r="G20" s="472">
        <f t="shared" si="0"/>
        <v>0</v>
      </c>
      <c r="H20" s="42">
        <f t="shared" si="0"/>
        <v>0</v>
      </c>
      <c r="I20" s="10">
        <f t="shared" si="0"/>
        <v>0</v>
      </c>
      <c r="J20" s="10">
        <f t="shared" si="2"/>
        <v>0</v>
      </c>
      <c r="K20" s="120">
        <f t="shared" si="3"/>
        <v>370876.50905432593</v>
      </c>
    </row>
    <row r="21" spans="1:11" x14ac:dyDescent="0.25">
      <c r="A21" s="50">
        <f>'A) Base RI'!A20</f>
        <v>5414</v>
      </c>
      <c r="B21" s="33" t="str">
        <f>'A) Base RI'!B20</f>
        <v>Villeneuve</v>
      </c>
      <c r="C21" s="472">
        <f>'A) Base RI'!AN20</f>
        <v>5771</v>
      </c>
      <c r="D21" s="10">
        <f t="shared" si="1"/>
        <v>1000</v>
      </c>
      <c r="E21" s="472">
        <f t="shared" si="0"/>
        <v>2000</v>
      </c>
      <c r="F21" s="10">
        <f t="shared" si="0"/>
        <v>2000</v>
      </c>
      <c r="G21" s="472">
        <f t="shared" si="0"/>
        <v>771</v>
      </c>
      <c r="H21" s="42">
        <f t="shared" si="0"/>
        <v>0</v>
      </c>
      <c r="I21" s="10">
        <f t="shared" si="0"/>
        <v>0</v>
      </c>
      <c r="J21" s="10">
        <f t="shared" si="2"/>
        <v>0</v>
      </c>
      <c r="K21" s="120">
        <f t="shared" si="3"/>
        <v>2260323.7424547281</v>
      </c>
    </row>
    <row r="22" spans="1:11" x14ac:dyDescent="0.25">
      <c r="A22" s="50">
        <f>'A) Base RI'!A21</f>
        <v>5415</v>
      </c>
      <c r="B22" s="33" t="str">
        <f>'A) Base RI'!B21</f>
        <v>Yvorne</v>
      </c>
      <c r="C22" s="472">
        <f>'A) Base RI'!AN21</f>
        <v>1066</v>
      </c>
      <c r="D22" s="10">
        <f t="shared" si="1"/>
        <v>1000</v>
      </c>
      <c r="E22" s="472">
        <f t="shared" si="0"/>
        <v>66</v>
      </c>
      <c r="F22" s="10">
        <f t="shared" si="0"/>
        <v>0</v>
      </c>
      <c r="G22" s="472">
        <f t="shared" si="0"/>
        <v>0</v>
      </c>
      <c r="H22" s="42">
        <f t="shared" si="0"/>
        <v>0</v>
      </c>
      <c r="I22" s="10">
        <f t="shared" si="0"/>
        <v>0</v>
      </c>
      <c r="J22" s="10">
        <f t="shared" si="2"/>
        <v>0</v>
      </c>
      <c r="K22" s="120">
        <f t="shared" si="3"/>
        <v>122976.15694164988</v>
      </c>
    </row>
    <row r="23" spans="1:11" x14ac:dyDescent="0.25">
      <c r="A23" s="50">
        <f>'A) Base RI'!A22</f>
        <v>5421</v>
      </c>
      <c r="B23" s="33" t="str">
        <f>'A) Base RI'!B22</f>
        <v>Apples</v>
      </c>
      <c r="C23" s="472">
        <f>'A) Base RI'!AN22</f>
        <v>1469</v>
      </c>
      <c r="D23" s="10">
        <f t="shared" si="1"/>
        <v>1000</v>
      </c>
      <c r="E23" s="472">
        <f t="shared" si="0"/>
        <v>469</v>
      </c>
      <c r="F23" s="10">
        <f t="shared" si="0"/>
        <v>0</v>
      </c>
      <c r="G23" s="472">
        <f t="shared" si="0"/>
        <v>0</v>
      </c>
      <c r="H23" s="42">
        <f t="shared" si="0"/>
        <v>0</v>
      </c>
      <c r="I23" s="10">
        <f t="shared" si="0"/>
        <v>0</v>
      </c>
      <c r="J23" s="10">
        <f t="shared" si="2"/>
        <v>0</v>
      </c>
      <c r="K23" s="120">
        <f t="shared" si="3"/>
        <v>263884.25553319918</v>
      </c>
    </row>
    <row r="24" spans="1:11" x14ac:dyDescent="0.25">
      <c r="A24" s="50">
        <f>'A) Base RI'!A23</f>
        <v>5422</v>
      </c>
      <c r="B24" s="33" t="str">
        <f>'A) Base RI'!B23</f>
        <v>Aubonne</v>
      </c>
      <c r="C24" s="472">
        <f>'A) Base RI'!AN23</f>
        <v>3242</v>
      </c>
      <c r="D24" s="10">
        <f t="shared" si="1"/>
        <v>1000</v>
      </c>
      <c r="E24" s="472">
        <f t="shared" si="1"/>
        <v>2000</v>
      </c>
      <c r="F24" s="10">
        <f t="shared" si="1"/>
        <v>242</v>
      </c>
      <c r="G24" s="472">
        <f t="shared" si="1"/>
        <v>0</v>
      </c>
      <c r="H24" s="42">
        <f t="shared" si="1"/>
        <v>0</v>
      </c>
      <c r="I24" s="10">
        <f t="shared" si="1"/>
        <v>0</v>
      </c>
      <c r="J24" s="10">
        <f t="shared" si="2"/>
        <v>0</v>
      </c>
      <c r="K24" s="120">
        <f t="shared" si="3"/>
        <v>920073.44064386305</v>
      </c>
    </row>
    <row r="25" spans="1:11" x14ac:dyDescent="0.25">
      <c r="A25" s="50">
        <f>'A) Base RI'!A24</f>
        <v>5423</v>
      </c>
      <c r="B25" s="33" t="str">
        <f>'A) Base RI'!B24</f>
        <v>Ballens</v>
      </c>
      <c r="C25" s="472">
        <f>'A) Base RI'!AN24</f>
        <v>536</v>
      </c>
      <c r="D25" s="10">
        <f t="shared" si="1"/>
        <v>536</v>
      </c>
      <c r="E25" s="472">
        <f t="shared" si="1"/>
        <v>0</v>
      </c>
      <c r="F25" s="10">
        <f t="shared" si="1"/>
        <v>0</v>
      </c>
      <c r="G25" s="472">
        <f t="shared" si="1"/>
        <v>0</v>
      </c>
      <c r="H25" s="42">
        <f t="shared" si="1"/>
        <v>0</v>
      </c>
      <c r="I25" s="10">
        <f t="shared" si="1"/>
        <v>0</v>
      </c>
      <c r="J25" s="10">
        <f t="shared" si="2"/>
        <v>0</v>
      </c>
      <c r="K25" s="120">
        <f t="shared" si="3"/>
        <v>53546.076458752512</v>
      </c>
    </row>
    <row r="26" spans="1:11" x14ac:dyDescent="0.25">
      <c r="A26" s="50">
        <f>'A) Base RI'!A25</f>
        <v>5424</v>
      </c>
      <c r="B26" s="33" t="str">
        <f>'A) Base RI'!B25</f>
        <v>Berolle</v>
      </c>
      <c r="C26" s="472">
        <f>'A) Base RI'!AN25</f>
        <v>307</v>
      </c>
      <c r="D26" s="10">
        <f t="shared" si="1"/>
        <v>307</v>
      </c>
      <c r="E26" s="472">
        <f t="shared" si="1"/>
        <v>0</v>
      </c>
      <c r="F26" s="10">
        <f t="shared" si="1"/>
        <v>0</v>
      </c>
      <c r="G26" s="472">
        <f t="shared" si="1"/>
        <v>0</v>
      </c>
      <c r="H26" s="42">
        <f t="shared" si="1"/>
        <v>0</v>
      </c>
      <c r="I26" s="10">
        <f t="shared" si="1"/>
        <v>0</v>
      </c>
      <c r="J26" s="10">
        <f t="shared" si="2"/>
        <v>0</v>
      </c>
      <c r="K26" s="120">
        <f t="shared" si="3"/>
        <v>30669.114688128771</v>
      </c>
    </row>
    <row r="27" spans="1:11" x14ac:dyDescent="0.25">
      <c r="A27" s="50">
        <f>'A) Base RI'!A26</f>
        <v>5425</v>
      </c>
      <c r="B27" s="33" t="str">
        <f>'A) Base RI'!B26</f>
        <v>Bière</v>
      </c>
      <c r="C27" s="472">
        <f>'A) Base RI'!AN26</f>
        <v>1595</v>
      </c>
      <c r="D27" s="10">
        <f t="shared" si="1"/>
        <v>1000</v>
      </c>
      <c r="E27" s="472">
        <f t="shared" si="1"/>
        <v>595</v>
      </c>
      <c r="F27" s="10">
        <f t="shared" si="1"/>
        <v>0</v>
      </c>
      <c r="G27" s="472">
        <f t="shared" si="1"/>
        <v>0</v>
      </c>
      <c r="H27" s="42">
        <f t="shared" si="1"/>
        <v>0</v>
      </c>
      <c r="I27" s="10">
        <f t="shared" si="1"/>
        <v>0</v>
      </c>
      <c r="J27" s="10">
        <f t="shared" si="2"/>
        <v>0</v>
      </c>
      <c r="K27" s="120">
        <f t="shared" si="3"/>
        <v>307939.88933601609</v>
      </c>
    </row>
    <row r="28" spans="1:11" x14ac:dyDescent="0.25">
      <c r="A28" s="50">
        <f>'A) Base RI'!A27</f>
        <v>5426</v>
      </c>
      <c r="B28" s="33" t="str">
        <f>'A) Base RI'!B27</f>
        <v>Bougy-Villars</v>
      </c>
      <c r="C28" s="472">
        <f>'A) Base RI'!AN27</f>
        <v>490</v>
      </c>
      <c r="D28" s="10">
        <f t="shared" si="1"/>
        <v>490</v>
      </c>
      <c r="E28" s="472">
        <f t="shared" si="1"/>
        <v>0</v>
      </c>
      <c r="F28" s="10">
        <f t="shared" si="1"/>
        <v>0</v>
      </c>
      <c r="G28" s="472">
        <f t="shared" si="1"/>
        <v>0</v>
      </c>
      <c r="H28" s="42">
        <f t="shared" si="1"/>
        <v>0</v>
      </c>
      <c r="I28" s="10">
        <f t="shared" si="1"/>
        <v>0</v>
      </c>
      <c r="J28" s="10">
        <f t="shared" si="2"/>
        <v>0</v>
      </c>
      <c r="K28" s="120">
        <f t="shared" si="3"/>
        <v>48950.704225352114</v>
      </c>
    </row>
    <row r="29" spans="1:11" x14ac:dyDescent="0.25">
      <c r="A29" s="50">
        <f>'A) Base RI'!A28</f>
        <v>5427</v>
      </c>
      <c r="B29" s="33" t="str">
        <f>'A) Base RI'!B28</f>
        <v>Féchy</v>
      </c>
      <c r="C29" s="472">
        <f>'A) Base RI'!AN28</f>
        <v>860</v>
      </c>
      <c r="D29" s="10">
        <f t="shared" si="1"/>
        <v>860</v>
      </c>
      <c r="E29" s="472">
        <f t="shared" si="1"/>
        <v>0</v>
      </c>
      <c r="F29" s="10">
        <f t="shared" si="1"/>
        <v>0</v>
      </c>
      <c r="G29" s="472">
        <f t="shared" si="1"/>
        <v>0</v>
      </c>
      <c r="H29" s="42">
        <f t="shared" si="1"/>
        <v>0</v>
      </c>
      <c r="I29" s="10">
        <f t="shared" si="1"/>
        <v>0</v>
      </c>
      <c r="J29" s="10">
        <f t="shared" si="2"/>
        <v>0</v>
      </c>
      <c r="K29" s="120">
        <f t="shared" si="3"/>
        <v>85913.480885311874</v>
      </c>
    </row>
    <row r="30" spans="1:11" x14ac:dyDescent="0.25">
      <c r="A30" s="50">
        <f>'A) Base RI'!A29</f>
        <v>5428</v>
      </c>
      <c r="B30" s="33" t="str">
        <f>'A) Base RI'!B29</f>
        <v>Gimel</v>
      </c>
      <c r="C30" s="472">
        <f>'A) Base RI'!AN29</f>
        <v>2186</v>
      </c>
      <c r="D30" s="10">
        <f t="shared" si="1"/>
        <v>1000</v>
      </c>
      <c r="E30" s="472">
        <f t="shared" si="1"/>
        <v>1186</v>
      </c>
      <c r="F30" s="10">
        <f t="shared" si="1"/>
        <v>0</v>
      </c>
      <c r="G30" s="472">
        <f t="shared" si="1"/>
        <v>0</v>
      </c>
      <c r="H30" s="42">
        <f t="shared" si="1"/>
        <v>0</v>
      </c>
      <c r="I30" s="10">
        <f t="shared" si="1"/>
        <v>0</v>
      </c>
      <c r="J30" s="10">
        <f t="shared" si="2"/>
        <v>0</v>
      </c>
      <c r="K30" s="120">
        <f t="shared" si="3"/>
        <v>514581.79074446671</v>
      </c>
    </row>
    <row r="31" spans="1:11" x14ac:dyDescent="0.25">
      <c r="A31" s="50">
        <f>'A) Base RI'!A30</f>
        <v>5429</v>
      </c>
      <c r="B31" s="33" t="str">
        <f>'A) Base RI'!B30</f>
        <v>Longirod</v>
      </c>
      <c r="C31" s="472">
        <f>'A) Base RI'!AN30</f>
        <v>478</v>
      </c>
      <c r="D31" s="10">
        <f t="shared" si="1"/>
        <v>478</v>
      </c>
      <c r="E31" s="472">
        <f t="shared" si="1"/>
        <v>0</v>
      </c>
      <c r="F31" s="10">
        <f t="shared" si="1"/>
        <v>0</v>
      </c>
      <c r="G31" s="472">
        <f t="shared" si="1"/>
        <v>0</v>
      </c>
      <c r="H31" s="42">
        <f t="shared" si="1"/>
        <v>0</v>
      </c>
      <c r="I31" s="10">
        <f t="shared" si="1"/>
        <v>0</v>
      </c>
      <c r="J31" s="10">
        <f t="shared" si="2"/>
        <v>0</v>
      </c>
      <c r="K31" s="120">
        <f t="shared" si="3"/>
        <v>47751.911468812876</v>
      </c>
    </row>
    <row r="32" spans="1:11" x14ac:dyDescent="0.25">
      <c r="A32" s="50">
        <f>'A) Base RI'!A31</f>
        <v>5430</v>
      </c>
      <c r="B32" s="33" t="str">
        <f>'A) Base RI'!B31</f>
        <v>Marchissy</v>
      </c>
      <c r="C32" s="472">
        <f>'A) Base RI'!AN31</f>
        <v>463</v>
      </c>
      <c r="D32" s="10">
        <f t="shared" si="1"/>
        <v>463</v>
      </c>
      <c r="E32" s="472">
        <f t="shared" si="1"/>
        <v>0</v>
      </c>
      <c r="F32" s="10">
        <f t="shared" si="1"/>
        <v>0</v>
      </c>
      <c r="G32" s="472">
        <f t="shared" si="1"/>
        <v>0</v>
      </c>
      <c r="H32" s="42">
        <f t="shared" si="1"/>
        <v>0</v>
      </c>
      <c r="I32" s="10">
        <f t="shared" si="1"/>
        <v>0</v>
      </c>
      <c r="J32" s="10">
        <f t="shared" si="2"/>
        <v>0</v>
      </c>
      <c r="K32" s="120">
        <f t="shared" si="3"/>
        <v>46253.420523138833</v>
      </c>
    </row>
    <row r="33" spans="1:11" x14ac:dyDescent="0.25">
      <c r="A33" s="50">
        <f>'A) Base RI'!A32</f>
        <v>5431</v>
      </c>
      <c r="B33" s="33" t="str">
        <f>'A) Base RI'!B32</f>
        <v>Mollens</v>
      </c>
      <c r="C33" s="472">
        <f>'A) Base RI'!AN32</f>
        <v>283</v>
      </c>
      <c r="D33" s="10">
        <f t="shared" si="1"/>
        <v>283</v>
      </c>
      <c r="E33" s="472">
        <f t="shared" si="1"/>
        <v>0</v>
      </c>
      <c r="F33" s="10">
        <f t="shared" si="1"/>
        <v>0</v>
      </c>
      <c r="G33" s="472">
        <f t="shared" si="1"/>
        <v>0</v>
      </c>
      <c r="H33" s="42">
        <f t="shared" si="1"/>
        <v>0</v>
      </c>
      <c r="I33" s="10">
        <f t="shared" si="1"/>
        <v>0</v>
      </c>
      <c r="J33" s="10">
        <f t="shared" si="2"/>
        <v>0</v>
      </c>
      <c r="K33" s="120">
        <f t="shared" si="3"/>
        <v>28271.529175050302</v>
      </c>
    </row>
    <row r="34" spans="1:11" x14ac:dyDescent="0.25">
      <c r="A34" s="50">
        <f>'A) Base RI'!A33</f>
        <v>5432</v>
      </c>
      <c r="B34" s="33" t="str">
        <f>'A) Base RI'!B33</f>
        <v>Montherod</v>
      </c>
      <c r="C34" s="472">
        <f>'A) Base RI'!AN33</f>
        <v>536</v>
      </c>
      <c r="D34" s="10">
        <f t="shared" si="1"/>
        <v>536</v>
      </c>
      <c r="E34" s="472">
        <f t="shared" si="1"/>
        <v>0</v>
      </c>
      <c r="F34" s="10">
        <f t="shared" si="1"/>
        <v>0</v>
      </c>
      <c r="G34" s="472">
        <f t="shared" si="1"/>
        <v>0</v>
      </c>
      <c r="H34" s="42">
        <f t="shared" si="1"/>
        <v>0</v>
      </c>
      <c r="I34" s="10">
        <f t="shared" si="1"/>
        <v>0</v>
      </c>
      <c r="J34" s="10">
        <f t="shared" si="2"/>
        <v>0</v>
      </c>
      <c r="K34" s="120">
        <f t="shared" si="3"/>
        <v>53546.076458752512</v>
      </c>
    </row>
    <row r="35" spans="1:11" x14ac:dyDescent="0.25">
      <c r="A35" s="50">
        <f>'A) Base RI'!A34</f>
        <v>5434</v>
      </c>
      <c r="B35" s="33" t="str">
        <f>'A) Base RI'!B34</f>
        <v>Saint-George</v>
      </c>
      <c r="C35" s="472">
        <f>'A) Base RI'!AN34</f>
        <v>1031</v>
      </c>
      <c r="D35" s="10">
        <f t="shared" si="1"/>
        <v>1000</v>
      </c>
      <c r="E35" s="472">
        <f t="shared" si="1"/>
        <v>31</v>
      </c>
      <c r="F35" s="10">
        <f t="shared" si="1"/>
        <v>0</v>
      </c>
      <c r="G35" s="472">
        <f t="shared" si="1"/>
        <v>0</v>
      </c>
      <c r="H35" s="42">
        <f t="shared" si="1"/>
        <v>0</v>
      </c>
      <c r="I35" s="10">
        <f t="shared" si="1"/>
        <v>0</v>
      </c>
      <c r="J35" s="10">
        <f t="shared" si="2"/>
        <v>0</v>
      </c>
      <c r="K35" s="120">
        <f t="shared" si="3"/>
        <v>110738.48088531186</v>
      </c>
    </row>
    <row r="36" spans="1:11" x14ac:dyDescent="0.25">
      <c r="A36" s="50">
        <f>'A) Base RI'!A35</f>
        <v>5435</v>
      </c>
      <c r="B36" s="33" t="str">
        <f>'A) Base RI'!B35</f>
        <v>Saint-Livres</v>
      </c>
      <c r="C36" s="472">
        <f>'A) Base RI'!AN35</f>
        <v>690</v>
      </c>
      <c r="D36" s="10">
        <f t="shared" si="1"/>
        <v>690</v>
      </c>
      <c r="E36" s="472">
        <f t="shared" si="1"/>
        <v>0</v>
      </c>
      <c r="F36" s="10">
        <f t="shared" si="1"/>
        <v>0</v>
      </c>
      <c r="G36" s="472">
        <f t="shared" si="1"/>
        <v>0</v>
      </c>
      <c r="H36" s="42">
        <f t="shared" si="1"/>
        <v>0</v>
      </c>
      <c r="I36" s="10">
        <f t="shared" si="1"/>
        <v>0</v>
      </c>
      <c r="J36" s="10">
        <f t="shared" si="2"/>
        <v>0</v>
      </c>
      <c r="K36" s="120">
        <f t="shared" si="3"/>
        <v>68930.58350100604</v>
      </c>
    </row>
    <row r="37" spans="1:11" x14ac:dyDescent="0.25">
      <c r="A37" s="50">
        <f>'A) Base RI'!A36</f>
        <v>5436</v>
      </c>
      <c r="B37" s="33" t="str">
        <f>'A) Base RI'!B36</f>
        <v>Saint-Oyens</v>
      </c>
      <c r="C37" s="472">
        <f>'A) Base RI'!AN36</f>
        <v>448</v>
      </c>
      <c r="D37" s="10">
        <f t="shared" si="1"/>
        <v>448</v>
      </c>
      <c r="E37" s="472">
        <f t="shared" si="1"/>
        <v>0</v>
      </c>
      <c r="F37" s="10">
        <f t="shared" si="1"/>
        <v>0</v>
      </c>
      <c r="G37" s="472">
        <f t="shared" si="1"/>
        <v>0</v>
      </c>
      <c r="H37" s="42">
        <f t="shared" si="1"/>
        <v>0</v>
      </c>
      <c r="I37" s="10">
        <f t="shared" si="1"/>
        <v>0</v>
      </c>
      <c r="J37" s="10">
        <f t="shared" si="2"/>
        <v>0</v>
      </c>
      <c r="K37" s="120">
        <f t="shared" si="3"/>
        <v>44754.929577464791</v>
      </c>
    </row>
    <row r="38" spans="1:11" x14ac:dyDescent="0.25">
      <c r="A38" s="50">
        <f>'A) Base RI'!A37</f>
        <v>5437</v>
      </c>
      <c r="B38" s="33" t="str">
        <f>'A) Base RI'!B37</f>
        <v>Saubraz</v>
      </c>
      <c r="C38" s="472">
        <f>'A) Base RI'!AN37</f>
        <v>418</v>
      </c>
      <c r="D38" s="10">
        <f t="shared" si="1"/>
        <v>418</v>
      </c>
      <c r="E38" s="472">
        <f t="shared" si="1"/>
        <v>0</v>
      </c>
      <c r="F38" s="10">
        <f t="shared" si="1"/>
        <v>0</v>
      </c>
      <c r="G38" s="472">
        <f t="shared" si="1"/>
        <v>0</v>
      </c>
      <c r="H38" s="42">
        <f t="shared" si="1"/>
        <v>0</v>
      </c>
      <c r="I38" s="10">
        <f t="shared" si="1"/>
        <v>0</v>
      </c>
      <c r="J38" s="10">
        <f t="shared" si="2"/>
        <v>0</v>
      </c>
      <c r="K38" s="120">
        <f t="shared" si="3"/>
        <v>41757.947686116699</v>
      </c>
    </row>
    <row r="39" spans="1:11" x14ac:dyDescent="0.25">
      <c r="A39" s="50">
        <f>'A) Base RI'!A38</f>
        <v>5451</v>
      </c>
      <c r="B39" s="33" t="str">
        <f>'A) Base RI'!B38</f>
        <v>Avenches</v>
      </c>
      <c r="C39" s="472">
        <f>'A) Base RI'!AN38</f>
        <v>4282</v>
      </c>
      <c r="D39" s="10">
        <f t="shared" si="1"/>
        <v>1000</v>
      </c>
      <c r="E39" s="472">
        <f t="shared" si="1"/>
        <v>2000</v>
      </c>
      <c r="F39" s="10">
        <f t="shared" si="1"/>
        <v>1282</v>
      </c>
      <c r="G39" s="472">
        <f t="shared" si="1"/>
        <v>0</v>
      </c>
      <c r="H39" s="42">
        <f t="shared" si="1"/>
        <v>0</v>
      </c>
      <c r="I39" s="10">
        <f t="shared" si="1"/>
        <v>0</v>
      </c>
      <c r="J39" s="10">
        <f t="shared" si="2"/>
        <v>0</v>
      </c>
      <c r="K39" s="120">
        <f t="shared" si="3"/>
        <v>1439550.3018108651</v>
      </c>
    </row>
    <row r="40" spans="1:11" x14ac:dyDescent="0.25">
      <c r="A40" s="50">
        <f>'A) Base RI'!A39</f>
        <v>5456</v>
      </c>
      <c r="B40" s="33" t="str">
        <f>'A) Base RI'!B39</f>
        <v>Cudrefin</v>
      </c>
      <c r="C40" s="472">
        <f>'A) Base RI'!AN39</f>
        <v>1633</v>
      </c>
      <c r="D40" s="10">
        <f t="shared" si="1"/>
        <v>1000</v>
      </c>
      <c r="E40" s="472">
        <f t="shared" si="1"/>
        <v>633</v>
      </c>
      <c r="F40" s="10">
        <f t="shared" si="1"/>
        <v>0</v>
      </c>
      <c r="G40" s="472">
        <f t="shared" si="1"/>
        <v>0</v>
      </c>
      <c r="H40" s="42">
        <f t="shared" si="1"/>
        <v>0</v>
      </c>
      <c r="I40" s="10">
        <f t="shared" si="1"/>
        <v>0</v>
      </c>
      <c r="J40" s="10">
        <f t="shared" si="2"/>
        <v>0</v>
      </c>
      <c r="K40" s="120">
        <f t="shared" si="3"/>
        <v>321226.50905432593</v>
      </c>
    </row>
    <row r="41" spans="1:11" x14ac:dyDescent="0.25">
      <c r="A41" s="50">
        <f>'A) Base RI'!A40</f>
        <v>5458</v>
      </c>
      <c r="B41" s="33" t="str">
        <f>'A) Base RI'!B40</f>
        <v>Faoug</v>
      </c>
      <c r="C41" s="472">
        <f>'A) Base RI'!AN40</f>
        <v>904</v>
      </c>
      <c r="D41" s="10">
        <f t="shared" si="1"/>
        <v>904</v>
      </c>
      <c r="E41" s="472">
        <f t="shared" si="1"/>
        <v>0</v>
      </c>
      <c r="F41" s="10">
        <f t="shared" si="1"/>
        <v>0</v>
      </c>
      <c r="G41" s="472">
        <f t="shared" si="1"/>
        <v>0</v>
      </c>
      <c r="H41" s="42">
        <f t="shared" si="1"/>
        <v>0</v>
      </c>
      <c r="I41" s="10">
        <f t="shared" si="1"/>
        <v>0</v>
      </c>
      <c r="J41" s="10">
        <f t="shared" si="2"/>
        <v>0</v>
      </c>
      <c r="K41" s="120">
        <f t="shared" si="3"/>
        <v>90309.054325955731</v>
      </c>
    </row>
    <row r="42" spans="1:11" x14ac:dyDescent="0.25">
      <c r="A42" s="50">
        <f>'A) Base RI'!A41</f>
        <v>5464</v>
      </c>
      <c r="B42" s="33" t="str">
        <f>'A) Base RI'!B41</f>
        <v>Vully-les-Lacs</v>
      </c>
      <c r="C42" s="472">
        <f>'A) Base RI'!AN41</f>
        <v>3163</v>
      </c>
      <c r="D42" s="10">
        <f t="shared" si="1"/>
        <v>1000</v>
      </c>
      <c r="E42" s="472">
        <f t="shared" si="1"/>
        <v>2000</v>
      </c>
      <c r="F42" s="10">
        <f t="shared" si="1"/>
        <v>163</v>
      </c>
      <c r="G42" s="472">
        <f t="shared" si="1"/>
        <v>0</v>
      </c>
      <c r="H42" s="42">
        <f t="shared" si="1"/>
        <v>0</v>
      </c>
      <c r="I42" s="10">
        <f t="shared" si="1"/>
        <v>0</v>
      </c>
      <c r="J42" s="10">
        <f t="shared" si="2"/>
        <v>0</v>
      </c>
      <c r="K42" s="120">
        <f t="shared" si="3"/>
        <v>880613.17907444655</v>
      </c>
    </row>
    <row r="43" spans="1:11" x14ac:dyDescent="0.25">
      <c r="A43" s="50">
        <f>'A) Base RI'!A42</f>
        <v>5471</v>
      </c>
      <c r="B43" s="33" t="str">
        <f>'A) Base RI'!B42</f>
        <v>Bettens</v>
      </c>
      <c r="C43" s="472">
        <f>'A) Base RI'!AN42</f>
        <v>592</v>
      </c>
      <c r="D43" s="10">
        <f t="shared" si="1"/>
        <v>592</v>
      </c>
      <c r="E43" s="472">
        <f t="shared" si="1"/>
        <v>0</v>
      </c>
      <c r="F43" s="10">
        <f t="shared" si="1"/>
        <v>0</v>
      </c>
      <c r="G43" s="472">
        <f t="shared" si="1"/>
        <v>0</v>
      </c>
      <c r="H43" s="42">
        <f t="shared" si="1"/>
        <v>0</v>
      </c>
      <c r="I43" s="10">
        <f t="shared" si="1"/>
        <v>0</v>
      </c>
      <c r="J43" s="10">
        <f t="shared" si="2"/>
        <v>0</v>
      </c>
      <c r="K43" s="120">
        <f t="shared" si="3"/>
        <v>59140.442655935614</v>
      </c>
    </row>
    <row r="44" spans="1:11" x14ac:dyDescent="0.25">
      <c r="A44" s="50">
        <f>'A) Base RI'!A43</f>
        <v>5472</v>
      </c>
      <c r="B44" s="33" t="str">
        <f>'A) Base RI'!B43</f>
        <v>Bournens</v>
      </c>
      <c r="C44" s="472">
        <f>'A) Base RI'!AN43</f>
        <v>404</v>
      </c>
      <c r="D44" s="10">
        <f t="shared" si="1"/>
        <v>404</v>
      </c>
      <c r="E44" s="472">
        <f t="shared" si="1"/>
        <v>0</v>
      </c>
      <c r="F44" s="10">
        <f t="shared" si="1"/>
        <v>0</v>
      </c>
      <c r="G44" s="472">
        <f t="shared" si="1"/>
        <v>0</v>
      </c>
      <c r="H44" s="42">
        <f t="shared" si="1"/>
        <v>0</v>
      </c>
      <c r="I44" s="10">
        <f t="shared" si="1"/>
        <v>0</v>
      </c>
      <c r="J44" s="10">
        <f t="shared" si="2"/>
        <v>0</v>
      </c>
      <c r="K44" s="120">
        <f t="shared" si="3"/>
        <v>40359.356136820927</v>
      </c>
    </row>
    <row r="45" spans="1:11" x14ac:dyDescent="0.25">
      <c r="A45" s="50">
        <f>'A) Base RI'!A44</f>
        <v>5473</v>
      </c>
      <c r="B45" s="33" t="str">
        <f>'A) Base RI'!B44</f>
        <v>Boussens</v>
      </c>
      <c r="C45" s="472">
        <f>'A) Base RI'!AN44</f>
        <v>968</v>
      </c>
      <c r="D45" s="10">
        <f t="shared" si="1"/>
        <v>968</v>
      </c>
      <c r="E45" s="472">
        <f t="shared" si="1"/>
        <v>0</v>
      </c>
      <c r="F45" s="10">
        <f t="shared" si="1"/>
        <v>0</v>
      </c>
      <c r="G45" s="472">
        <f t="shared" si="1"/>
        <v>0</v>
      </c>
      <c r="H45" s="42">
        <f t="shared" si="1"/>
        <v>0</v>
      </c>
      <c r="I45" s="10">
        <f t="shared" si="1"/>
        <v>0</v>
      </c>
      <c r="J45" s="10">
        <f t="shared" si="2"/>
        <v>0</v>
      </c>
      <c r="K45" s="120">
        <f t="shared" si="3"/>
        <v>96702.615694164982</v>
      </c>
    </row>
    <row r="46" spans="1:11" x14ac:dyDescent="0.25">
      <c r="A46" s="50">
        <f>'A) Base RI'!A45</f>
        <v>5474</v>
      </c>
      <c r="B46" s="33" t="str">
        <f>'A) Base RI'!B45</f>
        <v>La Chaux (Cossonay)</v>
      </c>
      <c r="C46" s="472">
        <f>'A) Base RI'!AN45</f>
        <v>410</v>
      </c>
      <c r="D46" s="10">
        <f t="shared" si="1"/>
        <v>410</v>
      </c>
      <c r="E46" s="472">
        <f t="shared" si="1"/>
        <v>0</v>
      </c>
      <c r="F46" s="10">
        <f t="shared" si="1"/>
        <v>0</v>
      </c>
      <c r="G46" s="472">
        <f t="shared" si="1"/>
        <v>0</v>
      </c>
      <c r="H46" s="42">
        <f t="shared" si="1"/>
        <v>0</v>
      </c>
      <c r="I46" s="10">
        <f t="shared" si="1"/>
        <v>0</v>
      </c>
      <c r="J46" s="10">
        <f t="shared" si="2"/>
        <v>0</v>
      </c>
      <c r="K46" s="120">
        <f t="shared" si="3"/>
        <v>40958.752515090542</v>
      </c>
    </row>
    <row r="47" spans="1:11" x14ac:dyDescent="0.25">
      <c r="A47" s="50">
        <f>'A) Base RI'!A46</f>
        <v>5475</v>
      </c>
      <c r="B47" s="33" t="str">
        <f>'A) Base RI'!B46</f>
        <v>Chavannes-le-Veyron</v>
      </c>
      <c r="C47" s="472">
        <f>'A) Base RI'!AN46</f>
        <v>142</v>
      </c>
      <c r="D47" s="10">
        <f t="shared" si="1"/>
        <v>142</v>
      </c>
      <c r="E47" s="472">
        <f t="shared" si="1"/>
        <v>0</v>
      </c>
      <c r="F47" s="10">
        <f t="shared" si="1"/>
        <v>0</v>
      </c>
      <c r="G47" s="472">
        <f t="shared" si="1"/>
        <v>0</v>
      </c>
      <c r="H47" s="42">
        <f t="shared" si="1"/>
        <v>0</v>
      </c>
      <c r="I47" s="10">
        <f t="shared" si="1"/>
        <v>0</v>
      </c>
      <c r="J47" s="10">
        <f t="shared" si="2"/>
        <v>0</v>
      </c>
      <c r="K47" s="120">
        <f t="shared" si="3"/>
        <v>14185.714285714284</v>
      </c>
    </row>
    <row r="48" spans="1:11" x14ac:dyDescent="0.25">
      <c r="A48" s="50">
        <f>'A) Base RI'!A47</f>
        <v>5476</v>
      </c>
      <c r="B48" s="33" t="str">
        <f>'A) Base RI'!B47</f>
        <v>Chevilly</v>
      </c>
      <c r="C48" s="472">
        <f>'A) Base RI'!AN47</f>
        <v>314</v>
      </c>
      <c r="D48" s="10">
        <f t="shared" si="1"/>
        <v>314</v>
      </c>
      <c r="E48" s="472">
        <f t="shared" si="1"/>
        <v>0</v>
      </c>
      <c r="F48" s="10">
        <f t="shared" si="1"/>
        <v>0</v>
      </c>
      <c r="G48" s="472">
        <f t="shared" si="1"/>
        <v>0</v>
      </c>
      <c r="H48" s="42">
        <f t="shared" si="1"/>
        <v>0</v>
      </c>
      <c r="I48" s="10">
        <f t="shared" si="1"/>
        <v>0</v>
      </c>
      <c r="J48" s="10">
        <f t="shared" si="2"/>
        <v>0</v>
      </c>
      <c r="K48" s="120">
        <f t="shared" si="3"/>
        <v>31368.410462776657</v>
      </c>
    </row>
    <row r="49" spans="1:11" x14ac:dyDescent="0.25">
      <c r="A49" s="50">
        <f>'A) Base RI'!A48</f>
        <v>5477</v>
      </c>
      <c r="B49" s="33" t="str">
        <f>'A) Base RI'!B48</f>
        <v>Cossonay</v>
      </c>
      <c r="C49" s="472">
        <f>'A) Base RI'!AN48</f>
        <v>3871</v>
      </c>
      <c r="D49" s="10">
        <f t="shared" si="1"/>
        <v>1000</v>
      </c>
      <c r="E49" s="472">
        <f t="shared" si="1"/>
        <v>2000</v>
      </c>
      <c r="F49" s="10">
        <f t="shared" si="1"/>
        <v>871</v>
      </c>
      <c r="G49" s="472">
        <f t="shared" si="1"/>
        <v>0</v>
      </c>
      <c r="H49" s="42">
        <f t="shared" si="1"/>
        <v>0</v>
      </c>
      <c r="I49" s="10">
        <f t="shared" si="1"/>
        <v>0</v>
      </c>
      <c r="J49" s="10">
        <f t="shared" si="2"/>
        <v>0</v>
      </c>
      <c r="K49" s="120">
        <f t="shared" si="3"/>
        <v>1234257.042253521</v>
      </c>
    </row>
    <row r="50" spans="1:11" x14ac:dyDescent="0.25">
      <c r="A50" s="50">
        <f>'A) Base RI'!A49</f>
        <v>5478</v>
      </c>
      <c r="B50" s="33" t="str">
        <f>'A) Base RI'!B49</f>
        <v>Cottens</v>
      </c>
      <c r="C50" s="472">
        <f>'A) Base RI'!AN49</f>
        <v>486</v>
      </c>
      <c r="D50" s="10">
        <f t="shared" si="1"/>
        <v>486</v>
      </c>
      <c r="E50" s="472">
        <f t="shared" si="1"/>
        <v>0</v>
      </c>
      <c r="F50" s="10">
        <f t="shared" si="1"/>
        <v>0</v>
      </c>
      <c r="G50" s="472">
        <f t="shared" si="1"/>
        <v>0</v>
      </c>
      <c r="H50" s="42">
        <f t="shared" si="1"/>
        <v>0</v>
      </c>
      <c r="I50" s="10">
        <f t="shared" si="1"/>
        <v>0</v>
      </c>
      <c r="J50" s="10">
        <f t="shared" si="2"/>
        <v>0</v>
      </c>
      <c r="K50" s="120">
        <f t="shared" si="3"/>
        <v>48551.106639839032</v>
      </c>
    </row>
    <row r="51" spans="1:11" x14ac:dyDescent="0.25">
      <c r="A51" s="50">
        <f>'A) Base RI'!A50</f>
        <v>5479</v>
      </c>
      <c r="B51" s="33" t="str">
        <f>'A) Base RI'!B50</f>
        <v>Cuarnens</v>
      </c>
      <c r="C51" s="472">
        <f>'A) Base RI'!AN50</f>
        <v>479</v>
      </c>
      <c r="D51" s="10">
        <f t="shared" si="1"/>
        <v>479</v>
      </c>
      <c r="E51" s="472">
        <f t="shared" si="1"/>
        <v>0</v>
      </c>
      <c r="F51" s="10">
        <f t="shared" si="1"/>
        <v>0</v>
      </c>
      <c r="G51" s="472">
        <f t="shared" si="1"/>
        <v>0</v>
      </c>
      <c r="H51" s="42">
        <f t="shared" si="1"/>
        <v>0</v>
      </c>
      <c r="I51" s="10">
        <f t="shared" si="1"/>
        <v>0</v>
      </c>
      <c r="J51" s="10">
        <f t="shared" si="2"/>
        <v>0</v>
      </c>
      <c r="K51" s="120">
        <f t="shared" si="3"/>
        <v>47851.810865191146</v>
      </c>
    </row>
    <row r="52" spans="1:11" x14ac:dyDescent="0.25">
      <c r="A52" s="50">
        <f>'A) Base RI'!A51</f>
        <v>5480</v>
      </c>
      <c r="B52" s="33" t="str">
        <f>'A) Base RI'!B51</f>
        <v>Daillens</v>
      </c>
      <c r="C52" s="472">
        <f>'A) Base RI'!AN51</f>
        <v>1027</v>
      </c>
      <c r="D52" s="10">
        <f t="shared" si="1"/>
        <v>1000</v>
      </c>
      <c r="E52" s="472">
        <f t="shared" si="1"/>
        <v>27</v>
      </c>
      <c r="F52" s="10">
        <f t="shared" si="1"/>
        <v>0</v>
      </c>
      <c r="G52" s="472">
        <f t="shared" si="1"/>
        <v>0</v>
      </c>
      <c r="H52" s="42">
        <f t="shared" si="1"/>
        <v>0</v>
      </c>
      <c r="I52" s="10">
        <f t="shared" si="1"/>
        <v>0</v>
      </c>
      <c r="J52" s="10">
        <f t="shared" si="2"/>
        <v>0</v>
      </c>
      <c r="K52" s="120">
        <f t="shared" si="3"/>
        <v>109339.88933601609</v>
      </c>
    </row>
    <row r="53" spans="1:11" x14ac:dyDescent="0.25">
      <c r="A53" s="50">
        <f>'A) Base RI'!A52</f>
        <v>5481</v>
      </c>
      <c r="B53" s="33" t="str">
        <f>'A) Base RI'!B52</f>
        <v>Dizy</v>
      </c>
      <c r="C53" s="472">
        <f>'A) Base RI'!AN52</f>
        <v>223</v>
      </c>
      <c r="D53" s="10">
        <f t="shared" si="1"/>
        <v>223</v>
      </c>
      <c r="E53" s="472">
        <f t="shared" si="1"/>
        <v>0</v>
      </c>
      <c r="F53" s="10">
        <f t="shared" si="1"/>
        <v>0</v>
      </c>
      <c r="G53" s="472">
        <f t="shared" si="1"/>
        <v>0</v>
      </c>
      <c r="H53" s="42">
        <f t="shared" si="1"/>
        <v>0</v>
      </c>
      <c r="I53" s="10">
        <f t="shared" si="1"/>
        <v>0</v>
      </c>
      <c r="J53" s="10">
        <f t="shared" si="2"/>
        <v>0</v>
      </c>
      <c r="K53" s="120">
        <f t="shared" si="3"/>
        <v>22277.565392354125</v>
      </c>
    </row>
    <row r="54" spans="1:11" x14ac:dyDescent="0.25">
      <c r="A54" s="50">
        <f>'A) Base RI'!A53</f>
        <v>5482</v>
      </c>
      <c r="B54" s="33" t="str">
        <f>'A) Base RI'!B53</f>
        <v>Eclépens</v>
      </c>
      <c r="C54" s="472">
        <f>'A) Base RI'!AN53</f>
        <v>1211</v>
      </c>
      <c r="D54" s="10">
        <f t="shared" si="1"/>
        <v>1000</v>
      </c>
      <c r="E54" s="472">
        <f t="shared" si="1"/>
        <v>211</v>
      </c>
      <c r="F54" s="10">
        <f t="shared" si="1"/>
        <v>0</v>
      </c>
      <c r="G54" s="472">
        <f t="shared" si="1"/>
        <v>0</v>
      </c>
      <c r="H54" s="42">
        <f t="shared" si="1"/>
        <v>0</v>
      </c>
      <c r="I54" s="10">
        <f t="shared" si="1"/>
        <v>0</v>
      </c>
      <c r="J54" s="10">
        <f t="shared" si="2"/>
        <v>0</v>
      </c>
      <c r="K54" s="120">
        <f t="shared" si="3"/>
        <v>173675.10060362171</v>
      </c>
    </row>
    <row r="55" spans="1:11" x14ac:dyDescent="0.25">
      <c r="A55" s="50">
        <f>'A) Base RI'!A54</f>
        <v>5483</v>
      </c>
      <c r="B55" s="33" t="str">
        <f>'A) Base RI'!B54</f>
        <v>Ferreyres</v>
      </c>
      <c r="C55" s="472">
        <f>'A) Base RI'!AN54</f>
        <v>310</v>
      </c>
      <c r="D55" s="10">
        <f t="shared" si="1"/>
        <v>310</v>
      </c>
      <c r="E55" s="472">
        <f t="shared" si="1"/>
        <v>0</v>
      </c>
      <c r="F55" s="10">
        <f t="shared" si="1"/>
        <v>0</v>
      </c>
      <c r="G55" s="472">
        <f t="shared" si="1"/>
        <v>0</v>
      </c>
      <c r="H55" s="42">
        <f t="shared" si="1"/>
        <v>0</v>
      </c>
      <c r="I55" s="10">
        <f t="shared" si="1"/>
        <v>0</v>
      </c>
      <c r="J55" s="10">
        <f t="shared" si="2"/>
        <v>0</v>
      </c>
      <c r="K55" s="120">
        <f t="shared" si="3"/>
        <v>30968.812877263579</v>
      </c>
    </row>
    <row r="56" spans="1:11" x14ac:dyDescent="0.25">
      <c r="A56" s="50">
        <f>'A) Base RI'!A55</f>
        <v>5484</v>
      </c>
      <c r="B56" s="33" t="str">
        <f>'A) Base RI'!B55</f>
        <v>Gollion</v>
      </c>
      <c r="C56" s="472">
        <f>'A) Base RI'!AN55</f>
        <v>939</v>
      </c>
      <c r="D56" s="10">
        <f t="shared" si="1"/>
        <v>939</v>
      </c>
      <c r="E56" s="472">
        <f t="shared" si="1"/>
        <v>0</v>
      </c>
      <c r="F56" s="10">
        <f t="shared" si="1"/>
        <v>0</v>
      </c>
      <c r="G56" s="472">
        <f t="shared" si="1"/>
        <v>0</v>
      </c>
      <c r="H56" s="42">
        <f t="shared" si="1"/>
        <v>0</v>
      </c>
      <c r="I56" s="10">
        <f t="shared" si="1"/>
        <v>0</v>
      </c>
      <c r="J56" s="10">
        <f t="shared" si="2"/>
        <v>0</v>
      </c>
      <c r="K56" s="120">
        <f t="shared" si="3"/>
        <v>93805.533199195168</v>
      </c>
    </row>
    <row r="57" spans="1:11" x14ac:dyDescent="0.25">
      <c r="A57" s="50">
        <f>'A) Base RI'!A56</f>
        <v>5485</v>
      </c>
      <c r="B57" s="33" t="str">
        <f>'A) Base RI'!B56</f>
        <v>Grancy</v>
      </c>
      <c r="C57" s="472">
        <f>'A) Base RI'!AN56</f>
        <v>398</v>
      </c>
      <c r="D57" s="10">
        <f t="shared" si="1"/>
        <v>398</v>
      </c>
      <c r="E57" s="472">
        <f t="shared" si="1"/>
        <v>0</v>
      </c>
      <c r="F57" s="10">
        <f t="shared" si="1"/>
        <v>0</v>
      </c>
      <c r="G57" s="472">
        <f t="shared" si="1"/>
        <v>0</v>
      </c>
      <c r="H57" s="42">
        <f t="shared" si="1"/>
        <v>0</v>
      </c>
      <c r="I57" s="10">
        <f t="shared" si="1"/>
        <v>0</v>
      </c>
      <c r="J57" s="10">
        <f t="shared" si="2"/>
        <v>0</v>
      </c>
      <c r="K57" s="120">
        <f t="shared" si="3"/>
        <v>39759.959758551304</v>
      </c>
    </row>
    <row r="58" spans="1:11" x14ac:dyDescent="0.25">
      <c r="A58" s="50">
        <f>'A) Base RI'!A57</f>
        <v>5486</v>
      </c>
      <c r="B58" s="33" t="str">
        <f>'A) Base RI'!B57</f>
        <v>L'Isle</v>
      </c>
      <c r="C58" s="472">
        <f>'A) Base RI'!AN57</f>
        <v>1005</v>
      </c>
      <c r="D58" s="10">
        <f t="shared" si="1"/>
        <v>1000</v>
      </c>
      <c r="E58" s="472">
        <f t="shared" si="1"/>
        <v>5</v>
      </c>
      <c r="F58" s="10">
        <f t="shared" si="1"/>
        <v>0</v>
      </c>
      <c r="G58" s="472">
        <f t="shared" si="1"/>
        <v>0</v>
      </c>
      <c r="H58" s="42">
        <f t="shared" si="1"/>
        <v>0</v>
      </c>
      <c r="I58" s="10">
        <f t="shared" si="1"/>
        <v>0</v>
      </c>
      <c r="J58" s="10">
        <f t="shared" si="2"/>
        <v>0</v>
      </c>
      <c r="K58" s="120">
        <f t="shared" si="3"/>
        <v>101647.63581488932</v>
      </c>
    </row>
    <row r="59" spans="1:11" x14ac:dyDescent="0.25">
      <c r="A59" s="50">
        <f>'A) Base RI'!A58</f>
        <v>5487</v>
      </c>
      <c r="B59" s="33" t="str">
        <f>'A) Base RI'!B58</f>
        <v>Lussery-Villars</v>
      </c>
      <c r="C59" s="472">
        <f>'A) Base RI'!AN58</f>
        <v>462</v>
      </c>
      <c r="D59" s="10">
        <f t="shared" si="1"/>
        <v>462</v>
      </c>
      <c r="E59" s="472">
        <f t="shared" si="1"/>
        <v>0</v>
      </c>
      <c r="F59" s="10">
        <f t="shared" si="1"/>
        <v>0</v>
      </c>
      <c r="G59" s="472">
        <f t="shared" si="1"/>
        <v>0</v>
      </c>
      <c r="H59" s="42">
        <f t="shared" si="1"/>
        <v>0</v>
      </c>
      <c r="I59" s="10">
        <f t="shared" si="1"/>
        <v>0</v>
      </c>
      <c r="J59" s="10">
        <f t="shared" si="2"/>
        <v>0</v>
      </c>
      <c r="K59" s="120">
        <f t="shared" si="3"/>
        <v>46153.521126760563</v>
      </c>
    </row>
    <row r="60" spans="1:11" x14ac:dyDescent="0.25">
      <c r="A60" s="50">
        <f>'A) Base RI'!A59</f>
        <v>5488</v>
      </c>
      <c r="B60" s="33" t="str">
        <f>'A) Base RI'!B59</f>
        <v>Mauraz</v>
      </c>
      <c r="C60" s="472">
        <f>'A) Base RI'!AN59</f>
        <v>59</v>
      </c>
      <c r="D60" s="10">
        <f t="shared" si="1"/>
        <v>59</v>
      </c>
      <c r="E60" s="472">
        <f t="shared" si="1"/>
        <v>0</v>
      </c>
      <c r="F60" s="10">
        <f t="shared" si="1"/>
        <v>0</v>
      </c>
      <c r="G60" s="472">
        <f t="shared" si="1"/>
        <v>0</v>
      </c>
      <c r="H60" s="42">
        <f t="shared" si="1"/>
        <v>0</v>
      </c>
      <c r="I60" s="10">
        <f t="shared" si="1"/>
        <v>0</v>
      </c>
      <c r="J60" s="10">
        <f t="shared" si="2"/>
        <v>0</v>
      </c>
      <c r="K60" s="120">
        <f t="shared" si="3"/>
        <v>5894.0643863179075</v>
      </c>
    </row>
    <row r="61" spans="1:11" x14ac:dyDescent="0.25">
      <c r="A61" s="50">
        <f>'A) Base RI'!A60</f>
        <v>5489</v>
      </c>
      <c r="B61" s="33" t="str">
        <f>'A) Base RI'!B60</f>
        <v>Mex</v>
      </c>
      <c r="C61" s="472">
        <f>'A) Base RI'!AN60</f>
        <v>725</v>
      </c>
      <c r="D61" s="10">
        <f t="shared" si="1"/>
        <v>725</v>
      </c>
      <c r="E61" s="472">
        <f t="shared" si="1"/>
        <v>0</v>
      </c>
      <c r="F61" s="10">
        <f t="shared" si="1"/>
        <v>0</v>
      </c>
      <c r="G61" s="472">
        <f t="shared" si="1"/>
        <v>0</v>
      </c>
      <c r="H61" s="42">
        <f t="shared" si="1"/>
        <v>0</v>
      </c>
      <c r="I61" s="10">
        <f t="shared" si="1"/>
        <v>0</v>
      </c>
      <c r="J61" s="10">
        <f t="shared" si="2"/>
        <v>0</v>
      </c>
      <c r="K61" s="120">
        <f t="shared" si="3"/>
        <v>72427.062374245477</v>
      </c>
    </row>
    <row r="62" spans="1:11" x14ac:dyDescent="0.25">
      <c r="A62" s="50">
        <f>'A) Base RI'!A61</f>
        <v>5490</v>
      </c>
      <c r="B62" s="33" t="str">
        <f>'A) Base RI'!B61</f>
        <v>Moiry</v>
      </c>
      <c r="C62" s="472">
        <f>'A) Base RI'!AN61</f>
        <v>310</v>
      </c>
      <c r="D62" s="10">
        <f t="shared" si="1"/>
        <v>310</v>
      </c>
      <c r="E62" s="472">
        <f t="shared" si="1"/>
        <v>0</v>
      </c>
      <c r="F62" s="10">
        <f t="shared" si="1"/>
        <v>0</v>
      </c>
      <c r="G62" s="472">
        <f t="shared" si="1"/>
        <v>0</v>
      </c>
      <c r="H62" s="42">
        <f t="shared" si="1"/>
        <v>0</v>
      </c>
      <c r="I62" s="10">
        <f t="shared" si="1"/>
        <v>0</v>
      </c>
      <c r="J62" s="10">
        <f t="shared" si="2"/>
        <v>0</v>
      </c>
      <c r="K62" s="120">
        <f t="shared" si="3"/>
        <v>30968.812877263579</v>
      </c>
    </row>
    <row r="63" spans="1:11" x14ac:dyDescent="0.25">
      <c r="A63" s="50">
        <f>'A) Base RI'!A62</f>
        <v>5491</v>
      </c>
      <c r="B63" s="33" t="str">
        <f>'A) Base RI'!B62</f>
        <v>Mont-la-Ville</v>
      </c>
      <c r="C63" s="472">
        <f>'A) Base RI'!AN62</f>
        <v>466</v>
      </c>
      <c r="D63" s="10">
        <f t="shared" si="1"/>
        <v>466</v>
      </c>
      <c r="E63" s="472">
        <f t="shared" si="1"/>
        <v>0</v>
      </c>
      <c r="F63" s="10">
        <f t="shared" si="1"/>
        <v>0</v>
      </c>
      <c r="G63" s="472">
        <f t="shared" si="1"/>
        <v>0</v>
      </c>
      <c r="H63" s="42">
        <f t="shared" si="1"/>
        <v>0</v>
      </c>
      <c r="I63" s="10">
        <f t="shared" si="1"/>
        <v>0</v>
      </c>
      <c r="J63" s="10">
        <f t="shared" si="2"/>
        <v>0</v>
      </c>
      <c r="K63" s="120">
        <f t="shared" si="3"/>
        <v>46553.118712273637</v>
      </c>
    </row>
    <row r="64" spans="1:11" x14ac:dyDescent="0.25">
      <c r="A64" s="50">
        <f>'A) Base RI'!A63</f>
        <v>5492</v>
      </c>
      <c r="B64" s="33" t="str">
        <f>'A) Base RI'!B63</f>
        <v>Montricher</v>
      </c>
      <c r="C64" s="472">
        <f>'A) Base RI'!AN63</f>
        <v>940</v>
      </c>
      <c r="D64" s="10">
        <f t="shared" ref="D64:I106" si="4">IF($C64&gt;D$4,IF($C64&lt;D$5,$C64-D$4,D$5-D$4),0)</f>
        <v>940</v>
      </c>
      <c r="E64" s="472">
        <f t="shared" si="4"/>
        <v>0</v>
      </c>
      <c r="F64" s="10">
        <f t="shared" si="4"/>
        <v>0</v>
      </c>
      <c r="G64" s="472">
        <f t="shared" si="4"/>
        <v>0</v>
      </c>
      <c r="H64" s="42">
        <f t="shared" si="4"/>
        <v>0</v>
      </c>
      <c r="I64" s="10">
        <f t="shared" si="4"/>
        <v>0</v>
      </c>
      <c r="J64" s="10">
        <f t="shared" si="2"/>
        <v>0</v>
      </c>
      <c r="K64" s="120">
        <f t="shared" si="3"/>
        <v>93905.432595573438</v>
      </c>
    </row>
    <row r="65" spans="1:11" x14ac:dyDescent="0.25">
      <c r="A65" s="50">
        <f>'A) Base RI'!A64</f>
        <v>5493</v>
      </c>
      <c r="B65" s="33" t="str">
        <f>'A) Base RI'!B64</f>
        <v>Orny</v>
      </c>
      <c r="C65" s="472">
        <f>'A) Base RI'!AN64</f>
        <v>368</v>
      </c>
      <c r="D65" s="10">
        <f t="shared" si="4"/>
        <v>368</v>
      </c>
      <c r="E65" s="472">
        <f t="shared" si="4"/>
        <v>0</v>
      </c>
      <c r="F65" s="10">
        <f t="shared" si="4"/>
        <v>0</v>
      </c>
      <c r="G65" s="472">
        <f t="shared" si="4"/>
        <v>0</v>
      </c>
      <c r="H65" s="42">
        <f t="shared" si="4"/>
        <v>0</v>
      </c>
      <c r="I65" s="10">
        <f t="shared" si="4"/>
        <v>0</v>
      </c>
      <c r="J65" s="10">
        <f t="shared" si="2"/>
        <v>0</v>
      </c>
      <c r="K65" s="120">
        <f t="shared" si="3"/>
        <v>36762.977867203219</v>
      </c>
    </row>
    <row r="66" spans="1:11" x14ac:dyDescent="0.25">
      <c r="A66" s="50">
        <f>'A) Base RI'!A65</f>
        <v>5494</v>
      </c>
      <c r="B66" s="33" t="str">
        <f>'A) Base RI'!B65</f>
        <v>Pampigny</v>
      </c>
      <c r="C66" s="472">
        <f>'A) Base RI'!AN65</f>
        <v>1113</v>
      </c>
      <c r="D66" s="10">
        <f t="shared" si="4"/>
        <v>1000</v>
      </c>
      <c r="E66" s="472">
        <f t="shared" si="4"/>
        <v>113</v>
      </c>
      <c r="F66" s="10">
        <f t="shared" si="4"/>
        <v>0</v>
      </c>
      <c r="G66" s="472">
        <f t="shared" si="4"/>
        <v>0</v>
      </c>
      <c r="H66" s="42">
        <f t="shared" si="4"/>
        <v>0</v>
      </c>
      <c r="I66" s="10">
        <f t="shared" si="4"/>
        <v>0</v>
      </c>
      <c r="J66" s="10">
        <f t="shared" si="2"/>
        <v>0</v>
      </c>
      <c r="K66" s="120">
        <f t="shared" si="3"/>
        <v>139409.60764587525</v>
      </c>
    </row>
    <row r="67" spans="1:11" x14ac:dyDescent="0.25">
      <c r="A67" s="50">
        <f>'A) Base RI'!A66</f>
        <v>5495</v>
      </c>
      <c r="B67" s="33" t="str">
        <f>'A) Base RI'!B66</f>
        <v>Penthalaz</v>
      </c>
      <c r="C67" s="472">
        <f>'A) Base RI'!AN66</f>
        <v>3283</v>
      </c>
      <c r="D67" s="10">
        <f t="shared" si="4"/>
        <v>1000</v>
      </c>
      <c r="E67" s="472">
        <f t="shared" si="4"/>
        <v>2000</v>
      </c>
      <c r="F67" s="10">
        <f t="shared" si="4"/>
        <v>283</v>
      </c>
      <c r="G67" s="472">
        <f t="shared" si="4"/>
        <v>0</v>
      </c>
      <c r="H67" s="42">
        <f t="shared" si="4"/>
        <v>0</v>
      </c>
      <c r="I67" s="10">
        <f t="shared" si="4"/>
        <v>0</v>
      </c>
      <c r="J67" s="10">
        <f t="shared" si="2"/>
        <v>0</v>
      </c>
      <c r="K67" s="120">
        <f t="shared" si="3"/>
        <v>940552.81690140837</v>
      </c>
    </row>
    <row r="68" spans="1:11" x14ac:dyDescent="0.25">
      <c r="A68" s="50">
        <f>'A) Base RI'!A67</f>
        <v>5496</v>
      </c>
      <c r="B68" s="33" t="str">
        <f>'A) Base RI'!B67</f>
        <v>Penthaz</v>
      </c>
      <c r="C68" s="472">
        <f>'A) Base RI'!AN67</f>
        <v>1747</v>
      </c>
      <c r="D68" s="10">
        <f t="shared" si="4"/>
        <v>1000</v>
      </c>
      <c r="E68" s="472">
        <f t="shared" si="4"/>
        <v>747</v>
      </c>
      <c r="F68" s="10">
        <f t="shared" si="4"/>
        <v>0</v>
      </c>
      <c r="G68" s="472">
        <f t="shared" si="4"/>
        <v>0</v>
      </c>
      <c r="H68" s="42">
        <f t="shared" si="4"/>
        <v>0</v>
      </c>
      <c r="I68" s="10">
        <f t="shared" si="4"/>
        <v>0</v>
      </c>
      <c r="J68" s="10">
        <f t="shared" si="2"/>
        <v>0</v>
      </c>
      <c r="K68" s="120">
        <f t="shared" si="3"/>
        <v>361086.36820925551</v>
      </c>
    </row>
    <row r="69" spans="1:11" x14ac:dyDescent="0.25">
      <c r="A69" s="50">
        <f>'A) Base RI'!A68</f>
        <v>5497</v>
      </c>
      <c r="B69" s="33" t="str">
        <f>'A) Base RI'!B68</f>
        <v>Pompaples</v>
      </c>
      <c r="C69" s="472">
        <f>'A) Base RI'!AN68</f>
        <v>847</v>
      </c>
      <c r="D69" s="10">
        <f t="shared" si="4"/>
        <v>847</v>
      </c>
      <c r="E69" s="472">
        <f t="shared" si="4"/>
        <v>0</v>
      </c>
      <c r="F69" s="10">
        <f t="shared" si="4"/>
        <v>0</v>
      </c>
      <c r="G69" s="472">
        <f t="shared" si="4"/>
        <v>0</v>
      </c>
      <c r="H69" s="42">
        <f t="shared" si="4"/>
        <v>0</v>
      </c>
      <c r="I69" s="10">
        <f t="shared" si="4"/>
        <v>0</v>
      </c>
      <c r="J69" s="10">
        <f t="shared" si="2"/>
        <v>0</v>
      </c>
      <c r="K69" s="120">
        <f t="shared" si="3"/>
        <v>84614.788732394358</v>
      </c>
    </row>
    <row r="70" spans="1:11" x14ac:dyDescent="0.25">
      <c r="A70" s="50">
        <f>'A) Base RI'!A69</f>
        <v>5498</v>
      </c>
      <c r="B70" s="33" t="str">
        <f>'A) Base RI'!B69</f>
        <v>La Sarraz</v>
      </c>
      <c r="C70" s="472">
        <f>'A) Base RI'!AN69</f>
        <v>2596</v>
      </c>
      <c r="D70" s="10">
        <f t="shared" si="4"/>
        <v>1000</v>
      </c>
      <c r="E70" s="472">
        <f t="shared" si="4"/>
        <v>1596</v>
      </c>
      <c r="F70" s="10">
        <f t="shared" si="4"/>
        <v>0</v>
      </c>
      <c r="G70" s="472">
        <f t="shared" si="4"/>
        <v>0</v>
      </c>
      <c r="H70" s="42">
        <f t="shared" si="4"/>
        <v>0</v>
      </c>
      <c r="I70" s="10">
        <f t="shared" si="4"/>
        <v>0</v>
      </c>
      <c r="J70" s="10">
        <f t="shared" si="2"/>
        <v>0</v>
      </c>
      <c r="K70" s="120">
        <f t="shared" si="3"/>
        <v>657937.42454728368</v>
      </c>
    </row>
    <row r="71" spans="1:11" x14ac:dyDescent="0.25">
      <c r="A71" s="50">
        <f>'A) Base RI'!A70</f>
        <v>5499</v>
      </c>
      <c r="B71" s="33" t="str">
        <f>'A) Base RI'!B70</f>
        <v>Senarclens</v>
      </c>
      <c r="C71" s="472">
        <f>'A) Base RI'!AN70</f>
        <v>488</v>
      </c>
      <c r="D71" s="10">
        <f t="shared" si="4"/>
        <v>488</v>
      </c>
      <c r="E71" s="472">
        <f t="shared" si="4"/>
        <v>0</v>
      </c>
      <c r="F71" s="10">
        <f t="shared" si="4"/>
        <v>0</v>
      </c>
      <c r="G71" s="472">
        <f t="shared" si="4"/>
        <v>0</v>
      </c>
      <c r="H71" s="42">
        <f t="shared" si="4"/>
        <v>0</v>
      </c>
      <c r="I71" s="10">
        <f t="shared" si="4"/>
        <v>0</v>
      </c>
      <c r="J71" s="10">
        <f t="shared" si="2"/>
        <v>0</v>
      </c>
      <c r="K71" s="120">
        <f t="shared" si="3"/>
        <v>48750.905432595573</v>
      </c>
    </row>
    <row r="72" spans="1:11" x14ac:dyDescent="0.25">
      <c r="A72" s="50">
        <f>'A) Base RI'!A71</f>
        <v>5500</v>
      </c>
      <c r="B72" s="33" t="str">
        <f>'A) Base RI'!B71</f>
        <v>Sévery</v>
      </c>
      <c r="C72" s="472">
        <f>'A) Base RI'!AN71</f>
        <v>225</v>
      </c>
      <c r="D72" s="10">
        <f t="shared" si="4"/>
        <v>225</v>
      </c>
      <c r="E72" s="472">
        <f t="shared" si="4"/>
        <v>0</v>
      </c>
      <c r="F72" s="10">
        <f t="shared" si="4"/>
        <v>0</v>
      </c>
      <c r="G72" s="472">
        <f t="shared" si="4"/>
        <v>0</v>
      </c>
      <c r="H72" s="42">
        <f t="shared" si="4"/>
        <v>0</v>
      </c>
      <c r="I72" s="10">
        <f t="shared" si="4"/>
        <v>0</v>
      </c>
      <c r="J72" s="10">
        <f t="shared" si="2"/>
        <v>0</v>
      </c>
      <c r="K72" s="120">
        <f t="shared" si="3"/>
        <v>22477.364185110662</v>
      </c>
    </row>
    <row r="73" spans="1:11" x14ac:dyDescent="0.25">
      <c r="A73" s="50">
        <f>'A) Base RI'!A72</f>
        <v>5501</v>
      </c>
      <c r="B73" s="33" t="str">
        <f>'A) Base RI'!B72</f>
        <v>Sullens</v>
      </c>
      <c r="C73" s="472">
        <f>'A) Base RI'!AN72</f>
        <v>1036</v>
      </c>
      <c r="D73" s="10">
        <f t="shared" si="4"/>
        <v>1000</v>
      </c>
      <c r="E73" s="472">
        <f t="shared" si="4"/>
        <v>36</v>
      </c>
      <c r="F73" s="10">
        <f t="shared" si="4"/>
        <v>0</v>
      </c>
      <c r="G73" s="472">
        <f t="shared" si="4"/>
        <v>0</v>
      </c>
      <c r="H73" s="42">
        <f t="shared" si="4"/>
        <v>0</v>
      </c>
      <c r="I73" s="10">
        <f t="shared" si="4"/>
        <v>0</v>
      </c>
      <c r="J73" s="10">
        <f t="shared" ref="J73:J136" si="5">IF(C73&gt;$J$4,C73-$J$4,0)</f>
        <v>0</v>
      </c>
      <c r="K73" s="120">
        <f t="shared" ref="K73:K136" si="6">(D73*D$7)+(E73*E$7)+(F73*F$7)+(G73*G$7)+(H73*H$7)+(I73*I$7)+(J73*J$7)</f>
        <v>112486.72032193159</v>
      </c>
    </row>
    <row r="74" spans="1:11" x14ac:dyDescent="0.25">
      <c r="A74" s="50">
        <f>'A) Base RI'!A73</f>
        <v>5503</v>
      </c>
      <c r="B74" s="33" t="str">
        <f>'A) Base RI'!B73</f>
        <v>Vufflens-la-Ville</v>
      </c>
      <c r="C74" s="472">
        <f>'A) Base RI'!AN73</f>
        <v>1298</v>
      </c>
      <c r="D74" s="10">
        <f t="shared" si="4"/>
        <v>1000</v>
      </c>
      <c r="E74" s="472">
        <f t="shared" si="4"/>
        <v>298</v>
      </c>
      <c r="F74" s="10">
        <f t="shared" si="4"/>
        <v>0</v>
      </c>
      <c r="G74" s="472">
        <f t="shared" si="4"/>
        <v>0</v>
      </c>
      <c r="H74" s="42">
        <f t="shared" si="4"/>
        <v>0</v>
      </c>
      <c r="I74" s="10">
        <f t="shared" si="4"/>
        <v>0</v>
      </c>
      <c r="J74" s="10">
        <f t="shared" si="5"/>
        <v>0</v>
      </c>
      <c r="K74" s="120">
        <f t="shared" si="6"/>
        <v>204094.4668008048</v>
      </c>
    </row>
    <row r="75" spans="1:11" x14ac:dyDescent="0.25">
      <c r="A75" s="50">
        <f>'A) Base RI'!A74</f>
        <v>5511</v>
      </c>
      <c r="B75" s="33" t="str">
        <f>'A) Base RI'!B74</f>
        <v>Assens</v>
      </c>
      <c r="C75" s="472">
        <f>'A) Base RI'!AN74</f>
        <v>1077</v>
      </c>
      <c r="D75" s="10">
        <f t="shared" si="4"/>
        <v>1000</v>
      </c>
      <c r="E75" s="472">
        <f t="shared" si="4"/>
        <v>77</v>
      </c>
      <c r="F75" s="10">
        <f t="shared" si="4"/>
        <v>0</v>
      </c>
      <c r="G75" s="472">
        <f t="shared" si="4"/>
        <v>0</v>
      </c>
      <c r="H75" s="42">
        <f t="shared" si="4"/>
        <v>0</v>
      </c>
      <c r="I75" s="10">
        <f t="shared" si="4"/>
        <v>0</v>
      </c>
      <c r="J75" s="10">
        <f t="shared" si="5"/>
        <v>0</v>
      </c>
      <c r="K75" s="120">
        <f t="shared" si="6"/>
        <v>126822.28370221326</v>
      </c>
    </row>
    <row r="76" spans="1:11" x14ac:dyDescent="0.25">
      <c r="A76" s="50">
        <f>'A) Base RI'!A75</f>
        <v>5512</v>
      </c>
      <c r="B76" s="33" t="str">
        <f>'A) Base RI'!B75</f>
        <v>Bercher</v>
      </c>
      <c r="C76" s="472">
        <f>'A) Base RI'!AN75</f>
        <v>1239</v>
      </c>
      <c r="D76" s="10">
        <f t="shared" si="4"/>
        <v>1000</v>
      </c>
      <c r="E76" s="472">
        <f t="shared" si="4"/>
        <v>239</v>
      </c>
      <c r="F76" s="10">
        <f t="shared" si="4"/>
        <v>0</v>
      </c>
      <c r="G76" s="472">
        <f t="shared" si="4"/>
        <v>0</v>
      </c>
      <c r="H76" s="42">
        <f t="shared" si="4"/>
        <v>0</v>
      </c>
      <c r="I76" s="10">
        <f t="shared" si="4"/>
        <v>0</v>
      </c>
      <c r="J76" s="10">
        <f t="shared" si="5"/>
        <v>0</v>
      </c>
      <c r="K76" s="120">
        <f t="shared" si="6"/>
        <v>183465.24144869213</v>
      </c>
    </row>
    <row r="77" spans="1:11" x14ac:dyDescent="0.25">
      <c r="A77" s="50">
        <f>'A) Base RI'!A76</f>
        <v>5513</v>
      </c>
      <c r="B77" s="33" t="str">
        <f>'A) Base RI'!B76</f>
        <v>Bioley-Orjulaz</v>
      </c>
      <c r="C77" s="472">
        <f>'A) Base RI'!AN76</f>
        <v>516</v>
      </c>
      <c r="D77" s="10">
        <f t="shared" si="4"/>
        <v>516</v>
      </c>
      <c r="E77" s="472">
        <f t="shared" si="4"/>
        <v>0</v>
      </c>
      <c r="F77" s="10">
        <f t="shared" si="4"/>
        <v>0</v>
      </c>
      <c r="G77" s="472">
        <f t="shared" si="4"/>
        <v>0</v>
      </c>
      <c r="H77" s="42">
        <f t="shared" si="4"/>
        <v>0</v>
      </c>
      <c r="I77" s="10">
        <f t="shared" si="4"/>
        <v>0</v>
      </c>
      <c r="J77" s="10">
        <f t="shared" si="5"/>
        <v>0</v>
      </c>
      <c r="K77" s="120">
        <f t="shared" si="6"/>
        <v>51548.088531187124</v>
      </c>
    </row>
    <row r="78" spans="1:11" x14ac:dyDescent="0.25">
      <c r="A78" s="50">
        <f>'A) Base RI'!A77</f>
        <v>5514</v>
      </c>
      <c r="B78" s="33" t="str">
        <f>'A) Base RI'!B77</f>
        <v>Bottens</v>
      </c>
      <c r="C78" s="472">
        <f>'A) Base RI'!AN77</f>
        <v>1298</v>
      </c>
      <c r="D78" s="10">
        <f t="shared" si="4"/>
        <v>1000</v>
      </c>
      <c r="E78" s="472">
        <f t="shared" si="4"/>
        <v>298</v>
      </c>
      <c r="F78" s="10">
        <f t="shared" si="4"/>
        <v>0</v>
      </c>
      <c r="G78" s="472">
        <f t="shared" si="4"/>
        <v>0</v>
      </c>
      <c r="H78" s="42">
        <f t="shared" si="4"/>
        <v>0</v>
      </c>
      <c r="I78" s="10">
        <f t="shared" si="4"/>
        <v>0</v>
      </c>
      <c r="J78" s="10">
        <f t="shared" si="5"/>
        <v>0</v>
      </c>
      <c r="K78" s="120">
        <f t="shared" si="6"/>
        <v>204094.4668008048</v>
      </c>
    </row>
    <row r="79" spans="1:11" x14ac:dyDescent="0.25">
      <c r="A79" s="50">
        <f>'A) Base RI'!A78</f>
        <v>5515</v>
      </c>
      <c r="B79" s="33" t="str">
        <f>'A) Base RI'!B78</f>
        <v>Bretigny-sur-Morrens</v>
      </c>
      <c r="C79" s="472">
        <f>'A) Base RI'!AN78</f>
        <v>843</v>
      </c>
      <c r="D79" s="10">
        <f t="shared" si="4"/>
        <v>843</v>
      </c>
      <c r="E79" s="472">
        <f t="shared" si="4"/>
        <v>0</v>
      </c>
      <c r="F79" s="10">
        <f t="shared" si="4"/>
        <v>0</v>
      </c>
      <c r="G79" s="472">
        <f t="shared" si="4"/>
        <v>0</v>
      </c>
      <c r="H79" s="42">
        <f t="shared" si="4"/>
        <v>0</v>
      </c>
      <c r="I79" s="10">
        <f t="shared" si="4"/>
        <v>0</v>
      </c>
      <c r="J79" s="10">
        <f t="shared" si="5"/>
        <v>0</v>
      </c>
      <c r="K79" s="120">
        <f t="shared" si="6"/>
        <v>84215.19114688129</v>
      </c>
    </row>
    <row r="80" spans="1:11" x14ac:dyDescent="0.25">
      <c r="A80" s="50">
        <f>'A) Base RI'!A79</f>
        <v>5516</v>
      </c>
      <c r="B80" s="33" t="str">
        <f>'A) Base RI'!B79</f>
        <v>Cugy</v>
      </c>
      <c r="C80" s="472">
        <f>'A) Base RI'!AN79</f>
        <v>2742</v>
      </c>
      <c r="D80" s="10">
        <f t="shared" si="4"/>
        <v>1000</v>
      </c>
      <c r="E80" s="472">
        <f t="shared" si="4"/>
        <v>1742</v>
      </c>
      <c r="F80" s="10">
        <f t="shared" si="4"/>
        <v>0</v>
      </c>
      <c r="G80" s="472">
        <f t="shared" si="4"/>
        <v>0</v>
      </c>
      <c r="H80" s="42">
        <f t="shared" si="4"/>
        <v>0</v>
      </c>
      <c r="I80" s="10">
        <f t="shared" si="4"/>
        <v>0</v>
      </c>
      <c r="J80" s="10">
        <f t="shared" si="5"/>
        <v>0</v>
      </c>
      <c r="K80" s="120">
        <f t="shared" si="6"/>
        <v>708986.01609657949</v>
      </c>
    </row>
    <row r="81" spans="1:11" x14ac:dyDescent="0.25">
      <c r="A81" s="50">
        <f>'A) Base RI'!A80</f>
        <v>5518</v>
      </c>
      <c r="B81" s="33" t="str">
        <f>'A) Base RI'!B80</f>
        <v>Echallens</v>
      </c>
      <c r="C81" s="472">
        <f>'A) Base RI'!AN80</f>
        <v>5742</v>
      </c>
      <c r="D81" s="10">
        <f t="shared" si="4"/>
        <v>1000</v>
      </c>
      <c r="E81" s="472">
        <f t="shared" si="4"/>
        <v>2000</v>
      </c>
      <c r="F81" s="10">
        <f t="shared" si="4"/>
        <v>2000</v>
      </c>
      <c r="G81" s="472">
        <f t="shared" si="4"/>
        <v>742</v>
      </c>
      <c r="H81" s="42">
        <f t="shared" si="4"/>
        <v>0</v>
      </c>
      <c r="I81" s="10">
        <f t="shared" si="4"/>
        <v>0</v>
      </c>
      <c r="J81" s="10">
        <f t="shared" si="5"/>
        <v>0</v>
      </c>
      <c r="K81" s="120">
        <f t="shared" si="6"/>
        <v>2242941.2474849094</v>
      </c>
    </row>
    <row r="82" spans="1:11" x14ac:dyDescent="0.25">
      <c r="A82" s="50">
        <f>'A) Base RI'!A81</f>
        <v>5520</v>
      </c>
      <c r="B82" s="33" t="str">
        <f>'A) Base RI'!B81</f>
        <v>Essertines-sur-Yverdon</v>
      </c>
      <c r="C82" s="472">
        <f>'A) Base RI'!AN81</f>
        <v>1024</v>
      </c>
      <c r="D82" s="10">
        <f t="shared" si="4"/>
        <v>1000</v>
      </c>
      <c r="E82" s="472">
        <f t="shared" si="4"/>
        <v>24</v>
      </c>
      <c r="F82" s="10">
        <f t="shared" si="4"/>
        <v>0</v>
      </c>
      <c r="G82" s="472">
        <f t="shared" si="4"/>
        <v>0</v>
      </c>
      <c r="H82" s="42">
        <f t="shared" si="4"/>
        <v>0</v>
      </c>
      <c r="I82" s="10">
        <f t="shared" si="4"/>
        <v>0</v>
      </c>
      <c r="J82" s="10">
        <f t="shared" si="5"/>
        <v>0</v>
      </c>
      <c r="K82" s="120">
        <f t="shared" si="6"/>
        <v>108290.94567404425</v>
      </c>
    </row>
    <row r="83" spans="1:11" x14ac:dyDescent="0.25">
      <c r="A83" s="50">
        <f>'A) Base RI'!A82</f>
        <v>5521</v>
      </c>
      <c r="B83" s="33" t="str">
        <f>'A) Base RI'!B82</f>
        <v>Etagnières</v>
      </c>
      <c r="C83" s="472">
        <f>'A) Base RI'!AN82</f>
        <v>1118</v>
      </c>
      <c r="D83" s="10">
        <f t="shared" si="4"/>
        <v>1000</v>
      </c>
      <c r="E83" s="472">
        <f t="shared" si="4"/>
        <v>118</v>
      </c>
      <c r="F83" s="10">
        <f t="shared" si="4"/>
        <v>0</v>
      </c>
      <c r="G83" s="472">
        <f t="shared" si="4"/>
        <v>0</v>
      </c>
      <c r="H83" s="42">
        <f t="shared" si="4"/>
        <v>0</v>
      </c>
      <c r="I83" s="10">
        <f t="shared" si="4"/>
        <v>0</v>
      </c>
      <c r="J83" s="10">
        <f t="shared" si="5"/>
        <v>0</v>
      </c>
      <c r="K83" s="120">
        <f t="shared" si="6"/>
        <v>141157.84708249496</v>
      </c>
    </row>
    <row r="84" spans="1:11" x14ac:dyDescent="0.25">
      <c r="A84" s="50">
        <f>'A) Base RI'!A83</f>
        <v>5522</v>
      </c>
      <c r="B84" s="33" t="str">
        <f>'A) Base RI'!B83</f>
        <v>Fey</v>
      </c>
      <c r="C84" s="472">
        <f>'A) Base RI'!AN83</f>
        <v>734</v>
      </c>
      <c r="D84" s="10">
        <f t="shared" si="4"/>
        <v>734</v>
      </c>
      <c r="E84" s="472">
        <f t="shared" si="4"/>
        <v>0</v>
      </c>
      <c r="F84" s="10">
        <f t="shared" si="4"/>
        <v>0</v>
      </c>
      <c r="G84" s="472">
        <f t="shared" si="4"/>
        <v>0</v>
      </c>
      <c r="H84" s="42">
        <f t="shared" si="4"/>
        <v>0</v>
      </c>
      <c r="I84" s="10">
        <f t="shared" si="4"/>
        <v>0</v>
      </c>
      <c r="J84" s="10">
        <f t="shared" si="5"/>
        <v>0</v>
      </c>
      <c r="K84" s="120">
        <f t="shared" si="6"/>
        <v>73326.156941649897</v>
      </c>
    </row>
    <row r="85" spans="1:11" x14ac:dyDescent="0.25">
      <c r="A85" s="50">
        <f>'A) Base RI'!A84</f>
        <v>5523</v>
      </c>
      <c r="B85" s="33" t="str">
        <f>'A) Base RI'!B84</f>
        <v>Froideville</v>
      </c>
      <c r="C85" s="472">
        <f>'A) Base RI'!AN84</f>
        <v>2576</v>
      </c>
      <c r="D85" s="10">
        <f t="shared" si="4"/>
        <v>1000</v>
      </c>
      <c r="E85" s="472">
        <f t="shared" si="4"/>
        <v>1576</v>
      </c>
      <c r="F85" s="10">
        <f t="shared" si="4"/>
        <v>0</v>
      </c>
      <c r="G85" s="472">
        <f t="shared" si="4"/>
        <v>0</v>
      </c>
      <c r="H85" s="42">
        <f t="shared" si="4"/>
        <v>0</v>
      </c>
      <c r="I85" s="10">
        <f t="shared" si="4"/>
        <v>0</v>
      </c>
      <c r="J85" s="10">
        <f t="shared" si="5"/>
        <v>0</v>
      </c>
      <c r="K85" s="120">
        <f t="shared" si="6"/>
        <v>650944.46680080483</v>
      </c>
    </row>
    <row r="86" spans="1:11" x14ac:dyDescent="0.25">
      <c r="A86" s="50">
        <f>'A) Base RI'!A85</f>
        <v>5527</v>
      </c>
      <c r="B86" s="33" t="str">
        <f>'A) Base RI'!B85</f>
        <v>Morrens</v>
      </c>
      <c r="C86" s="472">
        <f>'A) Base RI'!AN85</f>
        <v>1077</v>
      </c>
      <c r="D86" s="10">
        <f t="shared" si="4"/>
        <v>1000</v>
      </c>
      <c r="E86" s="472">
        <f t="shared" si="4"/>
        <v>77</v>
      </c>
      <c r="F86" s="10">
        <f t="shared" si="4"/>
        <v>0</v>
      </c>
      <c r="G86" s="472">
        <f t="shared" si="4"/>
        <v>0</v>
      </c>
      <c r="H86" s="42">
        <f t="shared" si="4"/>
        <v>0</v>
      </c>
      <c r="I86" s="10">
        <f t="shared" si="4"/>
        <v>0</v>
      </c>
      <c r="J86" s="10">
        <f t="shared" si="5"/>
        <v>0</v>
      </c>
      <c r="K86" s="120">
        <f t="shared" si="6"/>
        <v>126822.28370221326</v>
      </c>
    </row>
    <row r="87" spans="1:11" x14ac:dyDescent="0.25">
      <c r="A87" s="50">
        <f>'A) Base RI'!A86</f>
        <v>5529</v>
      </c>
      <c r="B87" s="33" t="str">
        <f>'A) Base RI'!B86</f>
        <v>Oulens-sous-Echallens</v>
      </c>
      <c r="C87" s="472">
        <f>'A) Base RI'!AN86</f>
        <v>611</v>
      </c>
      <c r="D87" s="10">
        <f t="shared" si="4"/>
        <v>611</v>
      </c>
      <c r="E87" s="472">
        <f t="shared" si="4"/>
        <v>0</v>
      </c>
      <c r="F87" s="10">
        <f t="shared" si="4"/>
        <v>0</v>
      </c>
      <c r="G87" s="472">
        <f t="shared" si="4"/>
        <v>0</v>
      </c>
      <c r="H87" s="42">
        <f t="shared" si="4"/>
        <v>0</v>
      </c>
      <c r="I87" s="10">
        <f t="shared" si="4"/>
        <v>0</v>
      </c>
      <c r="J87" s="10">
        <f t="shared" si="5"/>
        <v>0</v>
      </c>
      <c r="K87" s="120">
        <f t="shared" si="6"/>
        <v>61038.531187122731</v>
      </c>
    </row>
    <row r="88" spans="1:11" x14ac:dyDescent="0.25">
      <c r="A88" s="50">
        <f>'A) Base RI'!A87</f>
        <v>5530</v>
      </c>
      <c r="B88" s="33" t="str">
        <f>'A) Base RI'!B87</f>
        <v>Pailly</v>
      </c>
      <c r="C88" s="472">
        <f>'A) Base RI'!AN87</f>
        <v>561</v>
      </c>
      <c r="D88" s="10">
        <f t="shared" si="4"/>
        <v>561</v>
      </c>
      <c r="E88" s="472">
        <f t="shared" si="4"/>
        <v>0</v>
      </c>
      <c r="F88" s="10">
        <f t="shared" si="4"/>
        <v>0</v>
      </c>
      <c r="G88" s="472">
        <f t="shared" si="4"/>
        <v>0</v>
      </c>
      <c r="H88" s="42">
        <f t="shared" si="4"/>
        <v>0</v>
      </c>
      <c r="I88" s="10">
        <f t="shared" si="4"/>
        <v>0</v>
      </c>
      <c r="J88" s="10">
        <f t="shared" si="5"/>
        <v>0</v>
      </c>
      <c r="K88" s="120">
        <f t="shared" si="6"/>
        <v>56043.561368209252</v>
      </c>
    </row>
    <row r="89" spans="1:11" x14ac:dyDescent="0.25">
      <c r="A89" s="50">
        <f>'A) Base RI'!A88</f>
        <v>5531</v>
      </c>
      <c r="B89" s="33" t="str">
        <f>'A) Base RI'!B88</f>
        <v>Penthéréaz</v>
      </c>
      <c r="C89" s="472">
        <f>'A) Base RI'!AN88</f>
        <v>421</v>
      </c>
      <c r="D89" s="10">
        <f t="shared" si="4"/>
        <v>421</v>
      </c>
      <c r="E89" s="472">
        <f t="shared" si="4"/>
        <v>0</v>
      </c>
      <c r="F89" s="10">
        <f t="shared" si="4"/>
        <v>0</v>
      </c>
      <c r="G89" s="472">
        <f t="shared" si="4"/>
        <v>0</v>
      </c>
      <c r="H89" s="42">
        <f t="shared" si="4"/>
        <v>0</v>
      </c>
      <c r="I89" s="10">
        <f t="shared" si="4"/>
        <v>0</v>
      </c>
      <c r="J89" s="10">
        <f t="shared" si="5"/>
        <v>0</v>
      </c>
      <c r="K89" s="120">
        <f t="shared" si="6"/>
        <v>42057.64587525151</v>
      </c>
    </row>
    <row r="90" spans="1:11" x14ac:dyDescent="0.25">
      <c r="A90" s="50">
        <f>'A) Base RI'!A89</f>
        <v>5533</v>
      </c>
      <c r="B90" s="33" t="str">
        <f>'A) Base RI'!B89</f>
        <v>Poliez-Pittet</v>
      </c>
      <c r="C90" s="472">
        <f>'A) Base RI'!AN89</f>
        <v>846</v>
      </c>
      <c r="D90" s="10">
        <f t="shared" si="4"/>
        <v>846</v>
      </c>
      <c r="E90" s="472">
        <f t="shared" si="4"/>
        <v>0</v>
      </c>
      <c r="F90" s="10">
        <f t="shared" si="4"/>
        <v>0</v>
      </c>
      <c r="G90" s="472">
        <f t="shared" si="4"/>
        <v>0</v>
      </c>
      <c r="H90" s="42">
        <f t="shared" si="4"/>
        <v>0</v>
      </c>
      <c r="I90" s="10">
        <f t="shared" si="4"/>
        <v>0</v>
      </c>
      <c r="J90" s="10">
        <f t="shared" si="5"/>
        <v>0</v>
      </c>
      <c r="K90" s="120">
        <f t="shared" si="6"/>
        <v>84514.889336016087</v>
      </c>
    </row>
    <row r="91" spans="1:11" x14ac:dyDescent="0.25">
      <c r="A91" s="50">
        <f>'A) Base RI'!A90</f>
        <v>5534</v>
      </c>
      <c r="B91" s="33" t="str">
        <f>'A) Base RI'!B90</f>
        <v>Rueyres</v>
      </c>
      <c r="C91" s="472">
        <f>'A) Base RI'!AN90</f>
        <v>255</v>
      </c>
      <c r="D91" s="10">
        <f t="shared" si="4"/>
        <v>255</v>
      </c>
      <c r="E91" s="472">
        <f t="shared" si="4"/>
        <v>0</v>
      </c>
      <c r="F91" s="10">
        <f t="shared" si="4"/>
        <v>0</v>
      </c>
      <c r="G91" s="472">
        <f t="shared" si="4"/>
        <v>0</v>
      </c>
      <c r="H91" s="42">
        <f t="shared" si="4"/>
        <v>0</v>
      </c>
      <c r="I91" s="10">
        <f t="shared" si="4"/>
        <v>0</v>
      </c>
      <c r="J91" s="10">
        <f t="shared" si="5"/>
        <v>0</v>
      </c>
      <c r="K91" s="120">
        <f t="shared" si="6"/>
        <v>25474.346076458751</v>
      </c>
    </row>
    <row r="92" spans="1:11" x14ac:dyDescent="0.25">
      <c r="A92" s="50">
        <f>'A) Base RI'!A91</f>
        <v>5535</v>
      </c>
      <c r="B92" s="33" t="str">
        <f>'A) Base RI'!B91</f>
        <v>Saint-Barthélemy</v>
      </c>
      <c r="C92" s="472">
        <f>'A) Base RI'!AN91</f>
        <v>778</v>
      </c>
      <c r="D92" s="10">
        <f t="shared" si="4"/>
        <v>778</v>
      </c>
      <c r="E92" s="472">
        <f t="shared" si="4"/>
        <v>0</v>
      </c>
      <c r="F92" s="10">
        <f t="shared" si="4"/>
        <v>0</v>
      </c>
      <c r="G92" s="472">
        <f t="shared" si="4"/>
        <v>0</v>
      </c>
      <c r="H92" s="42">
        <f t="shared" si="4"/>
        <v>0</v>
      </c>
      <c r="I92" s="10">
        <f t="shared" si="4"/>
        <v>0</v>
      </c>
      <c r="J92" s="10">
        <f t="shared" si="5"/>
        <v>0</v>
      </c>
      <c r="K92" s="120">
        <f t="shared" si="6"/>
        <v>77721.730382293754</v>
      </c>
    </row>
    <row r="93" spans="1:11" x14ac:dyDescent="0.25">
      <c r="A93" s="50">
        <f>'A) Base RI'!A92</f>
        <v>5537</v>
      </c>
      <c r="B93" s="33" t="str">
        <f>'A) Base RI'!B92</f>
        <v>Villars-le-Terroir</v>
      </c>
      <c r="C93" s="472">
        <f>'A) Base RI'!AN92</f>
        <v>1213</v>
      </c>
      <c r="D93" s="10">
        <f t="shared" si="4"/>
        <v>1000</v>
      </c>
      <c r="E93" s="472">
        <f t="shared" si="4"/>
        <v>213</v>
      </c>
      <c r="F93" s="10">
        <f t="shared" si="4"/>
        <v>0</v>
      </c>
      <c r="G93" s="472">
        <f t="shared" si="4"/>
        <v>0</v>
      </c>
      <c r="H93" s="42">
        <f t="shared" si="4"/>
        <v>0</v>
      </c>
      <c r="I93" s="10">
        <f t="shared" si="4"/>
        <v>0</v>
      </c>
      <c r="J93" s="10">
        <f t="shared" si="5"/>
        <v>0</v>
      </c>
      <c r="K93" s="120">
        <f t="shared" si="6"/>
        <v>174374.39637826959</v>
      </c>
    </row>
    <row r="94" spans="1:11" x14ac:dyDescent="0.25">
      <c r="A94" s="50">
        <f>'A) Base RI'!A93</f>
        <v>5539</v>
      </c>
      <c r="B94" s="33" t="str">
        <f>'A) Base RI'!B93</f>
        <v>Vuarrens</v>
      </c>
      <c r="C94" s="472">
        <f>'A) Base RI'!AN93</f>
        <v>1001</v>
      </c>
      <c r="D94" s="10">
        <f t="shared" si="4"/>
        <v>1000</v>
      </c>
      <c r="E94" s="472">
        <f t="shared" si="4"/>
        <v>1</v>
      </c>
      <c r="F94" s="10">
        <f t="shared" si="4"/>
        <v>0</v>
      </c>
      <c r="G94" s="472">
        <f t="shared" si="4"/>
        <v>0</v>
      </c>
      <c r="H94" s="42">
        <f t="shared" si="4"/>
        <v>0</v>
      </c>
      <c r="I94" s="10">
        <f t="shared" si="4"/>
        <v>0</v>
      </c>
      <c r="J94" s="10">
        <f t="shared" si="5"/>
        <v>0</v>
      </c>
      <c r="K94" s="120">
        <f t="shared" si="6"/>
        <v>100249.04426559355</v>
      </c>
    </row>
    <row r="95" spans="1:11" x14ac:dyDescent="0.25">
      <c r="A95" s="50">
        <f>'A) Base RI'!A94</f>
        <v>5540</v>
      </c>
      <c r="B95" s="33" t="str">
        <f>'A) Base RI'!B94</f>
        <v>Montilliez</v>
      </c>
      <c r="C95" s="472">
        <f>'A) Base RI'!AN94</f>
        <v>1781</v>
      </c>
      <c r="D95" s="10">
        <f t="shared" si="4"/>
        <v>1000</v>
      </c>
      <c r="E95" s="472">
        <f t="shared" si="4"/>
        <v>781</v>
      </c>
      <c r="F95" s="10">
        <f t="shared" si="4"/>
        <v>0</v>
      </c>
      <c r="G95" s="472">
        <f t="shared" si="4"/>
        <v>0</v>
      </c>
      <c r="H95" s="42">
        <f t="shared" si="4"/>
        <v>0</v>
      </c>
      <c r="I95" s="10">
        <f t="shared" si="4"/>
        <v>0</v>
      </c>
      <c r="J95" s="10">
        <f t="shared" si="5"/>
        <v>0</v>
      </c>
      <c r="K95" s="120">
        <f t="shared" si="6"/>
        <v>372974.39637826954</v>
      </c>
    </row>
    <row r="96" spans="1:11" x14ac:dyDescent="0.25">
      <c r="A96" s="50">
        <f>'A) Base RI'!A95</f>
        <v>5541</v>
      </c>
      <c r="B96" s="33" t="str">
        <f>'A) Base RI'!B95</f>
        <v>Goumoëns</v>
      </c>
      <c r="C96" s="472">
        <f>'A) Base RI'!AN95</f>
        <v>1119</v>
      </c>
      <c r="D96" s="10">
        <f t="shared" si="4"/>
        <v>1000</v>
      </c>
      <c r="E96" s="472">
        <f t="shared" si="4"/>
        <v>119</v>
      </c>
      <c r="F96" s="10">
        <f t="shared" si="4"/>
        <v>0</v>
      </c>
      <c r="G96" s="472">
        <f t="shared" si="4"/>
        <v>0</v>
      </c>
      <c r="H96" s="42">
        <f t="shared" si="4"/>
        <v>0</v>
      </c>
      <c r="I96" s="10">
        <f t="shared" si="4"/>
        <v>0</v>
      </c>
      <c r="J96" s="10">
        <f t="shared" si="5"/>
        <v>0</v>
      </c>
      <c r="K96" s="120">
        <f t="shared" si="6"/>
        <v>141507.49496981892</v>
      </c>
    </row>
    <row r="97" spans="1:11" x14ac:dyDescent="0.25">
      <c r="A97" s="50">
        <f>'A) Base RI'!A96</f>
        <v>5551</v>
      </c>
      <c r="B97" s="33" t="str">
        <f>'A) Base RI'!B96</f>
        <v>Bonvillars</v>
      </c>
      <c r="C97" s="472">
        <f>'A) Base RI'!AN96</f>
        <v>505</v>
      </c>
      <c r="D97" s="10">
        <f t="shared" si="4"/>
        <v>505</v>
      </c>
      <c r="E97" s="472">
        <f t="shared" si="4"/>
        <v>0</v>
      </c>
      <c r="F97" s="10">
        <f t="shared" si="4"/>
        <v>0</v>
      </c>
      <c r="G97" s="472">
        <f t="shared" si="4"/>
        <v>0</v>
      </c>
      <c r="H97" s="42">
        <f t="shared" si="4"/>
        <v>0</v>
      </c>
      <c r="I97" s="10">
        <f t="shared" si="4"/>
        <v>0</v>
      </c>
      <c r="J97" s="10">
        <f t="shared" si="5"/>
        <v>0</v>
      </c>
      <c r="K97" s="120">
        <f t="shared" si="6"/>
        <v>50449.195171026156</v>
      </c>
    </row>
    <row r="98" spans="1:11" x14ac:dyDescent="0.25">
      <c r="A98" s="50">
        <f>'A) Base RI'!A97</f>
        <v>5552</v>
      </c>
      <c r="B98" s="33" t="str">
        <f>'A) Base RI'!B97</f>
        <v>Bullet</v>
      </c>
      <c r="C98" s="472">
        <f>'A) Base RI'!AN97</f>
        <v>655</v>
      </c>
      <c r="D98" s="10">
        <f t="shared" si="4"/>
        <v>655</v>
      </c>
      <c r="E98" s="472">
        <f t="shared" si="4"/>
        <v>0</v>
      </c>
      <c r="F98" s="10">
        <f t="shared" si="4"/>
        <v>0</v>
      </c>
      <c r="G98" s="472">
        <f t="shared" si="4"/>
        <v>0</v>
      </c>
      <c r="H98" s="42">
        <f t="shared" si="4"/>
        <v>0</v>
      </c>
      <c r="I98" s="10">
        <f t="shared" si="4"/>
        <v>0</v>
      </c>
      <c r="J98" s="10">
        <f t="shared" si="5"/>
        <v>0</v>
      </c>
      <c r="K98" s="120">
        <f t="shared" si="6"/>
        <v>65434.104627766596</v>
      </c>
    </row>
    <row r="99" spans="1:11" x14ac:dyDescent="0.25">
      <c r="A99" s="50">
        <f>'A) Base RI'!A98</f>
        <v>5553</v>
      </c>
      <c r="B99" s="33" t="str">
        <f>'A) Base RI'!B98</f>
        <v>Champagne</v>
      </c>
      <c r="C99" s="472">
        <f>'A) Base RI'!AN98</f>
        <v>1034</v>
      </c>
      <c r="D99" s="10">
        <f t="shared" si="4"/>
        <v>1000</v>
      </c>
      <c r="E99" s="472">
        <f t="shared" si="4"/>
        <v>34</v>
      </c>
      <c r="F99" s="10">
        <f t="shared" si="4"/>
        <v>0</v>
      </c>
      <c r="G99" s="472">
        <f t="shared" si="4"/>
        <v>0</v>
      </c>
      <c r="H99" s="42">
        <f t="shared" si="4"/>
        <v>0</v>
      </c>
      <c r="I99" s="10">
        <f t="shared" si="4"/>
        <v>0</v>
      </c>
      <c r="J99" s="10">
        <f t="shared" si="5"/>
        <v>0</v>
      </c>
      <c r="K99" s="120">
        <f t="shared" si="6"/>
        <v>111787.42454728369</v>
      </c>
    </row>
    <row r="100" spans="1:11" x14ac:dyDescent="0.25">
      <c r="A100" s="50">
        <f>'A) Base RI'!A99</f>
        <v>5554</v>
      </c>
      <c r="B100" s="33" t="str">
        <f>'A) Base RI'!B99</f>
        <v>Concise</v>
      </c>
      <c r="C100" s="472">
        <f>'A) Base RI'!AN99</f>
        <v>995</v>
      </c>
      <c r="D100" s="10">
        <f t="shared" si="4"/>
        <v>995</v>
      </c>
      <c r="E100" s="472">
        <f t="shared" si="4"/>
        <v>0</v>
      </c>
      <c r="F100" s="10">
        <f t="shared" si="4"/>
        <v>0</v>
      </c>
      <c r="G100" s="472">
        <f t="shared" si="4"/>
        <v>0</v>
      </c>
      <c r="H100" s="42">
        <f t="shared" si="4"/>
        <v>0</v>
      </c>
      <c r="I100" s="10">
        <f t="shared" si="4"/>
        <v>0</v>
      </c>
      <c r="J100" s="10">
        <f t="shared" si="5"/>
        <v>0</v>
      </c>
      <c r="K100" s="120">
        <f t="shared" si="6"/>
        <v>99399.89939637827</v>
      </c>
    </row>
    <row r="101" spans="1:11" x14ac:dyDescent="0.25">
      <c r="A101" s="50">
        <f>'A) Base RI'!A100</f>
        <v>5555</v>
      </c>
      <c r="B101" s="33" t="str">
        <f>'A) Base RI'!B100</f>
        <v>Corcelles-près-Concise</v>
      </c>
      <c r="C101" s="472">
        <f>'A) Base RI'!AN100</f>
        <v>401</v>
      </c>
      <c r="D101" s="10">
        <f t="shared" si="4"/>
        <v>401</v>
      </c>
      <c r="E101" s="472">
        <f t="shared" si="4"/>
        <v>0</v>
      </c>
      <c r="F101" s="10">
        <f t="shared" si="4"/>
        <v>0</v>
      </c>
      <c r="G101" s="472">
        <f t="shared" si="4"/>
        <v>0</v>
      </c>
      <c r="H101" s="42">
        <f t="shared" si="4"/>
        <v>0</v>
      </c>
      <c r="I101" s="10">
        <f t="shared" si="4"/>
        <v>0</v>
      </c>
      <c r="J101" s="10">
        <f t="shared" si="5"/>
        <v>0</v>
      </c>
      <c r="K101" s="120">
        <f t="shared" si="6"/>
        <v>40059.657947686115</v>
      </c>
    </row>
    <row r="102" spans="1:11" x14ac:dyDescent="0.25">
      <c r="A102" s="50">
        <f>'A) Base RI'!A101</f>
        <v>5556</v>
      </c>
      <c r="B102" s="33" t="str">
        <f>'A) Base RI'!B101</f>
        <v>Fiez</v>
      </c>
      <c r="C102" s="472">
        <f>'A) Base RI'!AN101</f>
        <v>447</v>
      </c>
      <c r="D102" s="10">
        <f t="shared" si="4"/>
        <v>447</v>
      </c>
      <c r="E102" s="472">
        <f t="shared" si="4"/>
        <v>0</v>
      </c>
      <c r="F102" s="10">
        <f t="shared" si="4"/>
        <v>0</v>
      </c>
      <c r="G102" s="472">
        <f t="shared" si="4"/>
        <v>0</v>
      </c>
      <c r="H102" s="42">
        <f t="shared" si="4"/>
        <v>0</v>
      </c>
      <c r="I102" s="10">
        <f t="shared" si="4"/>
        <v>0</v>
      </c>
      <c r="J102" s="10">
        <f t="shared" si="5"/>
        <v>0</v>
      </c>
      <c r="K102" s="120">
        <f t="shared" si="6"/>
        <v>44655.03018108652</v>
      </c>
    </row>
    <row r="103" spans="1:11" x14ac:dyDescent="0.25">
      <c r="A103" s="50">
        <f>'A) Base RI'!A102</f>
        <v>5557</v>
      </c>
      <c r="B103" s="33" t="str">
        <f>'A) Base RI'!B102</f>
        <v>Fontaines-sur-Grandson</v>
      </c>
      <c r="C103" s="472">
        <f>'A) Base RI'!AN102</f>
        <v>218</v>
      </c>
      <c r="D103" s="10">
        <f t="shared" si="4"/>
        <v>218</v>
      </c>
      <c r="E103" s="472">
        <f t="shared" si="4"/>
        <v>0</v>
      </c>
      <c r="F103" s="10">
        <f t="shared" si="4"/>
        <v>0</v>
      </c>
      <c r="G103" s="472">
        <f t="shared" si="4"/>
        <v>0</v>
      </c>
      <c r="H103" s="42">
        <f t="shared" si="4"/>
        <v>0</v>
      </c>
      <c r="I103" s="10">
        <f t="shared" si="4"/>
        <v>0</v>
      </c>
      <c r="J103" s="10">
        <f t="shared" si="5"/>
        <v>0</v>
      </c>
      <c r="K103" s="120">
        <f t="shared" si="6"/>
        <v>21778.068410462776</v>
      </c>
    </row>
    <row r="104" spans="1:11" x14ac:dyDescent="0.25">
      <c r="A104" s="50">
        <f>'A) Base RI'!A103</f>
        <v>5559</v>
      </c>
      <c r="B104" s="33" t="str">
        <f>'A) Base RI'!B103</f>
        <v>Giez</v>
      </c>
      <c r="C104" s="472">
        <f>'A) Base RI'!AN103</f>
        <v>412</v>
      </c>
      <c r="D104" s="10">
        <f t="shared" si="4"/>
        <v>412</v>
      </c>
      <c r="E104" s="472">
        <f t="shared" si="4"/>
        <v>0</v>
      </c>
      <c r="F104" s="10">
        <f t="shared" si="4"/>
        <v>0</v>
      </c>
      <c r="G104" s="472">
        <f t="shared" si="4"/>
        <v>0</v>
      </c>
      <c r="H104" s="42">
        <f t="shared" si="4"/>
        <v>0</v>
      </c>
      <c r="I104" s="10">
        <f t="shared" si="4"/>
        <v>0</v>
      </c>
      <c r="J104" s="10">
        <f t="shared" si="5"/>
        <v>0</v>
      </c>
      <c r="K104" s="120">
        <f t="shared" si="6"/>
        <v>41158.551307847083</v>
      </c>
    </row>
    <row r="105" spans="1:11" x14ac:dyDescent="0.25">
      <c r="A105" s="50">
        <f>'A) Base RI'!A104</f>
        <v>5560</v>
      </c>
      <c r="B105" s="33" t="str">
        <f>'A) Base RI'!B104</f>
        <v>Grandevent</v>
      </c>
      <c r="C105" s="472">
        <f>'A) Base RI'!AN104</f>
        <v>238</v>
      </c>
      <c r="D105" s="10">
        <f t="shared" si="4"/>
        <v>238</v>
      </c>
      <c r="E105" s="472">
        <f t="shared" si="4"/>
        <v>0</v>
      </c>
      <c r="F105" s="10">
        <f t="shared" si="4"/>
        <v>0</v>
      </c>
      <c r="G105" s="472">
        <f t="shared" si="4"/>
        <v>0</v>
      </c>
      <c r="H105" s="42">
        <f t="shared" si="4"/>
        <v>0</v>
      </c>
      <c r="I105" s="10">
        <f t="shared" si="4"/>
        <v>0</v>
      </c>
      <c r="J105" s="10">
        <f t="shared" si="5"/>
        <v>0</v>
      </c>
      <c r="K105" s="120">
        <f t="shared" si="6"/>
        <v>23776.056338028167</v>
      </c>
    </row>
    <row r="106" spans="1:11" x14ac:dyDescent="0.25">
      <c r="A106" s="50">
        <f>'A) Base RI'!A105</f>
        <v>5561</v>
      </c>
      <c r="B106" s="33" t="str">
        <f>'A) Base RI'!B105</f>
        <v>Grandson</v>
      </c>
      <c r="C106" s="472">
        <f>'A) Base RI'!AN105</f>
        <v>3360</v>
      </c>
      <c r="D106" s="10">
        <f t="shared" si="4"/>
        <v>1000</v>
      </c>
      <c r="E106" s="472">
        <f t="shared" si="4"/>
        <v>2000</v>
      </c>
      <c r="F106" s="10">
        <f t="shared" si="4"/>
        <v>360</v>
      </c>
      <c r="G106" s="472">
        <f t="shared" ref="E106:I157" si="7">IF($C106&gt;G$4,IF($C106&lt;G$5,$C106-G$4,G$5-G$4),0)</f>
        <v>0</v>
      </c>
      <c r="H106" s="42">
        <f t="shared" si="7"/>
        <v>0</v>
      </c>
      <c r="I106" s="10">
        <f t="shared" si="7"/>
        <v>0</v>
      </c>
      <c r="J106" s="10">
        <f t="shared" si="5"/>
        <v>0</v>
      </c>
      <c r="K106" s="120">
        <f t="shared" si="6"/>
        <v>979014.08450704219</v>
      </c>
    </row>
    <row r="107" spans="1:11" x14ac:dyDescent="0.25">
      <c r="A107" s="50">
        <f>'A) Base RI'!A106</f>
        <v>5562</v>
      </c>
      <c r="B107" s="33" t="str">
        <f>'A) Base RI'!B106</f>
        <v>Mauborget</v>
      </c>
      <c r="C107" s="472">
        <f>'A) Base RI'!AN106</f>
        <v>122</v>
      </c>
      <c r="D107" s="10">
        <f t="shared" ref="D107:D170" si="8">IF($C107&gt;D$4,IF($C107&lt;D$5,$C107-D$4,D$5-D$4),0)</f>
        <v>122</v>
      </c>
      <c r="E107" s="472">
        <f t="shared" si="7"/>
        <v>0</v>
      </c>
      <c r="F107" s="10">
        <f t="shared" si="7"/>
        <v>0</v>
      </c>
      <c r="G107" s="472">
        <f t="shared" si="7"/>
        <v>0</v>
      </c>
      <c r="H107" s="42">
        <f t="shared" si="7"/>
        <v>0</v>
      </c>
      <c r="I107" s="10">
        <f t="shared" si="7"/>
        <v>0</v>
      </c>
      <c r="J107" s="10">
        <f t="shared" si="5"/>
        <v>0</v>
      </c>
      <c r="K107" s="120">
        <f t="shared" si="6"/>
        <v>12187.726358148893</v>
      </c>
    </row>
    <row r="108" spans="1:11" x14ac:dyDescent="0.25">
      <c r="A108" s="50">
        <f>'A) Base RI'!A107</f>
        <v>5563</v>
      </c>
      <c r="B108" s="33" t="str">
        <f>'A) Base RI'!B107</f>
        <v>Mutrux</v>
      </c>
      <c r="C108" s="472">
        <f>'A) Base RI'!AN107</f>
        <v>158</v>
      </c>
      <c r="D108" s="10">
        <f t="shared" si="8"/>
        <v>158</v>
      </c>
      <c r="E108" s="472">
        <f t="shared" si="7"/>
        <v>0</v>
      </c>
      <c r="F108" s="10">
        <f t="shared" si="7"/>
        <v>0</v>
      </c>
      <c r="G108" s="472">
        <f t="shared" si="7"/>
        <v>0</v>
      </c>
      <c r="H108" s="42">
        <f t="shared" si="7"/>
        <v>0</v>
      </c>
      <c r="I108" s="10">
        <f t="shared" si="7"/>
        <v>0</v>
      </c>
      <c r="J108" s="10">
        <f t="shared" si="5"/>
        <v>0</v>
      </c>
      <c r="K108" s="120">
        <f t="shared" si="6"/>
        <v>15784.104627766599</v>
      </c>
    </row>
    <row r="109" spans="1:11" x14ac:dyDescent="0.25">
      <c r="A109" s="50">
        <f>'A) Base RI'!A108</f>
        <v>5564</v>
      </c>
      <c r="B109" s="33" t="str">
        <f>'A) Base RI'!B108</f>
        <v>Novalles</v>
      </c>
      <c r="C109" s="472">
        <f>'A) Base RI'!AN108</f>
        <v>101</v>
      </c>
      <c r="D109" s="10">
        <f t="shared" si="8"/>
        <v>101</v>
      </c>
      <c r="E109" s="472">
        <f t="shared" si="7"/>
        <v>0</v>
      </c>
      <c r="F109" s="10">
        <f t="shared" si="7"/>
        <v>0</v>
      </c>
      <c r="G109" s="472">
        <f t="shared" si="7"/>
        <v>0</v>
      </c>
      <c r="H109" s="42">
        <f t="shared" si="7"/>
        <v>0</v>
      </c>
      <c r="I109" s="10">
        <f t="shared" si="7"/>
        <v>0</v>
      </c>
      <c r="J109" s="10">
        <f t="shared" si="5"/>
        <v>0</v>
      </c>
      <c r="K109" s="120">
        <f t="shared" si="6"/>
        <v>10089.839034205232</v>
      </c>
    </row>
    <row r="110" spans="1:11" x14ac:dyDescent="0.25">
      <c r="A110" s="50">
        <f>'A) Base RI'!A109</f>
        <v>5565</v>
      </c>
      <c r="B110" s="33" t="str">
        <f>'A) Base RI'!B109</f>
        <v>Onnens</v>
      </c>
      <c r="C110" s="472">
        <f>'A) Base RI'!AN109</f>
        <v>494</v>
      </c>
      <c r="D110" s="10">
        <f t="shared" si="8"/>
        <v>494</v>
      </c>
      <c r="E110" s="472">
        <f t="shared" si="7"/>
        <v>0</v>
      </c>
      <c r="F110" s="10">
        <f t="shared" si="7"/>
        <v>0</v>
      </c>
      <c r="G110" s="472">
        <f t="shared" si="7"/>
        <v>0</v>
      </c>
      <c r="H110" s="42">
        <f t="shared" si="7"/>
        <v>0</v>
      </c>
      <c r="I110" s="10">
        <f t="shared" si="7"/>
        <v>0</v>
      </c>
      <c r="J110" s="10">
        <f t="shared" si="5"/>
        <v>0</v>
      </c>
      <c r="K110" s="120">
        <f t="shared" si="6"/>
        <v>49350.301810865189</v>
      </c>
    </row>
    <row r="111" spans="1:11" x14ac:dyDescent="0.25">
      <c r="A111" s="50">
        <f>'A) Base RI'!A110</f>
        <v>5566</v>
      </c>
      <c r="B111" s="33" t="str">
        <f>'A) Base RI'!B110</f>
        <v>Provence</v>
      </c>
      <c r="C111" s="472">
        <f>'A) Base RI'!AN110</f>
        <v>373</v>
      </c>
      <c r="D111" s="10">
        <f t="shared" si="8"/>
        <v>373</v>
      </c>
      <c r="E111" s="472">
        <f t="shared" si="7"/>
        <v>0</v>
      </c>
      <c r="F111" s="10">
        <f t="shared" si="7"/>
        <v>0</v>
      </c>
      <c r="G111" s="472">
        <f t="shared" si="7"/>
        <v>0</v>
      </c>
      <c r="H111" s="42">
        <f t="shared" si="7"/>
        <v>0</v>
      </c>
      <c r="I111" s="10">
        <f t="shared" si="7"/>
        <v>0</v>
      </c>
      <c r="J111" s="10">
        <f t="shared" si="5"/>
        <v>0</v>
      </c>
      <c r="K111" s="120">
        <f t="shared" si="6"/>
        <v>37262.474849094564</v>
      </c>
    </row>
    <row r="112" spans="1:11" x14ac:dyDescent="0.25">
      <c r="A112" s="50">
        <f>'A) Base RI'!A111</f>
        <v>5568</v>
      </c>
      <c r="B112" s="33" t="str">
        <f>'A) Base RI'!B111</f>
        <v>Sainte-Croix</v>
      </c>
      <c r="C112" s="472">
        <f>'A) Base RI'!AN111</f>
        <v>4845</v>
      </c>
      <c r="D112" s="10">
        <f t="shared" si="8"/>
        <v>1000</v>
      </c>
      <c r="E112" s="472">
        <f t="shared" si="7"/>
        <v>2000</v>
      </c>
      <c r="F112" s="10">
        <f t="shared" si="7"/>
        <v>1845</v>
      </c>
      <c r="G112" s="472">
        <f t="shared" si="7"/>
        <v>0</v>
      </c>
      <c r="H112" s="42">
        <f t="shared" si="7"/>
        <v>0</v>
      </c>
      <c r="I112" s="10">
        <f t="shared" si="7"/>
        <v>0</v>
      </c>
      <c r="J112" s="10">
        <f t="shared" si="5"/>
        <v>0</v>
      </c>
      <c r="K112" s="120">
        <f t="shared" si="6"/>
        <v>1720767.102615694</v>
      </c>
    </row>
    <row r="113" spans="1:11" x14ac:dyDescent="0.25">
      <c r="A113" s="50">
        <f>'A) Base RI'!A112</f>
        <v>5571</v>
      </c>
      <c r="B113" s="33" t="str">
        <f>'A) Base RI'!B112</f>
        <v>Tévenon</v>
      </c>
      <c r="C113" s="472">
        <f>'A) Base RI'!AN112</f>
        <v>877</v>
      </c>
      <c r="D113" s="10">
        <f t="shared" si="8"/>
        <v>877</v>
      </c>
      <c r="E113" s="472">
        <f t="shared" si="7"/>
        <v>0</v>
      </c>
      <c r="F113" s="10">
        <f t="shared" si="7"/>
        <v>0</v>
      </c>
      <c r="G113" s="472">
        <f t="shared" si="7"/>
        <v>0</v>
      </c>
      <c r="H113" s="42">
        <f t="shared" si="7"/>
        <v>0</v>
      </c>
      <c r="I113" s="10">
        <f t="shared" si="7"/>
        <v>0</v>
      </c>
      <c r="J113" s="10">
        <f t="shared" si="5"/>
        <v>0</v>
      </c>
      <c r="K113" s="120">
        <f t="shared" si="6"/>
        <v>87611.770623742457</v>
      </c>
    </row>
    <row r="114" spans="1:11" x14ac:dyDescent="0.25">
      <c r="A114" s="50">
        <f>'A) Base RI'!A113</f>
        <v>5581</v>
      </c>
      <c r="B114" s="33" t="str">
        <f>'A) Base RI'!B113</f>
        <v>Belmont-sur-Lausanne</v>
      </c>
      <c r="C114" s="472">
        <f>'A) Base RI'!AN113</f>
        <v>3732</v>
      </c>
      <c r="D114" s="10">
        <f t="shared" si="8"/>
        <v>1000</v>
      </c>
      <c r="E114" s="472">
        <f t="shared" si="7"/>
        <v>2000</v>
      </c>
      <c r="F114" s="10">
        <f t="shared" si="7"/>
        <v>732</v>
      </c>
      <c r="G114" s="472">
        <f t="shared" si="7"/>
        <v>0</v>
      </c>
      <c r="H114" s="42">
        <f t="shared" si="7"/>
        <v>0</v>
      </c>
      <c r="I114" s="10">
        <f t="shared" si="7"/>
        <v>0</v>
      </c>
      <c r="J114" s="10">
        <f t="shared" si="5"/>
        <v>0</v>
      </c>
      <c r="K114" s="120">
        <f t="shared" si="6"/>
        <v>1164826.9617706237</v>
      </c>
    </row>
    <row r="115" spans="1:11" x14ac:dyDescent="0.25">
      <c r="A115" s="50">
        <f>'A) Base RI'!A114</f>
        <v>5582</v>
      </c>
      <c r="B115" s="33" t="str">
        <f>'A) Base RI'!B114</f>
        <v>Cheseaux-sur-Lausanne</v>
      </c>
      <c r="C115" s="472">
        <f>'A) Base RI'!AN114</f>
        <v>4338</v>
      </c>
      <c r="D115" s="10">
        <f t="shared" si="8"/>
        <v>1000</v>
      </c>
      <c r="E115" s="472">
        <f t="shared" si="7"/>
        <v>2000</v>
      </c>
      <c r="F115" s="10">
        <f t="shared" si="7"/>
        <v>1338</v>
      </c>
      <c r="G115" s="472">
        <f t="shared" si="7"/>
        <v>0</v>
      </c>
      <c r="H115" s="42">
        <f t="shared" si="7"/>
        <v>0</v>
      </c>
      <c r="I115" s="10">
        <f t="shared" si="7"/>
        <v>0</v>
      </c>
      <c r="J115" s="10">
        <f t="shared" si="5"/>
        <v>0</v>
      </c>
      <c r="K115" s="120">
        <f t="shared" si="6"/>
        <v>1467522.1327967807</v>
      </c>
    </row>
    <row r="116" spans="1:11" x14ac:dyDescent="0.25">
      <c r="A116" s="50">
        <f>'A) Base RI'!A115</f>
        <v>5583</v>
      </c>
      <c r="B116" s="33" t="str">
        <f>'A) Base RI'!B115</f>
        <v>Crissier</v>
      </c>
      <c r="C116" s="472">
        <f>'A) Base RI'!AN115</f>
        <v>7905</v>
      </c>
      <c r="D116" s="10">
        <f t="shared" si="8"/>
        <v>1000</v>
      </c>
      <c r="E116" s="472">
        <f t="shared" si="7"/>
        <v>2000</v>
      </c>
      <c r="F116" s="10">
        <f t="shared" si="7"/>
        <v>2000</v>
      </c>
      <c r="G116" s="472">
        <f t="shared" si="7"/>
        <v>2905</v>
      </c>
      <c r="H116" s="42">
        <f t="shared" si="7"/>
        <v>0</v>
      </c>
      <c r="I116" s="10">
        <f t="shared" si="7"/>
        <v>0</v>
      </c>
      <c r="J116" s="10">
        <f t="shared" si="5"/>
        <v>0</v>
      </c>
      <c r="K116" s="120">
        <f t="shared" si="6"/>
        <v>3539435.6136820922</v>
      </c>
    </row>
    <row r="117" spans="1:11" x14ac:dyDescent="0.25">
      <c r="A117" s="50">
        <f>'A) Base RI'!A116</f>
        <v>5584</v>
      </c>
      <c r="B117" s="33" t="str">
        <f>'A) Base RI'!B116</f>
        <v>Epalinges</v>
      </c>
      <c r="C117" s="472">
        <f>'A) Base RI'!AN116</f>
        <v>9624</v>
      </c>
      <c r="D117" s="10">
        <f t="shared" si="8"/>
        <v>1000</v>
      </c>
      <c r="E117" s="472">
        <f t="shared" si="7"/>
        <v>2000</v>
      </c>
      <c r="F117" s="10">
        <f t="shared" si="7"/>
        <v>2000</v>
      </c>
      <c r="G117" s="472">
        <f t="shared" si="7"/>
        <v>4000</v>
      </c>
      <c r="H117" s="42">
        <f t="shared" si="7"/>
        <v>624</v>
      </c>
      <c r="I117" s="10">
        <f t="shared" si="7"/>
        <v>0</v>
      </c>
      <c r="J117" s="10">
        <f t="shared" si="5"/>
        <v>0</v>
      </c>
      <c r="K117" s="120">
        <f t="shared" si="6"/>
        <v>4725641.0462776646</v>
      </c>
    </row>
    <row r="118" spans="1:11" x14ac:dyDescent="0.25">
      <c r="A118" s="50">
        <f>'A) Base RI'!A117</f>
        <v>5585</v>
      </c>
      <c r="B118" s="33" t="str">
        <f>'A) Base RI'!B117</f>
        <v>Jouxtens-Mézery</v>
      </c>
      <c r="C118" s="472">
        <f>'A) Base RI'!AN117</f>
        <v>1471</v>
      </c>
      <c r="D118" s="10">
        <f t="shared" si="8"/>
        <v>1000</v>
      </c>
      <c r="E118" s="472">
        <f t="shared" si="7"/>
        <v>471</v>
      </c>
      <c r="F118" s="10">
        <f t="shared" si="7"/>
        <v>0</v>
      </c>
      <c r="G118" s="472">
        <f t="shared" si="7"/>
        <v>0</v>
      </c>
      <c r="H118" s="42">
        <f t="shared" si="7"/>
        <v>0</v>
      </c>
      <c r="I118" s="10">
        <f t="shared" si="7"/>
        <v>0</v>
      </c>
      <c r="J118" s="10">
        <f t="shared" si="5"/>
        <v>0</v>
      </c>
      <c r="K118" s="120">
        <f t="shared" si="6"/>
        <v>264583.55130784702</v>
      </c>
    </row>
    <row r="119" spans="1:11" x14ac:dyDescent="0.25">
      <c r="A119" s="50">
        <f>'A) Base RI'!A118</f>
        <v>5586</v>
      </c>
      <c r="B119" s="33" t="str">
        <f>'A) Base RI'!B118</f>
        <v>Lausanne</v>
      </c>
      <c r="C119" s="472">
        <f>'A) Base RI'!AN118</f>
        <v>139720</v>
      </c>
      <c r="D119" s="10">
        <f t="shared" si="8"/>
        <v>1000</v>
      </c>
      <c r="E119" s="472">
        <f t="shared" si="7"/>
        <v>2000</v>
      </c>
      <c r="F119" s="10">
        <f t="shared" si="7"/>
        <v>2000</v>
      </c>
      <c r="G119" s="472">
        <f t="shared" si="7"/>
        <v>4000</v>
      </c>
      <c r="H119" s="42">
        <f t="shared" si="7"/>
        <v>3000</v>
      </c>
      <c r="I119" s="10">
        <f t="shared" si="7"/>
        <v>3000</v>
      </c>
      <c r="J119" s="10">
        <f t="shared" si="5"/>
        <v>124720</v>
      </c>
      <c r="K119" s="120">
        <f t="shared" si="6"/>
        <v>140564444.66800803</v>
      </c>
    </row>
    <row r="120" spans="1:11" x14ac:dyDescent="0.25">
      <c r="A120" s="50">
        <f>'A) Base RI'!A119</f>
        <v>5587</v>
      </c>
      <c r="B120" s="33" t="str">
        <f>'A) Base RI'!B119</f>
        <v>Le Mont-sur-Lausanne</v>
      </c>
      <c r="C120" s="472">
        <f>'A) Base RI'!AN119</f>
        <v>8516</v>
      </c>
      <c r="D120" s="10">
        <f t="shared" si="8"/>
        <v>1000</v>
      </c>
      <c r="E120" s="472">
        <f t="shared" si="7"/>
        <v>2000</v>
      </c>
      <c r="F120" s="10">
        <f t="shared" si="7"/>
        <v>2000</v>
      </c>
      <c r="G120" s="472">
        <f t="shared" si="7"/>
        <v>3516</v>
      </c>
      <c r="H120" s="42">
        <f t="shared" si="7"/>
        <v>0</v>
      </c>
      <c r="I120" s="10">
        <f t="shared" si="7"/>
        <v>0</v>
      </c>
      <c r="J120" s="10">
        <f t="shared" si="5"/>
        <v>0</v>
      </c>
      <c r="K120" s="120">
        <f t="shared" si="6"/>
        <v>3905666.8008048288</v>
      </c>
    </row>
    <row r="121" spans="1:11" x14ac:dyDescent="0.25">
      <c r="A121" s="50">
        <f>'A) Base RI'!A120</f>
        <v>5588</v>
      </c>
      <c r="B121" s="33" t="str">
        <f>'A) Base RI'!B120</f>
        <v>Paudex</v>
      </c>
      <c r="C121" s="472">
        <f>'A) Base RI'!AN120</f>
        <v>1507</v>
      </c>
      <c r="D121" s="10">
        <f t="shared" si="8"/>
        <v>1000</v>
      </c>
      <c r="E121" s="472">
        <f t="shared" si="7"/>
        <v>507</v>
      </c>
      <c r="F121" s="10">
        <f t="shared" si="7"/>
        <v>0</v>
      </c>
      <c r="G121" s="472">
        <f t="shared" si="7"/>
        <v>0</v>
      </c>
      <c r="H121" s="42">
        <f t="shared" si="7"/>
        <v>0</v>
      </c>
      <c r="I121" s="10">
        <f t="shared" si="7"/>
        <v>0</v>
      </c>
      <c r="J121" s="10">
        <f t="shared" si="5"/>
        <v>0</v>
      </c>
      <c r="K121" s="120">
        <f t="shared" si="6"/>
        <v>277170.87525150902</v>
      </c>
    </row>
    <row r="122" spans="1:11" x14ac:dyDescent="0.25">
      <c r="A122" s="50">
        <f>'A) Base RI'!A121</f>
        <v>5589</v>
      </c>
      <c r="B122" s="33" t="str">
        <f>'A) Base RI'!B121</f>
        <v>Prilly</v>
      </c>
      <c r="C122" s="472">
        <f>'A) Base RI'!AN121</f>
        <v>12392</v>
      </c>
      <c r="D122" s="10">
        <f t="shared" si="8"/>
        <v>1000</v>
      </c>
      <c r="E122" s="472">
        <f t="shared" si="7"/>
        <v>2000</v>
      </c>
      <c r="F122" s="10">
        <f t="shared" si="7"/>
        <v>2000</v>
      </c>
      <c r="G122" s="472">
        <f t="shared" si="7"/>
        <v>4000</v>
      </c>
      <c r="H122" s="42">
        <f t="shared" si="7"/>
        <v>3000</v>
      </c>
      <c r="I122" s="10">
        <f t="shared" si="7"/>
        <v>392</v>
      </c>
      <c r="J122" s="10">
        <f t="shared" si="5"/>
        <v>0</v>
      </c>
      <c r="K122" s="120">
        <f t="shared" si="6"/>
        <v>7134814.8893360151</v>
      </c>
    </row>
    <row r="123" spans="1:11" x14ac:dyDescent="0.25">
      <c r="A123" s="50">
        <f>'A) Base RI'!A122</f>
        <v>5590</v>
      </c>
      <c r="B123" s="33" t="str">
        <f>'A) Base RI'!B122</f>
        <v>Pully</v>
      </c>
      <c r="C123" s="472">
        <f>'A) Base RI'!AN122</f>
        <v>18336</v>
      </c>
      <c r="D123" s="10">
        <f t="shared" si="8"/>
        <v>1000</v>
      </c>
      <c r="E123" s="472">
        <f t="shared" si="7"/>
        <v>2000</v>
      </c>
      <c r="F123" s="10">
        <f t="shared" si="7"/>
        <v>2000</v>
      </c>
      <c r="G123" s="472">
        <f t="shared" si="7"/>
        <v>4000</v>
      </c>
      <c r="H123" s="42">
        <f t="shared" si="7"/>
        <v>3000</v>
      </c>
      <c r="I123" s="10">
        <f t="shared" si="7"/>
        <v>3000</v>
      </c>
      <c r="J123" s="10">
        <f t="shared" si="5"/>
        <v>3336</v>
      </c>
      <c r="K123" s="120">
        <f t="shared" si="6"/>
        <v>13239467.203219313</v>
      </c>
    </row>
    <row r="124" spans="1:11" x14ac:dyDescent="0.25">
      <c r="A124" s="50">
        <f>'A) Base RI'!A123</f>
        <v>5591</v>
      </c>
      <c r="B124" s="33" t="str">
        <f>'A) Base RI'!B123</f>
        <v>Renens</v>
      </c>
      <c r="C124" s="472">
        <f>'A) Base RI'!AN123</f>
        <v>20968</v>
      </c>
      <c r="D124" s="10">
        <f t="shared" si="8"/>
        <v>1000</v>
      </c>
      <c r="E124" s="472">
        <f t="shared" si="7"/>
        <v>2000</v>
      </c>
      <c r="F124" s="10">
        <f t="shared" si="7"/>
        <v>2000</v>
      </c>
      <c r="G124" s="472">
        <f t="shared" si="7"/>
        <v>4000</v>
      </c>
      <c r="H124" s="42">
        <f t="shared" si="7"/>
        <v>3000</v>
      </c>
      <c r="I124" s="10">
        <f t="shared" si="7"/>
        <v>3000</v>
      </c>
      <c r="J124" s="10">
        <f t="shared" si="5"/>
        <v>5968</v>
      </c>
      <c r="K124" s="120">
        <f t="shared" si="6"/>
        <v>16000286.921529172</v>
      </c>
    </row>
    <row r="125" spans="1:11" x14ac:dyDescent="0.25">
      <c r="A125" s="50">
        <f>'A) Base RI'!A124</f>
        <v>5592</v>
      </c>
      <c r="B125" s="33" t="str">
        <f>'A) Base RI'!B124</f>
        <v>Romanel-sur-Lausanne</v>
      </c>
      <c r="C125" s="472">
        <f>'A) Base RI'!AN124</f>
        <v>3311</v>
      </c>
      <c r="D125" s="10">
        <f t="shared" si="8"/>
        <v>1000</v>
      </c>
      <c r="E125" s="472">
        <f t="shared" si="7"/>
        <v>2000</v>
      </c>
      <c r="F125" s="10">
        <f t="shared" si="7"/>
        <v>311</v>
      </c>
      <c r="G125" s="472">
        <f t="shared" si="7"/>
        <v>0</v>
      </c>
      <c r="H125" s="42">
        <f t="shared" si="7"/>
        <v>0</v>
      </c>
      <c r="I125" s="10">
        <f t="shared" si="7"/>
        <v>0</v>
      </c>
      <c r="J125" s="10">
        <f t="shared" si="5"/>
        <v>0</v>
      </c>
      <c r="K125" s="120">
        <f t="shared" si="6"/>
        <v>954538.73239436606</v>
      </c>
    </row>
    <row r="126" spans="1:11" x14ac:dyDescent="0.25">
      <c r="A126" s="50">
        <f>'A) Base RI'!A125</f>
        <v>5601</v>
      </c>
      <c r="B126" s="33" t="str">
        <f>'A) Base RI'!B125</f>
        <v>Chexbres</v>
      </c>
      <c r="C126" s="472">
        <f>'A) Base RI'!AN125</f>
        <v>2238</v>
      </c>
      <c r="D126" s="10">
        <f t="shared" si="8"/>
        <v>1000</v>
      </c>
      <c r="E126" s="472">
        <f t="shared" si="7"/>
        <v>1238</v>
      </c>
      <c r="F126" s="10">
        <f t="shared" si="7"/>
        <v>0</v>
      </c>
      <c r="G126" s="472">
        <f t="shared" si="7"/>
        <v>0</v>
      </c>
      <c r="H126" s="42">
        <f t="shared" si="7"/>
        <v>0</v>
      </c>
      <c r="I126" s="10">
        <f t="shared" si="7"/>
        <v>0</v>
      </c>
      <c r="J126" s="10">
        <f t="shared" si="5"/>
        <v>0</v>
      </c>
      <c r="K126" s="120">
        <f t="shared" si="6"/>
        <v>532763.48088531184</v>
      </c>
    </row>
    <row r="127" spans="1:11" x14ac:dyDescent="0.25">
      <c r="A127" s="50">
        <f>'A) Base RI'!A126</f>
        <v>5604</v>
      </c>
      <c r="B127" s="33" t="str">
        <f>'A) Base RI'!B126</f>
        <v>Forel (Lavaux)</v>
      </c>
      <c r="C127" s="472">
        <f>'A) Base RI'!AN126</f>
        <v>2082</v>
      </c>
      <c r="D127" s="10">
        <f t="shared" si="8"/>
        <v>1000</v>
      </c>
      <c r="E127" s="472">
        <f t="shared" si="7"/>
        <v>1082</v>
      </c>
      <c r="F127" s="10">
        <f t="shared" si="7"/>
        <v>0</v>
      </c>
      <c r="G127" s="472">
        <f t="shared" si="7"/>
        <v>0</v>
      </c>
      <c r="H127" s="42">
        <f t="shared" si="7"/>
        <v>0</v>
      </c>
      <c r="I127" s="10">
        <f t="shared" si="7"/>
        <v>0</v>
      </c>
      <c r="J127" s="10">
        <f t="shared" si="5"/>
        <v>0</v>
      </c>
      <c r="K127" s="120">
        <f t="shared" si="6"/>
        <v>478218.41046277661</v>
      </c>
    </row>
    <row r="128" spans="1:11" x14ac:dyDescent="0.25">
      <c r="A128" s="50">
        <f>'A) Base RI'!A127</f>
        <v>5606</v>
      </c>
      <c r="B128" s="33" t="str">
        <f>'A) Base RI'!B127</f>
        <v>Lutry</v>
      </c>
      <c r="C128" s="472">
        <f>'A) Base RI'!AN127</f>
        <v>10285</v>
      </c>
      <c r="D128" s="10">
        <f t="shared" si="8"/>
        <v>1000</v>
      </c>
      <c r="E128" s="472">
        <f t="shared" si="7"/>
        <v>2000</v>
      </c>
      <c r="F128" s="10">
        <f t="shared" si="7"/>
        <v>2000</v>
      </c>
      <c r="G128" s="472">
        <f t="shared" si="7"/>
        <v>4000</v>
      </c>
      <c r="H128" s="42">
        <f t="shared" si="7"/>
        <v>1285</v>
      </c>
      <c r="I128" s="10">
        <f t="shared" si="7"/>
        <v>0</v>
      </c>
      <c r="J128" s="10">
        <f t="shared" si="5"/>
        <v>0</v>
      </c>
      <c r="K128" s="120">
        <f t="shared" si="6"/>
        <v>5286925.8048289726</v>
      </c>
    </row>
    <row r="129" spans="1:11" x14ac:dyDescent="0.25">
      <c r="A129" s="50">
        <f>'A) Base RI'!A128</f>
        <v>5607</v>
      </c>
      <c r="B129" s="33" t="str">
        <f>'A) Base RI'!B128</f>
        <v>Puidoux</v>
      </c>
      <c r="C129" s="472">
        <f>'A) Base RI'!AN128</f>
        <v>2880</v>
      </c>
      <c r="D129" s="10">
        <f t="shared" si="8"/>
        <v>1000</v>
      </c>
      <c r="E129" s="472">
        <f t="shared" si="7"/>
        <v>1880</v>
      </c>
      <c r="F129" s="10">
        <f t="shared" si="7"/>
        <v>0</v>
      </c>
      <c r="G129" s="472">
        <f t="shared" si="7"/>
        <v>0</v>
      </c>
      <c r="H129" s="42">
        <f t="shared" si="7"/>
        <v>0</v>
      </c>
      <c r="I129" s="10">
        <f t="shared" si="7"/>
        <v>0</v>
      </c>
      <c r="J129" s="10">
        <f t="shared" si="5"/>
        <v>0</v>
      </c>
      <c r="K129" s="120">
        <f t="shared" si="6"/>
        <v>757237.42454728368</v>
      </c>
    </row>
    <row r="130" spans="1:11" x14ac:dyDescent="0.25">
      <c r="A130" s="50">
        <f>'A) Base RI'!A129</f>
        <v>5609</v>
      </c>
      <c r="B130" s="33" t="str">
        <f>'A) Base RI'!B129</f>
        <v>Rivaz</v>
      </c>
      <c r="C130" s="472">
        <f>'A) Base RI'!AN129</f>
        <v>358</v>
      </c>
      <c r="D130" s="10">
        <f t="shared" si="8"/>
        <v>358</v>
      </c>
      <c r="E130" s="472">
        <f t="shared" si="7"/>
        <v>0</v>
      </c>
      <c r="F130" s="10">
        <f t="shared" si="7"/>
        <v>0</v>
      </c>
      <c r="G130" s="472">
        <f t="shared" si="7"/>
        <v>0</v>
      </c>
      <c r="H130" s="42">
        <f t="shared" si="7"/>
        <v>0</v>
      </c>
      <c r="I130" s="10">
        <f t="shared" si="7"/>
        <v>0</v>
      </c>
      <c r="J130" s="10">
        <f t="shared" si="5"/>
        <v>0</v>
      </c>
      <c r="K130" s="120">
        <f t="shared" si="6"/>
        <v>35763.983903420522</v>
      </c>
    </row>
    <row r="131" spans="1:11" x14ac:dyDescent="0.25">
      <c r="A131" s="50">
        <f>'A) Base RI'!A130</f>
        <v>5610</v>
      </c>
      <c r="B131" s="33" t="str">
        <f>'A) Base RI'!B130</f>
        <v>St-Saphorin (Lavaux)</v>
      </c>
      <c r="C131" s="472">
        <f>'A) Base RI'!AN130</f>
        <v>391</v>
      </c>
      <c r="D131" s="10">
        <f t="shared" si="8"/>
        <v>391</v>
      </c>
      <c r="E131" s="472">
        <f t="shared" si="7"/>
        <v>0</v>
      </c>
      <c r="F131" s="10">
        <f t="shared" si="7"/>
        <v>0</v>
      </c>
      <c r="G131" s="472">
        <f t="shared" si="7"/>
        <v>0</v>
      </c>
      <c r="H131" s="42">
        <f t="shared" si="7"/>
        <v>0</v>
      </c>
      <c r="I131" s="10">
        <f t="shared" si="7"/>
        <v>0</v>
      </c>
      <c r="J131" s="10">
        <f t="shared" si="5"/>
        <v>0</v>
      </c>
      <c r="K131" s="120">
        <f t="shared" si="6"/>
        <v>39060.663983903418</v>
      </c>
    </row>
    <row r="132" spans="1:11" x14ac:dyDescent="0.25">
      <c r="A132" s="50">
        <f>'A) Base RI'!A131</f>
        <v>5611</v>
      </c>
      <c r="B132" s="33" t="str">
        <f>'A) Base RI'!B131</f>
        <v>Savigny</v>
      </c>
      <c r="C132" s="472">
        <f>'A) Base RI'!AN131</f>
        <v>3353</v>
      </c>
      <c r="D132" s="10">
        <f t="shared" si="8"/>
        <v>1000</v>
      </c>
      <c r="E132" s="472">
        <f t="shared" si="7"/>
        <v>2000</v>
      </c>
      <c r="F132" s="10">
        <f t="shared" si="7"/>
        <v>353</v>
      </c>
      <c r="G132" s="472">
        <f t="shared" si="7"/>
        <v>0</v>
      </c>
      <c r="H132" s="42">
        <f t="shared" si="7"/>
        <v>0</v>
      </c>
      <c r="I132" s="10">
        <f t="shared" si="7"/>
        <v>0</v>
      </c>
      <c r="J132" s="10">
        <f t="shared" si="5"/>
        <v>0</v>
      </c>
      <c r="K132" s="120">
        <f t="shared" si="6"/>
        <v>975517.60563380271</v>
      </c>
    </row>
    <row r="133" spans="1:11" x14ac:dyDescent="0.25">
      <c r="A133" s="50">
        <f>'A) Base RI'!A132</f>
        <v>5613</v>
      </c>
      <c r="B133" s="33" t="str">
        <f>'A) Base RI'!B132</f>
        <v>Bourg-en-Lavaux</v>
      </c>
      <c r="C133" s="472">
        <f>'A) Base RI'!AN132</f>
        <v>5367</v>
      </c>
      <c r="D133" s="10">
        <f t="shared" si="8"/>
        <v>1000</v>
      </c>
      <c r="E133" s="472">
        <f t="shared" si="7"/>
        <v>2000</v>
      </c>
      <c r="F133" s="10">
        <f t="shared" si="7"/>
        <v>2000</v>
      </c>
      <c r="G133" s="472">
        <f t="shared" si="7"/>
        <v>367</v>
      </c>
      <c r="H133" s="42">
        <f t="shared" si="7"/>
        <v>0</v>
      </c>
      <c r="I133" s="10">
        <f t="shared" si="7"/>
        <v>0</v>
      </c>
      <c r="J133" s="10">
        <f t="shared" si="5"/>
        <v>0</v>
      </c>
      <c r="K133" s="120">
        <f t="shared" si="6"/>
        <v>2018167.6056338025</v>
      </c>
    </row>
    <row r="134" spans="1:11" x14ac:dyDescent="0.25">
      <c r="A134" s="50">
        <f>'A) Base RI'!A133</f>
        <v>5621</v>
      </c>
      <c r="B134" s="33" t="str">
        <f>'A) Base RI'!B133</f>
        <v>Aclens</v>
      </c>
      <c r="C134" s="472">
        <f>'A) Base RI'!AN133</f>
        <v>535</v>
      </c>
      <c r="D134" s="10">
        <f t="shared" si="8"/>
        <v>535</v>
      </c>
      <c r="E134" s="472">
        <f t="shared" si="7"/>
        <v>0</v>
      </c>
      <c r="F134" s="10">
        <f t="shared" si="7"/>
        <v>0</v>
      </c>
      <c r="G134" s="472">
        <f t="shared" si="7"/>
        <v>0</v>
      </c>
      <c r="H134" s="42">
        <f t="shared" si="7"/>
        <v>0</v>
      </c>
      <c r="I134" s="10">
        <f t="shared" si="7"/>
        <v>0</v>
      </c>
      <c r="J134" s="10">
        <f t="shared" si="5"/>
        <v>0</v>
      </c>
      <c r="K134" s="120">
        <f t="shared" si="6"/>
        <v>53446.177062374241</v>
      </c>
    </row>
    <row r="135" spans="1:11" x14ac:dyDescent="0.25">
      <c r="A135" s="50">
        <f>'A) Base RI'!A134</f>
        <v>5622</v>
      </c>
      <c r="B135" s="33" t="str">
        <f>'A) Base RI'!B134</f>
        <v>Bremblens</v>
      </c>
      <c r="C135" s="472">
        <f>'A) Base RI'!AN134</f>
        <v>548</v>
      </c>
      <c r="D135" s="10">
        <f t="shared" si="8"/>
        <v>548</v>
      </c>
      <c r="E135" s="472">
        <f t="shared" si="7"/>
        <v>0</v>
      </c>
      <c r="F135" s="10">
        <f t="shared" si="7"/>
        <v>0</v>
      </c>
      <c r="G135" s="472">
        <f t="shared" si="7"/>
        <v>0</v>
      </c>
      <c r="H135" s="42">
        <f t="shared" si="7"/>
        <v>0</v>
      </c>
      <c r="I135" s="10">
        <f t="shared" si="7"/>
        <v>0</v>
      </c>
      <c r="J135" s="10">
        <f t="shared" si="5"/>
        <v>0</v>
      </c>
      <c r="K135" s="120">
        <f t="shared" si="6"/>
        <v>54744.86921529175</v>
      </c>
    </row>
    <row r="136" spans="1:11" x14ac:dyDescent="0.25">
      <c r="A136" s="50">
        <f>'A) Base RI'!A135</f>
        <v>5623</v>
      </c>
      <c r="B136" s="33" t="str">
        <f>'A) Base RI'!B135</f>
        <v>Buchillon</v>
      </c>
      <c r="C136" s="472">
        <f>'A) Base RI'!AN135</f>
        <v>650</v>
      </c>
      <c r="D136" s="10">
        <f t="shared" si="8"/>
        <v>650</v>
      </c>
      <c r="E136" s="472">
        <f t="shared" si="7"/>
        <v>0</v>
      </c>
      <c r="F136" s="10">
        <f t="shared" si="7"/>
        <v>0</v>
      </c>
      <c r="G136" s="472">
        <f t="shared" si="7"/>
        <v>0</v>
      </c>
      <c r="H136" s="42">
        <f t="shared" si="7"/>
        <v>0</v>
      </c>
      <c r="I136" s="10">
        <f t="shared" si="7"/>
        <v>0</v>
      </c>
      <c r="J136" s="10">
        <f t="shared" si="5"/>
        <v>0</v>
      </c>
      <c r="K136" s="120">
        <f t="shared" si="6"/>
        <v>64934.60764587525</v>
      </c>
    </row>
    <row r="137" spans="1:11" x14ac:dyDescent="0.25">
      <c r="A137" s="50">
        <f>'A) Base RI'!A136</f>
        <v>5624</v>
      </c>
      <c r="B137" s="33" t="str">
        <f>'A) Base RI'!B136</f>
        <v>Bussigny</v>
      </c>
      <c r="C137" s="472">
        <f>'A) Base RI'!AN136</f>
        <v>8759</v>
      </c>
      <c r="D137" s="10">
        <f t="shared" si="8"/>
        <v>1000</v>
      </c>
      <c r="E137" s="472">
        <f t="shared" si="7"/>
        <v>2000</v>
      </c>
      <c r="F137" s="10">
        <f t="shared" si="7"/>
        <v>2000</v>
      </c>
      <c r="G137" s="472">
        <f t="shared" si="7"/>
        <v>3759</v>
      </c>
      <c r="H137" s="42">
        <f t="shared" si="7"/>
        <v>0</v>
      </c>
      <c r="I137" s="10">
        <f t="shared" si="7"/>
        <v>0</v>
      </c>
      <c r="J137" s="10">
        <f t="shared" ref="J137:J200" si="9">IF(C137&gt;$J$4,C137-$J$4,0)</f>
        <v>0</v>
      </c>
      <c r="K137" s="120">
        <f t="shared" ref="K137:K200" si="10">(D137*D$7)+(E137*E$7)+(F137*F$7)+(G137*G$7)+(H137*H$7)+(I137*I$7)+(J137*J$7)</f>
        <v>4051320.1207243456</v>
      </c>
    </row>
    <row r="138" spans="1:11" x14ac:dyDescent="0.25">
      <c r="A138" s="50">
        <f>'A) Base RI'!A137</f>
        <v>5625</v>
      </c>
      <c r="B138" s="33" t="str">
        <f>'A) Base RI'!B137</f>
        <v>Bussy-Chardonney</v>
      </c>
      <c r="C138" s="472">
        <f>'A) Base RI'!AN137</f>
        <v>376</v>
      </c>
      <c r="D138" s="10">
        <f t="shared" si="8"/>
        <v>376</v>
      </c>
      <c r="E138" s="472">
        <f t="shared" si="7"/>
        <v>0</v>
      </c>
      <c r="F138" s="10">
        <f t="shared" si="7"/>
        <v>0</v>
      </c>
      <c r="G138" s="472">
        <f t="shared" si="7"/>
        <v>0</v>
      </c>
      <c r="H138" s="42">
        <f t="shared" si="7"/>
        <v>0</v>
      </c>
      <c r="I138" s="10">
        <f t="shared" si="7"/>
        <v>0</v>
      </c>
      <c r="J138" s="10">
        <f t="shared" si="9"/>
        <v>0</v>
      </c>
      <c r="K138" s="120">
        <f t="shared" si="10"/>
        <v>37562.173038229375</v>
      </c>
    </row>
    <row r="139" spans="1:11" x14ac:dyDescent="0.25">
      <c r="A139" s="50">
        <f>'A) Base RI'!A138</f>
        <v>5627</v>
      </c>
      <c r="B139" s="33" t="str">
        <f>'A) Base RI'!B138</f>
        <v>Chavannes-près-Renens</v>
      </c>
      <c r="C139" s="472">
        <f>'A) Base RI'!AN138</f>
        <v>7741</v>
      </c>
      <c r="D139" s="10">
        <f t="shared" si="8"/>
        <v>1000</v>
      </c>
      <c r="E139" s="472">
        <f t="shared" si="7"/>
        <v>2000</v>
      </c>
      <c r="F139" s="10">
        <f t="shared" si="7"/>
        <v>2000</v>
      </c>
      <c r="G139" s="472">
        <f t="shared" si="7"/>
        <v>2741</v>
      </c>
      <c r="H139" s="42">
        <f t="shared" si="7"/>
        <v>0</v>
      </c>
      <c r="I139" s="10">
        <f t="shared" si="7"/>
        <v>0</v>
      </c>
      <c r="J139" s="10">
        <f t="shared" si="9"/>
        <v>0</v>
      </c>
      <c r="K139" s="120">
        <f t="shared" si="10"/>
        <v>3441134.6076458748</v>
      </c>
    </row>
    <row r="140" spans="1:11" x14ac:dyDescent="0.25">
      <c r="A140" s="50">
        <f>'A) Base RI'!A139</f>
        <v>5628</v>
      </c>
      <c r="B140" s="33" t="str">
        <f>'A) Base RI'!B139</f>
        <v>Chigny</v>
      </c>
      <c r="C140" s="472">
        <f>'A) Base RI'!AN139</f>
        <v>358</v>
      </c>
      <c r="D140" s="10">
        <f t="shared" si="8"/>
        <v>358</v>
      </c>
      <c r="E140" s="472">
        <f t="shared" si="7"/>
        <v>0</v>
      </c>
      <c r="F140" s="10">
        <f t="shared" si="7"/>
        <v>0</v>
      </c>
      <c r="G140" s="472">
        <f t="shared" si="7"/>
        <v>0</v>
      </c>
      <c r="H140" s="42">
        <f t="shared" si="7"/>
        <v>0</v>
      </c>
      <c r="I140" s="10">
        <f t="shared" si="7"/>
        <v>0</v>
      </c>
      <c r="J140" s="10">
        <f t="shared" si="9"/>
        <v>0</v>
      </c>
      <c r="K140" s="120">
        <f t="shared" si="10"/>
        <v>35763.983903420522</v>
      </c>
    </row>
    <row r="141" spans="1:11" x14ac:dyDescent="0.25">
      <c r="A141" s="50">
        <f>'A) Base RI'!A140</f>
        <v>5629</v>
      </c>
      <c r="B141" s="33" t="str">
        <f>'A) Base RI'!B140</f>
        <v>Clarmont</v>
      </c>
      <c r="C141" s="472">
        <f>'A) Base RI'!AN140</f>
        <v>190</v>
      </c>
      <c r="D141" s="10">
        <f t="shared" si="8"/>
        <v>190</v>
      </c>
      <c r="E141" s="472">
        <f t="shared" si="7"/>
        <v>0</v>
      </c>
      <c r="F141" s="10">
        <f t="shared" si="7"/>
        <v>0</v>
      </c>
      <c r="G141" s="472">
        <f t="shared" si="7"/>
        <v>0</v>
      </c>
      <c r="H141" s="42">
        <f t="shared" si="7"/>
        <v>0</v>
      </c>
      <c r="I141" s="10">
        <f t="shared" si="7"/>
        <v>0</v>
      </c>
      <c r="J141" s="10">
        <f t="shared" si="9"/>
        <v>0</v>
      </c>
      <c r="K141" s="120">
        <f t="shared" si="10"/>
        <v>18980.885311871225</v>
      </c>
    </row>
    <row r="142" spans="1:11" x14ac:dyDescent="0.25">
      <c r="A142" s="50">
        <f>'A) Base RI'!A141</f>
        <v>5631</v>
      </c>
      <c r="B142" s="33" t="str">
        <f>'A) Base RI'!B141</f>
        <v>Denens</v>
      </c>
      <c r="C142" s="472">
        <f>'A) Base RI'!AN141</f>
        <v>747</v>
      </c>
      <c r="D142" s="10">
        <f t="shared" si="8"/>
        <v>747</v>
      </c>
      <c r="E142" s="472">
        <f t="shared" si="7"/>
        <v>0</v>
      </c>
      <c r="F142" s="10">
        <f t="shared" si="7"/>
        <v>0</v>
      </c>
      <c r="G142" s="472">
        <f t="shared" si="7"/>
        <v>0</v>
      </c>
      <c r="H142" s="42">
        <f t="shared" si="7"/>
        <v>0</v>
      </c>
      <c r="I142" s="10">
        <f t="shared" si="7"/>
        <v>0</v>
      </c>
      <c r="J142" s="10">
        <f t="shared" si="9"/>
        <v>0</v>
      </c>
      <c r="K142" s="120">
        <f t="shared" si="10"/>
        <v>74624.849094567398</v>
      </c>
    </row>
    <row r="143" spans="1:11" x14ac:dyDescent="0.25">
      <c r="A143" s="50">
        <f>'A) Base RI'!A142</f>
        <v>5632</v>
      </c>
      <c r="B143" s="33" t="str">
        <f>'A) Base RI'!B142</f>
        <v>Denges</v>
      </c>
      <c r="C143" s="472">
        <f>'A) Base RI'!AN142</f>
        <v>1610</v>
      </c>
      <c r="D143" s="10">
        <f t="shared" si="8"/>
        <v>1000</v>
      </c>
      <c r="E143" s="472">
        <f t="shared" si="7"/>
        <v>610</v>
      </c>
      <c r="F143" s="10">
        <f t="shared" si="7"/>
        <v>0</v>
      </c>
      <c r="G143" s="472">
        <f t="shared" si="7"/>
        <v>0</v>
      </c>
      <c r="H143" s="42">
        <f t="shared" si="7"/>
        <v>0</v>
      </c>
      <c r="I143" s="10">
        <f t="shared" si="7"/>
        <v>0</v>
      </c>
      <c r="J143" s="10">
        <f t="shared" si="9"/>
        <v>0</v>
      </c>
      <c r="K143" s="120">
        <f t="shared" si="10"/>
        <v>313184.60764587519</v>
      </c>
    </row>
    <row r="144" spans="1:11" x14ac:dyDescent="0.25">
      <c r="A144" s="50">
        <f>'A) Base RI'!A143</f>
        <v>5633</v>
      </c>
      <c r="B144" s="33" t="str">
        <f>'A) Base RI'!B143</f>
        <v>Echandens</v>
      </c>
      <c r="C144" s="472">
        <f>'A) Base RI'!AN143</f>
        <v>2789</v>
      </c>
      <c r="D144" s="10">
        <f t="shared" si="8"/>
        <v>1000</v>
      </c>
      <c r="E144" s="472">
        <f t="shared" si="7"/>
        <v>1789</v>
      </c>
      <c r="F144" s="10">
        <f t="shared" si="7"/>
        <v>0</v>
      </c>
      <c r="G144" s="472">
        <f t="shared" si="7"/>
        <v>0</v>
      </c>
      <c r="H144" s="42">
        <f t="shared" si="7"/>
        <v>0</v>
      </c>
      <c r="I144" s="10">
        <f t="shared" si="7"/>
        <v>0</v>
      </c>
      <c r="J144" s="10">
        <f t="shared" si="9"/>
        <v>0</v>
      </c>
      <c r="K144" s="120">
        <f t="shared" si="10"/>
        <v>725419.46680080483</v>
      </c>
    </row>
    <row r="145" spans="1:11" x14ac:dyDescent="0.25">
      <c r="A145" s="50">
        <f>'A) Base RI'!A144</f>
        <v>5634</v>
      </c>
      <c r="B145" s="33" t="str">
        <f>'A) Base RI'!B144</f>
        <v>Echichens</v>
      </c>
      <c r="C145" s="472">
        <f>'A) Base RI'!AN144</f>
        <v>3050</v>
      </c>
      <c r="D145" s="10">
        <f t="shared" si="8"/>
        <v>1000</v>
      </c>
      <c r="E145" s="472">
        <f t="shared" si="7"/>
        <v>2000</v>
      </c>
      <c r="F145" s="10">
        <f t="shared" si="7"/>
        <v>50</v>
      </c>
      <c r="G145" s="472">
        <f t="shared" si="7"/>
        <v>0</v>
      </c>
      <c r="H145" s="42">
        <f t="shared" si="7"/>
        <v>0</v>
      </c>
      <c r="I145" s="10">
        <f t="shared" si="7"/>
        <v>0</v>
      </c>
      <c r="J145" s="10">
        <f t="shared" si="9"/>
        <v>0</v>
      </c>
      <c r="K145" s="120">
        <f t="shared" si="10"/>
        <v>824170.02012072422</v>
      </c>
    </row>
    <row r="146" spans="1:11" x14ac:dyDescent="0.25">
      <c r="A146" s="50">
        <f>'A) Base RI'!A145</f>
        <v>5635</v>
      </c>
      <c r="B146" s="33" t="str">
        <f>'A) Base RI'!B145</f>
        <v>Ecublens</v>
      </c>
      <c r="C146" s="472">
        <f>'A) Base RI'!AN145</f>
        <v>12939</v>
      </c>
      <c r="D146" s="10">
        <f t="shared" si="8"/>
        <v>1000</v>
      </c>
      <c r="E146" s="472">
        <f t="shared" si="7"/>
        <v>2000</v>
      </c>
      <c r="F146" s="10">
        <f t="shared" si="7"/>
        <v>2000</v>
      </c>
      <c r="G146" s="472">
        <f t="shared" si="7"/>
        <v>4000</v>
      </c>
      <c r="H146" s="42">
        <f t="shared" si="7"/>
        <v>3000</v>
      </c>
      <c r="I146" s="10">
        <f t="shared" si="7"/>
        <v>939</v>
      </c>
      <c r="J146" s="10">
        <f t="shared" si="9"/>
        <v>0</v>
      </c>
      <c r="K146" s="120">
        <f t="shared" si="10"/>
        <v>7681264.5875251498</v>
      </c>
    </row>
    <row r="147" spans="1:11" x14ac:dyDescent="0.25">
      <c r="A147" s="50">
        <f>'A) Base RI'!A146</f>
        <v>5636</v>
      </c>
      <c r="B147" s="33" t="str">
        <f>'A) Base RI'!B146</f>
        <v>Etoy</v>
      </c>
      <c r="C147" s="472">
        <f>'A) Base RI'!AN146</f>
        <v>2905</v>
      </c>
      <c r="D147" s="10">
        <f t="shared" si="8"/>
        <v>1000</v>
      </c>
      <c r="E147" s="472">
        <f t="shared" si="7"/>
        <v>1905</v>
      </c>
      <c r="F147" s="10">
        <f t="shared" si="7"/>
        <v>0</v>
      </c>
      <c r="G147" s="472">
        <f t="shared" si="7"/>
        <v>0</v>
      </c>
      <c r="H147" s="42">
        <f t="shared" si="7"/>
        <v>0</v>
      </c>
      <c r="I147" s="10">
        <f t="shared" si="7"/>
        <v>0</v>
      </c>
      <c r="J147" s="10">
        <f t="shared" si="9"/>
        <v>0</v>
      </c>
      <c r="K147" s="120">
        <f t="shared" si="10"/>
        <v>765978.6217303822</v>
      </c>
    </row>
    <row r="148" spans="1:11" x14ac:dyDescent="0.25">
      <c r="A148" s="50">
        <f>'A) Base RI'!A147</f>
        <v>5637</v>
      </c>
      <c r="B148" s="33" t="str">
        <f>'A) Base RI'!B147</f>
        <v>Lavigny</v>
      </c>
      <c r="C148" s="472">
        <f>'A) Base RI'!AN147</f>
        <v>999</v>
      </c>
      <c r="D148" s="10">
        <f t="shared" si="8"/>
        <v>999</v>
      </c>
      <c r="E148" s="472">
        <f t="shared" si="7"/>
        <v>0</v>
      </c>
      <c r="F148" s="10">
        <f t="shared" si="7"/>
        <v>0</v>
      </c>
      <c r="G148" s="472">
        <f t="shared" si="7"/>
        <v>0</v>
      </c>
      <c r="H148" s="42">
        <f t="shared" si="7"/>
        <v>0</v>
      </c>
      <c r="I148" s="10">
        <f t="shared" si="7"/>
        <v>0</v>
      </c>
      <c r="J148" s="10">
        <f t="shared" si="9"/>
        <v>0</v>
      </c>
      <c r="K148" s="120">
        <f t="shared" si="10"/>
        <v>99799.496981891338</v>
      </c>
    </row>
    <row r="149" spans="1:11" x14ac:dyDescent="0.25">
      <c r="A149" s="50">
        <f>'A) Base RI'!A148</f>
        <v>5638</v>
      </c>
      <c r="B149" s="33" t="str">
        <f>'A) Base RI'!B148</f>
        <v>Lonay</v>
      </c>
      <c r="C149" s="472">
        <f>'A) Base RI'!AN148</f>
        <v>2593</v>
      </c>
      <c r="D149" s="10">
        <f t="shared" si="8"/>
        <v>1000</v>
      </c>
      <c r="E149" s="472">
        <f t="shared" si="7"/>
        <v>1593</v>
      </c>
      <c r="F149" s="10">
        <f t="shared" si="7"/>
        <v>0</v>
      </c>
      <c r="G149" s="472">
        <f t="shared" si="7"/>
        <v>0</v>
      </c>
      <c r="H149" s="42">
        <f t="shared" si="7"/>
        <v>0</v>
      </c>
      <c r="I149" s="10">
        <f t="shared" si="7"/>
        <v>0</v>
      </c>
      <c r="J149" s="10">
        <f t="shared" si="9"/>
        <v>0</v>
      </c>
      <c r="K149" s="120">
        <f t="shared" si="10"/>
        <v>656888.48088531184</v>
      </c>
    </row>
    <row r="150" spans="1:11" x14ac:dyDescent="0.25">
      <c r="A150" s="50">
        <f>'A) Base RI'!A149</f>
        <v>5639</v>
      </c>
      <c r="B150" s="33" t="str">
        <f>'A) Base RI'!B149</f>
        <v>Lully</v>
      </c>
      <c r="C150" s="472">
        <f>'A) Base RI'!AN149</f>
        <v>790</v>
      </c>
      <c r="D150" s="10">
        <f t="shared" si="8"/>
        <v>790</v>
      </c>
      <c r="E150" s="472">
        <f t="shared" si="7"/>
        <v>0</v>
      </c>
      <c r="F150" s="10">
        <f t="shared" si="7"/>
        <v>0</v>
      </c>
      <c r="G150" s="472">
        <f t="shared" si="7"/>
        <v>0</v>
      </c>
      <c r="H150" s="42">
        <f t="shared" si="7"/>
        <v>0</v>
      </c>
      <c r="I150" s="10">
        <f t="shared" si="7"/>
        <v>0</v>
      </c>
      <c r="J150" s="10">
        <f t="shared" si="9"/>
        <v>0</v>
      </c>
      <c r="K150" s="120">
        <f t="shared" si="10"/>
        <v>78920.523138832999</v>
      </c>
    </row>
    <row r="151" spans="1:11" x14ac:dyDescent="0.25">
      <c r="A151" s="50">
        <f>'A) Base RI'!A150</f>
        <v>5640</v>
      </c>
      <c r="B151" s="33" t="str">
        <f>'A) Base RI'!B150</f>
        <v>Lussy-sur-Morges</v>
      </c>
      <c r="C151" s="472">
        <f>'A) Base RI'!AN150</f>
        <v>687</v>
      </c>
      <c r="D151" s="10">
        <f t="shared" si="8"/>
        <v>687</v>
      </c>
      <c r="E151" s="472">
        <f t="shared" si="7"/>
        <v>0</v>
      </c>
      <c r="F151" s="10">
        <f t="shared" si="7"/>
        <v>0</v>
      </c>
      <c r="G151" s="472">
        <f t="shared" si="7"/>
        <v>0</v>
      </c>
      <c r="H151" s="42">
        <f t="shared" si="7"/>
        <v>0</v>
      </c>
      <c r="I151" s="10">
        <f t="shared" si="7"/>
        <v>0</v>
      </c>
      <c r="J151" s="10">
        <f t="shared" si="9"/>
        <v>0</v>
      </c>
      <c r="K151" s="120">
        <f t="shared" si="10"/>
        <v>68630.885311871229</v>
      </c>
    </row>
    <row r="152" spans="1:11" x14ac:dyDescent="0.25">
      <c r="A152" s="50">
        <f>'A) Base RI'!A151</f>
        <v>5642</v>
      </c>
      <c r="B152" s="33" t="str">
        <f>'A) Base RI'!B151</f>
        <v>Morges</v>
      </c>
      <c r="C152" s="472">
        <f>'A) Base RI'!AN151</f>
        <v>15725</v>
      </c>
      <c r="D152" s="10">
        <f t="shared" si="8"/>
        <v>1000</v>
      </c>
      <c r="E152" s="472">
        <f t="shared" si="7"/>
        <v>2000</v>
      </c>
      <c r="F152" s="10">
        <f t="shared" si="7"/>
        <v>2000</v>
      </c>
      <c r="G152" s="472">
        <f t="shared" si="7"/>
        <v>4000</v>
      </c>
      <c r="H152" s="42">
        <f t="shared" si="7"/>
        <v>3000</v>
      </c>
      <c r="I152" s="10">
        <f t="shared" si="7"/>
        <v>3000</v>
      </c>
      <c r="J152" s="10">
        <f t="shared" si="9"/>
        <v>725</v>
      </c>
      <c r="K152" s="120">
        <f t="shared" si="10"/>
        <v>10500675.301810864</v>
      </c>
    </row>
    <row r="153" spans="1:11" x14ac:dyDescent="0.25">
      <c r="A153" s="50">
        <f>'A) Base RI'!A152</f>
        <v>5643</v>
      </c>
      <c r="B153" s="33" t="str">
        <f>'A) Base RI'!B152</f>
        <v>Préverenges</v>
      </c>
      <c r="C153" s="472">
        <f>'A) Base RI'!AN152</f>
        <v>5298</v>
      </c>
      <c r="D153" s="10">
        <f t="shared" si="8"/>
        <v>1000</v>
      </c>
      <c r="E153" s="472">
        <f t="shared" si="7"/>
        <v>2000</v>
      </c>
      <c r="F153" s="10">
        <f t="shared" si="7"/>
        <v>2000</v>
      </c>
      <c r="G153" s="472">
        <f t="shared" si="7"/>
        <v>298</v>
      </c>
      <c r="H153" s="42">
        <f t="shared" si="7"/>
        <v>0</v>
      </c>
      <c r="I153" s="10">
        <f t="shared" si="7"/>
        <v>0</v>
      </c>
      <c r="J153" s="10">
        <f t="shared" si="9"/>
        <v>0</v>
      </c>
      <c r="K153" s="120">
        <f t="shared" si="10"/>
        <v>1976809.2555331988</v>
      </c>
    </row>
    <row r="154" spans="1:11" x14ac:dyDescent="0.25">
      <c r="A154" s="50">
        <f>'A) Base RI'!A153</f>
        <v>5644</v>
      </c>
      <c r="B154" s="33" t="str">
        <f>'A) Base RI'!B153</f>
        <v>Reverolle</v>
      </c>
      <c r="C154" s="472">
        <f>'A) Base RI'!AN153</f>
        <v>399</v>
      </c>
      <c r="D154" s="10">
        <f t="shared" si="8"/>
        <v>399</v>
      </c>
      <c r="E154" s="472">
        <f t="shared" si="7"/>
        <v>0</v>
      </c>
      <c r="F154" s="10">
        <f t="shared" si="7"/>
        <v>0</v>
      </c>
      <c r="G154" s="472">
        <f t="shared" si="7"/>
        <v>0</v>
      </c>
      <c r="H154" s="42">
        <f t="shared" si="7"/>
        <v>0</v>
      </c>
      <c r="I154" s="10">
        <f t="shared" si="7"/>
        <v>0</v>
      </c>
      <c r="J154" s="10">
        <f t="shared" si="9"/>
        <v>0</v>
      </c>
      <c r="K154" s="120">
        <f t="shared" si="10"/>
        <v>39859.859154929574</v>
      </c>
    </row>
    <row r="155" spans="1:11" x14ac:dyDescent="0.25">
      <c r="A155" s="50">
        <f>'A) Base RI'!A154</f>
        <v>5645</v>
      </c>
      <c r="B155" s="33" t="str">
        <f>'A) Base RI'!B154</f>
        <v>Romanel-sur-Morges</v>
      </c>
      <c r="C155" s="472">
        <f>'A) Base RI'!AN154</f>
        <v>458</v>
      </c>
      <c r="D155" s="10">
        <f t="shared" si="8"/>
        <v>458</v>
      </c>
      <c r="E155" s="472">
        <f t="shared" si="7"/>
        <v>0</v>
      </c>
      <c r="F155" s="10">
        <f t="shared" si="7"/>
        <v>0</v>
      </c>
      <c r="G155" s="472">
        <f t="shared" si="7"/>
        <v>0</v>
      </c>
      <c r="H155" s="42">
        <f t="shared" si="7"/>
        <v>0</v>
      </c>
      <c r="I155" s="10">
        <f t="shared" si="7"/>
        <v>0</v>
      </c>
      <c r="J155" s="10">
        <f t="shared" si="9"/>
        <v>0</v>
      </c>
      <c r="K155" s="120">
        <f t="shared" si="10"/>
        <v>45753.923541247481</v>
      </c>
    </row>
    <row r="156" spans="1:11" x14ac:dyDescent="0.25">
      <c r="A156" s="50">
        <f>'A) Base RI'!A155</f>
        <v>5646</v>
      </c>
      <c r="B156" s="33" t="str">
        <f>'A) Base RI'!B155</f>
        <v>Saint-Prex</v>
      </c>
      <c r="C156" s="472">
        <f>'A) Base RI'!AN155</f>
        <v>5684</v>
      </c>
      <c r="D156" s="10">
        <f t="shared" si="8"/>
        <v>1000</v>
      </c>
      <c r="E156" s="472">
        <f t="shared" si="7"/>
        <v>2000</v>
      </c>
      <c r="F156" s="10">
        <f t="shared" si="7"/>
        <v>2000</v>
      </c>
      <c r="G156" s="472">
        <f t="shared" si="7"/>
        <v>684</v>
      </c>
      <c r="H156" s="42">
        <f t="shared" si="7"/>
        <v>0</v>
      </c>
      <c r="I156" s="10">
        <f t="shared" si="7"/>
        <v>0</v>
      </c>
      <c r="J156" s="10">
        <f t="shared" si="9"/>
        <v>0</v>
      </c>
      <c r="K156" s="120">
        <f t="shared" si="10"/>
        <v>2208176.2575452714</v>
      </c>
    </row>
    <row r="157" spans="1:11" x14ac:dyDescent="0.25">
      <c r="A157" s="50">
        <f>'A) Base RI'!A156</f>
        <v>5648</v>
      </c>
      <c r="B157" s="33" t="str">
        <f>'A) Base RI'!B156</f>
        <v>Saint-Sulpice</v>
      </c>
      <c r="C157" s="472">
        <f>'A) Base RI'!AN156</f>
        <v>4669</v>
      </c>
      <c r="D157" s="10">
        <f t="shared" si="8"/>
        <v>1000</v>
      </c>
      <c r="E157" s="472">
        <f t="shared" si="7"/>
        <v>2000</v>
      </c>
      <c r="F157" s="10">
        <f t="shared" si="7"/>
        <v>1669</v>
      </c>
      <c r="G157" s="472">
        <f t="shared" ref="E157:I208" si="11">IF($C157&gt;G$4,IF($C157&lt;G$5,$C157-G$4,G$5-G$4),0)</f>
        <v>0</v>
      </c>
      <c r="H157" s="42">
        <f t="shared" si="11"/>
        <v>0</v>
      </c>
      <c r="I157" s="10">
        <f t="shared" si="11"/>
        <v>0</v>
      </c>
      <c r="J157" s="10">
        <f t="shared" si="9"/>
        <v>0</v>
      </c>
      <c r="K157" s="120">
        <f t="shared" si="10"/>
        <v>1632855.6338028167</v>
      </c>
    </row>
    <row r="158" spans="1:11" x14ac:dyDescent="0.25">
      <c r="A158" s="50">
        <f>'A) Base RI'!A157</f>
        <v>5649</v>
      </c>
      <c r="B158" s="33" t="str">
        <f>'A) Base RI'!B157</f>
        <v>Tolochenaz</v>
      </c>
      <c r="C158" s="472">
        <f>'A) Base RI'!AN157</f>
        <v>1933</v>
      </c>
      <c r="D158" s="10">
        <f t="shared" si="8"/>
        <v>1000</v>
      </c>
      <c r="E158" s="472">
        <f t="shared" si="11"/>
        <v>933</v>
      </c>
      <c r="F158" s="10">
        <f t="shared" si="11"/>
        <v>0</v>
      </c>
      <c r="G158" s="472">
        <f t="shared" si="11"/>
        <v>0</v>
      </c>
      <c r="H158" s="42">
        <f t="shared" si="11"/>
        <v>0</v>
      </c>
      <c r="I158" s="10">
        <f t="shared" si="11"/>
        <v>0</v>
      </c>
      <c r="J158" s="10">
        <f t="shared" si="9"/>
        <v>0</v>
      </c>
      <c r="K158" s="120">
        <f t="shared" si="10"/>
        <v>426120.87525150902</v>
      </c>
    </row>
    <row r="159" spans="1:11" x14ac:dyDescent="0.25">
      <c r="A159" s="50">
        <f>'A) Base RI'!A158</f>
        <v>5650</v>
      </c>
      <c r="B159" s="33" t="str">
        <f>'A) Base RI'!B158</f>
        <v>Vaux-sur-Morges</v>
      </c>
      <c r="C159" s="472">
        <f>'A) Base RI'!AN158</f>
        <v>184</v>
      </c>
      <c r="D159" s="10">
        <f t="shared" si="8"/>
        <v>184</v>
      </c>
      <c r="E159" s="472">
        <f t="shared" si="11"/>
        <v>0</v>
      </c>
      <c r="F159" s="10">
        <f t="shared" si="11"/>
        <v>0</v>
      </c>
      <c r="G159" s="472">
        <f t="shared" si="11"/>
        <v>0</v>
      </c>
      <c r="H159" s="42">
        <f t="shared" si="11"/>
        <v>0</v>
      </c>
      <c r="I159" s="10">
        <f t="shared" si="11"/>
        <v>0</v>
      </c>
      <c r="J159" s="10">
        <f t="shared" si="9"/>
        <v>0</v>
      </c>
      <c r="K159" s="120">
        <f t="shared" si="10"/>
        <v>18381.488933601609</v>
      </c>
    </row>
    <row r="160" spans="1:11" x14ac:dyDescent="0.25">
      <c r="A160" s="50">
        <f>'A) Base RI'!A159</f>
        <v>5651</v>
      </c>
      <c r="B160" s="33" t="str">
        <f>'A) Base RI'!B159</f>
        <v>Villars-Sainte-Croix</v>
      </c>
      <c r="C160" s="472">
        <f>'A) Base RI'!AN159</f>
        <v>963</v>
      </c>
      <c r="D160" s="10">
        <f t="shared" si="8"/>
        <v>963</v>
      </c>
      <c r="E160" s="472">
        <f t="shared" si="11"/>
        <v>0</v>
      </c>
      <c r="F160" s="10">
        <f t="shared" si="11"/>
        <v>0</v>
      </c>
      <c r="G160" s="472">
        <f t="shared" si="11"/>
        <v>0</v>
      </c>
      <c r="H160" s="42">
        <f t="shared" si="11"/>
        <v>0</v>
      </c>
      <c r="I160" s="10">
        <f t="shared" si="11"/>
        <v>0</v>
      </c>
      <c r="J160" s="10">
        <f t="shared" si="9"/>
        <v>0</v>
      </c>
      <c r="K160" s="120">
        <f t="shared" si="10"/>
        <v>96203.118712273645</v>
      </c>
    </row>
    <row r="161" spans="1:11" x14ac:dyDescent="0.25">
      <c r="A161" s="50">
        <f>'A) Base RI'!A160</f>
        <v>5652</v>
      </c>
      <c r="B161" s="33" t="str">
        <f>'A) Base RI'!B160</f>
        <v>Villars-sous-Yens</v>
      </c>
      <c r="C161" s="472">
        <f>'A) Base RI'!AN160</f>
        <v>608</v>
      </c>
      <c r="D161" s="10">
        <f t="shared" si="8"/>
        <v>608</v>
      </c>
      <c r="E161" s="472">
        <f t="shared" si="11"/>
        <v>0</v>
      </c>
      <c r="F161" s="10">
        <f t="shared" si="11"/>
        <v>0</v>
      </c>
      <c r="G161" s="472">
        <f t="shared" si="11"/>
        <v>0</v>
      </c>
      <c r="H161" s="42">
        <f t="shared" si="11"/>
        <v>0</v>
      </c>
      <c r="I161" s="10">
        <f t="shared" si="11"/>
        <v>0</v>
      </c>
      <c r="J161" s="10">
        <f t="shared" si="9"/>
        <v>0</v>
      </c>
      <c r="K161" s="120">
        <f t="shared" si="10"/>
        <v>60738.832997987927</v>
      </c>
    </row>
    <row r="162" spans="1:11" x14ac:dyDescent="0.25">
      <c r="A162" s="50">
        <f>'A) Base RI'!A161</f>
        <v>5653</v>
      </c>
      <c r="B162" s="33" t="str">
        <f>'A) Base RI'!B161</f>
        <v>Vufflens-le-Château</v>
      </c>
      <c r="C162" s="472">
        <f>'A) Base RI'!AN161</f>
        <v>886</v>
      </c>
      <c r="D162" s="10">
        <f t="shared" si="8"/>
        <v>886</v>
      </c>
      <c r="E162" s="472">
        <f t="shared" si="11"/>
        <v>0</v>
      </c>
      <c r="F162" s="10">
        <f t="shared" si="11"/>
        <v>0</v>
      </c>
      <c r="G162" s="472">
        <f t="shared" si="11"/>
        <v>0</v>
      </c>
      <c r="H162" s="42">
        <f t="shared" si="11"/>
        <v>0</v>
      </c>
      <c r="I162" s="10">
        <f t="shared" si="11"/>
        <v>0</v>
      </c>
      <c r="J162" s="10">
        <f t="shared" si="9"/>
        <v>0</v>
      </c>
      <c r="K162" s="120">
        <f t="shared" si="10"/>
        <v>88510.865191146877</v>
      </c>
    </row>
    <row r="163" spans="1:11" x14ac:dyDescent="0.25">
      <c r="A163" s="50">
        <f>'A) Base RI'!A162</f>
        <v>5654</v>
      </c>
      <c r="B163" s="33" t="str">
        <f>'A) Base RI'!B162</f>
        <v>Vullierens</v>
      </c>
      <c r="C163" s="472">
        <f>'A) Base RI'!AN162</f>
        <v>507</v>
      </c>
      <c r="D163" s="10">
        <f t="shared" si="8"/>
        <v>507</v>
      </c>
      <c r="E163" s="472">
        <f t="shared" si="11"/>
        <v>0</v>
      </c>
      <c r="F163" s="10">
        <f t="shared" si="11"/>
        <v>0</v>
      </c>
      <c r="G163" s="472">
        <f t="shared" si="11"/>
        <v>0</v>
      </c>
      <c r="H163" s="42">
        <f t="shared" si="11"/>
        <v>0</v>
      </c>
      <c r="I163" s="10">
        <f t="shared" si="11"/>
        <v>0</v>
      </c>
      <c r="J163" s="10">
        <f t="shared" si="9"/>
        <v>0</v>
      </c>
      <c r="K163" s="120">
        <f t="shared" si="10"/>
        <v>50648.993963782697</v>
      </c>
    </row>
    <row r="164" spans="1:11" x14ac:dyDescent="0.25">
      <c r="A164" s="50">
        <f>'A) Base RI'!A163</f>
        <v>5655</v>
      </c>
      <c r="B164" s="33" t="str">
        <f>'A) Base RI'!B163</f>
        <v>Yens</v>
      </c>
      <c r="C164" s="472">
        <f>'A) Base RI'!AN163</f>
        <v>1429</v>
      </c>
      <c r="D164" s="10">
        <f t="shared" si="8"/>
        <v>1000</v>
      </c>
      <c r="E164" s="472">
        <f t="shared" si="11"/>
        <v>429</v>
      </c>
      <c r="F164" s="10">
        <f t="shared" si="11"/>
        <v>0</v>
      </c>
      <c r="G164" s="472">
        <f t="shared" si="11"/>
        <v>0</v>
      </c>
      <c r="H164" s="42">
        <f t="shared" si="11"/>
        <v>0</v>
      </c>
      <c r="I164" s="10">
        <f t="shared" si="11"/>
        <v>0</v>
      </c>
      <c r="J164" s="10">
        <f t="shared" si="9"/>
        <v>0</v>
      </c>
      <c r="K164" s="120">
        <f t="shared" si="10"/>
        <v>249898.34004024143</v>
      </c>
    </row>
    <row r="165" spans="1:11" x14ac:dyDescent="0.25">
      <c r="A165" s="50">
        <f>'A) Base RI'!A164</f>
        <v>5661</v>
      </c>
      <c r="B165" s="33" t="str">
        <f>'A) Base RI'!B164</f>
        <v>Boulens</v>
      </c>
      <c r="C165" s="472">
        <f>'A) Base RI'!AN164</f>
        <v>384</v>
      </c>
      <c r="D165" s="10">
        <f t="shared" si="8"/>
        <v>384</v>
      </c>
      <c r="E165" s="472">
        <f t="shared" si="11"/>
        <v>0</v>
      </c>
      <c r="F165" s="10">
        <f t="shared" si="11"/>
        <v>0</v>
      </c>
      <c r="G165" s="472">
        <f t="shared" si="11"/>
        <v>0</v>
      </c>
      <c r="H165" s="42">
        <f t="shared" si="11"/>
        <v>0</v>
      </c>
      <c r="I165" s="10">
        <f t="shared" si="11"/>
        <v>0</v>
      </c>
      <c r="J165" s="10">
        <f t="shared" si="9"/>
        <v>0</v>
      </c>
      <c r="K165" s="120">
        <f t="shared" si="10"/>
        <v>38361.368209255532</v>
      </c>
    </row>
    <row r="166" spans="1:11" x14ac:dyDescent="0.25">
      <c r="A166" s="50">
        <f>'A) Base RI'!A165</f>
        <v>5663</v>
      </c>
      <c r="B166" s="33" t="str">
        <f>'A) Base RI'!B165</f>
        <v>Bussy-sur-Moudon</v>
      </c>
      <c r="C166" s="472">
        <f>'A) Base RI'!AN165</f>
        <v>214</v>
      </c>
      <c r="D166" s="10">
        <f t="shared" si="8"/>
        <v>214</v>
      </c>
      <c r="E166" s="472">
        <f t="shared" si="11"/>
        <v>0</v>
      </c>
      <c r="F166" s="10">
        <f t="shared" si="11"/>
        <v>0</v>
      </c>
      <c r="G166" s="472">
        <f t="shared" si="11"/>
        <v>0</v>
      </c>
      <c r="H166" s="42">
        <f t="shared" si="11"/>
        <v>0</v>
      </c>
      <c r="I166" s="10">
        <f t="shared" si="11"/>
        <v>0</v>
      </c>
      <c r="J166" s="10">
        <f t="shared" si="9"/>
        <v>0</v>
      </c>
      <c r="K166" s="120">
        <f t="shared" si="10"/>
        <v>21378.470824949698</v>
      </c>
    </row>
    <row r="167" spans="1:11" x14ac:dyDescent="0.25">
      <c r="A167" s="50">
        <f>'A) Base RI'!A166</f>
        <v>5665</v>
      </c>
      <c r="B167" s="33" t="str">
        <f>'A) Base RI'!B166</f>
        <v>Chavannes-sur-Moudon</v>
      </c>
      <c r="C167" s="472">
        <f>'A) Base RI'!AN166</f>
        <v>216</v>
      </c>
      <c r="D167" s="10">
        <f t="shared" si="8"/>
        <v>216</v>
      </c>
      <c r="E167" s="472">
        <f t="shared" si="11"/>
        <v>0</v>
      </c>
      <c r="F167" s="10">
        <f t="shared" si="11"/>
        <v>0</v>
      </c>
      <c r="G167" s="472">
        <f t="shared" si="11"/>
        <v>0</v>
      </c>
      <c r="H167" s="42">
        <f t="shared" si="11"/>
        <v>0</v>
      </c>
      <c r="I167" s="10">
        <f t="shared" si="11"/>
        <v>0</v>
      </c>
      <c r="J167" s="10">
        <f t="shared" si="9"/>
        <v>0</v>
      </c>
      <c r="K167" s="120">
        <f t="shared" si="10"/>
        <v>21578.269617706235</v>
      </c>
    </row>
    <row r="168" spans="1:11" x14ac:dyDescent="0.25">
      <c r="A168" s="50">
        <f>'A) Base RI'!A167</f>
        <v>5669</v>
      </c>
      <c r="B168" s="33" t="str">
        <f>'A) Base RI'!B167</f>
        <v>Curtilles</v>
      </c>
      <c r="C168" s="472">
        <f>'A) Base RI'!AN167</f>
        <v>313</v>
      </c>
      <c r="D168" s="10">
        <f t="shared" si="8"/>
        <v>313</v>
      </c>
      <c r="E168" s="472">
        <f t="shared" si="11"/>
        <v>0</v>
      </c>
      <c r="F168" s="10">
        <f t="shared" si="11"/>
        <v>0</v>
      </c>
      <c r="G168" s="472">
        <f t="shared" si="11"/>
        <v>0</v>
      </c>
      <c r="H168" s="42">
        <f t="shared" si="11"/>
        <v>0</v>
      </c>
      <c r="I168" s="10">
        <f t="shared" si="11"/>
        <v>0</v>
      </c>
      <c r="J168" s="10">
        <f t="shared" si="9"/>
        <v>0</v>
      </c>
      <c r="K168" s="120">
        <f t="shared" si="10"/>
        <v>31268.511066398391</v>
      </c>
    </row>
    <row r="169" spans="1:11" x14ac:dyDescent="0.25">
      <c r="A169" s="50">
        <f>'A) Base RI'!A168</f>
        <v>5671</v>
      </c>
      <c r="B169" s="33" t="str">
        <f>'A) Base RI'!B168</f>
        <v>Dompierre</v>
      </c>
      <c r="C169" s="472">
        <f>'A) Base RI'!AN168</f>
        <v>239</v>
      </c>
      <c r="D169" s="10">
        <f t="shared" si="8"/>
        <v>239</v>
      </c>
      <c r="E169" s="472">
        <f t="shared" si="11"/>
        <v>0</v>
      </c>
      <c r="F169" s="10">
        <f t="shared" si="11"/>
        <v>0</v>
      </c>
      <c r="G169" s="472">
        <f t="shared" si="11"/>
        <v>0</v>
      </c>
      <c r="H169" s="42">
        <f t="shared" si="11"/>
        <v>0</v>
      </c>
      <c r="I169" s="10">
        <f t="shared" si="11"/>
        <v>0</v>
      </c>
      <c r="J169" s="10">
        <f t="shared" si="9"/>
        <v>0</v>
      </c>
      <c r="K169" s="120">
        <f t="shared" si="10"/>
        <v>23875.955734406438</v>
      </c>
    </row>
    <row r="170" spans="1:11" x14ac:dyDescent="0.25">
      <c r="A170" s="50">
        <f>'A) Base RI'!A169</f>
        <v>5673</v>
      </c>
      <c r="B170" s="33" t="str">
        <f>'A) Base RI'!B169</f>
        <v>Hermenches</v>
      </c>
      <c r="C170" s="472">
        <f>'A) Base RI'!AN169</f>
        <v>364</v>
      </c>
      <c r="D170" s="10">
        <f t="shared" si="8"/>
        <v>364</v>
      </c>
      <c r="E170" s="472">
        <f t="shared" si="11"/>
        <v>0</v>
      </c>
      <c r="F170" s="10">
        <f t="shared" si="11"/>
        <v>0</v>
      </c>
      <c r="G170" s="472">
        <f t="shared" si="11"/>
        <v>0</v>
      </c>
      <c r="H170" s="42">
        <f t="shared" si="11"/>
        <v>0</v>
      </c>
      <c r="I170" s="10">
        <f t="shared" si="11"/>
        <v>0</v>
      </c>
      <c r="J170" s="10">
        <f t="shared" si="9"/>
        <v>0</v>
      </c>
      <c r="K170" s="120">
        <f t="shared" si="10"/>
        <v>36363.380281690137</v>
      </c>
    </row>
    <row r="171" spans="1:11" x14ac:dyDescent="0.25">
      <c r="A171" s="50">
        <f>'A) Base RI'!A170</f>
        <v>5674</v>
      </c>
      <c r="B171" s="33" t="str">
        <f>'A) Base RI'!B170</f>
        <v>Lovatens</v>
      </c>
      <c r="C171" s="472">
        <f>'A) Base RI'!AN170</f>
        <v>146</v>
      </c>
      <c r="D171" s="10">
        <f t="shared" ref="D171:D234" si="12">IF($C171&gt;D$4,IF($C171&lt;D$5,$C171-D$4,D$5-D$4),0)</f>
        <v>146</v>
      </c>
      <c r="E171" s="472">
        <f t="shared" si="11"/>
        <v>0</v>
      </c>
      <c r="F171" s="10">
        <f t="shared" si="11"/>
        <v>0</v>
      </c>
      <c r="G171" s="472">
        <f t="shared" si="11"/>
        <v>0</v>
      </c>
      <c r="H171" s="42">
        <f t="shared" si="11"/>
        <v>0</v>
      </c>
      <c r="I171" s="10">
        <f t="shared" si="11"/>
        <v>0</v>
      </c>
      <c r="J171" s="10">
        <f t="shared" si="9"/>
        <v>0</v>
      </c>
      <c r="K171" s="120">
        <f t="shared" si="10"/>
        <v>14585.311871227364</v>
      </c>
    </row>
    <row r="172" spans="1:11" x14ac:dyDescent="0.25">
      <c r="A172" s="50">
        <f>'A) Base RI'!A171</f>
        <v>5675</v>
      </c>
      <c r="B172" s="33" t="str">
        <f>'A) Base RI'!B171</f>
        <v>Lucens</v>
      </c>
      <c r="C172" s="472">
        <f>'A) Base RI'!AN171</f>
        <v>4199</v>
      </c>
      <c r="D172" s="10">
        <f t="shared" si="12"/>
        <v>1000</v>
      </c>
      <c r="E172" s="472">
        <f t="shared" si="11"/>
        <v>2000</v>
      </c>
      <c r="F172" s="10">
        <f t="shared" si="11"/>
        <v>1199</v>
      </c>
      <c r="G172" s="472">
        <f t="shared" si="11"/>
        <v>0</v>
      </c>
      <c r="H172" s="42">
        <f t="shared" si="11"/>
        <v>0</v>
      </c>
      <c r="I172" s="10">
        <f t="shared" si="11"/>
        <v>0</v>
      </c>
      <c r="J172" s="10">
        <f t="shared" si="9"/>
        <v>0</v>
      </c>
      <c r="K172" s="120">
        <f t="shared" si="10"/>
        <v>1398092.0523138831</v>
      </c>
    </row>
    <row r="173" spans="1:11" x14ac:dyDescent="0.25">
      <c r="A173" s="50">
        <f>'A) Base RI'!A172</f>
        <v>5678</v>
      </c>
      <c r="B173" s="33" t="str">
        <f>'A) Base RI'!B172</f>
        <v>Moudon</v>
      </c>
      <c r="C173" s="472">
        <f>'A) Base RI'!AN172</f>
        <v>6135</v>
      </c>
      <c r="D173" s="10">
        <f t="shared" si="12"/>
        <v>1000</v>
      </c>
      <c r="E173" s="472">
        <f t="shared" si="11"/>
        <v>2000</v>
      </c>
      <c r="F173" s="10">
        <f t="shared" si="11"/>
        <v>2000</v>
      </c>
      <c r="G173" s="472">
        <f t="shared" si="11"/>
        <v>1135</v>
      </c>
      <c r="H173" s="42">
        <f t="shared" si="11"/>
        <v>0</v>
      </c>
      <c r="I173" s="10">
        <f t="shared" si="11"/>
        <v>0</v>
      </c>
      <c r="J173" s="10">
        <f t="shared" si="9"/>
        <v>0</v>
      </c>
      <c r="K173" s="120">
        <f t="shared" si="10"/>
        <v>2478504.0241448688</v>
      </c>
    </row>
    <row r="174" spans="1:11" x14ac:dyDescent="0.25">
      <c r="A174" s="50">
        <f>'A) Base RI'!A173</f>
        <v>5680</v>
      </c>
      <c r="B174" s="33" t="str">
        <f>'A) Base RI'!B173</f>
        <v>Ogens</v>
      </c>
      <c r="C174" s="472">
        <f>'A) Base RI'!AN173</f>
        <v>299</v>
      </c>
      <c r="D174" s="10">
        <f t="shared" si="12"/>
        <v>299</v>
      </c>
      <c r="E174" s="472">
        <f t="shared" si="11"/>
        <v>0</v>
      </c>
      <c r="F174" s="10">
        <f t="shared" si="11"/>
        <v>0</v>
      </c>
      <c r="G174" s="472">
        <f t="shared" si="11"/>
        <v>0</v>
      </c>
      <c r="H174" s="42">
        <f t="shared" si="11"/>
        <v>0</v>
      </c>
      <c r="I174" s="10">
        <f t="shared" si="11"/>
        <v>0</v>
      </c>
      <c r="J174" s="10">
        <f t="shared" si="9"/>
        <v>0</v>
      </c>
      <c r="K174" s="120">
        <f t="shared" si="10"/>
        <v>29869.919517102615</v>
      </c>
    </row>
    <row r="175" spans="1:11" x14ac:dyDescent="0.25">
      <c r="A175" s="50">
        <f>'A) Base RI'!A174</f>
        <v>5683</v>
      </c>
      <c r="B175" s="33" t="str">
        <f>'A) Base RI'!B174</f>
        <v>Prévonloup</v>
      </c>
      <c r="C175" s="472">
        <f>'A) Base RI'!AN174</f>
        <v>184</v>
      </c>
      <c r="D175" s="10">
        <f t="shared" si="12"/>
        <v>184</v>
      </c>
      <c r="E175" s="472">
        <f t="shared" si="11"/>
        <v>0</v>
      </c>
      <c r="F175" s="10">
        <f t="shared" si="11"/>
        <v>0</v>
      </c>
      <c r="G175" s="472">
        <f t="shared" si="11"/>
        <v>0</v>
      </c>
      <c r="H175" s="42">
        <f t="shared" si="11"/>
        <v>0</v>
      </c>
      <c r="I175" s="10">
        <f t="shared" si="11"/>
        <v>0</v>
      </c>
      <c r="J175" s="10">
        <f t="shared" si="9"/>
        <v>0</v>
      </c>
      <c r="K175" s="120">
        <f t="shared" si="10"/>
        <v>18381.488933601609</v>
      </c>
    </row>
    <row r="176" spans="1:11" x14ac:dyDescent="0.25">
      <c r="A176" s="50">
        <f>'A) Base RI'!A175</f>
        <v>5684</v>
      </c>
      <c r="B176" s="33" t="str">
        <f>'A) Base RI'!B175</f>
        <v>Rossenges</v>
      </c>
      <c r="C176" s="472">
        <f>'A) Base RI'!AN175</f>
        <v>65</v>
      </c>
      <c r="D176" s="10">
        <f t="shared" si="12"/>
        <v>65</v>
      </c>
      <c r="E176" s="472">
        <f t="shared" si="11"/>
        <v>0</v>
      </c>
      <c r="F176" s="10">
        <f t="shared" si="11"/>
        <v>0</v>
      </c>
      <c r="G176" s="472">
        <f t="shared" si="11"/>
        <v>0</v>
      </c>
      <c r="H176" s="42">
        <f t="shared" si="11"/>
        <v>0</v>
      </c>
      <c r="I176" s="10">
        <f t="shared" si="11"/>
        <v>0</v>
      </c>
      <c r="J176" s="10">
        <f t="shared" si="9"/>
        <v>0</v>
      </c>
      <c r="K176" s="120">
        <f t="shared" si="10"/>
        <v>6493.4607645875249</v>
      </c>
    </row>
    <row r="177" spans="1:11" x14ac:dyDescent="0.25">
      <c r="A177" s="50">
        <f>'A) Base RI'!A176</f>
        <v>5688</v>
      </c>
      <c r="B177" s="33" t="str">
        <f>'A) Base RI'!B176</f>
        <v>Syens</v>
      </c>
      <c r="C177" s="472">
        <f>'A) Base RI'!AN176</f>
        <v>159</v>
      </c>
      <c r="D177" s="10">
        <f t="shared" si="12"/>
        <v>159</v>
      </c>
      <c r="E177" s="472">
        <f t="shared" si="11"/>
        <v>0</v>
      </c>
      <c r="F177" s="10">
        <f t="shared" si="11"/>
        <v>0</v>
      </c>
      <c r="G177" s="472">
        <f t="shared" si="11"/>
        <v>0</v>
      </c>
      <c r="H177" s="42">
        <f t="shared" si="11"/>
        <v>0</v>
      </c>
      <c r="I177" s="10">
        <f t="shared" si="11"/>
        <v>0</v>
      </c>
      <c r="J177" s="10">
        <f t="shared" si="9"/>
        <v>0</v>
      </c>
      <c r="K177" s="120">
        <f t="shared" si="10"/>
        <v>15884.004024144868</v>
      </c>
    </row>
    <row r="178" spans="1:11" x14ac:dyDescent="0.25">
      <c r="A178" s="50">
        <f>'A) Base RI'!A177</f>
        <v>5690</v>
      </c>
      <c r="B178" s="33" t="str">
        <f>'A) Base RI'!B177</f>
        <v>Villars-le-Comte</v>
      </c>
      <c r="C178" s="472">
        <f>'A) Base RI'!AN177</f>
        <v>132</v>
      </c>
      <c r="D178" s="10">
        <f t="shared" si="12"/>
        <v>132</v>
      </c>
      <c r="E178" s="472">
        <f t="shared" si="11"/>
        <v>0</v>
      </c>
      <c r="F178" s="10">
        <f t="shared" si="11"/>
        <v>0</v>
      </c>
      <c r="G178" s="472">
        <f t="shared" si="11"/>
        <v>0</v>
      </c>
      <c r="H178" s="42">
        <f t="shared" si="11"/>
        <v>0</v>
      </c>
      <c r="I178" s="10">
        <f t="shared" si="11"/>
        <v>0</v>
      </c>
      <c r="J178" s="10">
        <f t="shared" si="9"/>
        <v>0</v>
      </c>
      <c r="K178" s="120">
        <f t="shared" si="10"/>
        <v>13186.720321931589</v>
      </c>
    </row>
    <row r="179" spans="1:11" x14ac:dyDescent="0.25">
      <c r="A179" s="50">
        <f>'A) Base RI'!A178</f>
        <v>5692</v>
      </c>
      <c r="B179" s="33" t="str">
        <f>'A) Base RI'!B178</f>
        <v>Vucherens</v>
      </c>
      <c r="C179" s="472">
        <f>'A) Base RI'!AN178</f>
        <v>577</v>
      </c>
      <c r="D179" s="10">
        <f t="shared" si="12"/>
        <v>577</v>
      </c>
      <c r="E179" s="472">
        <f t="shared" si="11"/>
        <v>0</v>
      </c>
      <c r="F179" s="10">
        <f t="shared" si="11"/>
        <v>0</v>
      </c>
      <c r="G179" s="472">
        <f t="shared" si="11"/>
        <v>0</v>
      </c>
      <c r="H179" s="42">
        <f t="shared" si="11"/>
        <v>0</v>
      </c>
      <c r="I179" s="10">
        <f t="shared" si="11"/>
        <v>0</v>
      </c>
      <c r="J179" s="10">
        <f t="shared" si="9"/>
        <v>0</v>
      </c>
      <c r="K179" s="120">
        <f t="shared" si="10"/>
        <v>57641.951710261565</v>
      </c>
    </row>
    <row r="180" spans="1:11" x14ac:dyDescent="0.25">
      <c r="A180" s="50">
        <f>'A) Base RI'!A179</f>
        <v>5693</v>
      </c>
      <c r="B180" s="33" t="str">
        <f>'A) Base RI'!B179</f>
        <v>Montanaire</v>
      </c>
      <c r="C180" s="472">
        <f>'A) Base RI'!AN179</f>
        <v>2685</v>
      </c>
      <c r="D180" s="10">
        <f t="shared" si="12"/>
        <v>1000</v>
      </c>
      <c r="E180" s="472">
        <f t="shared" si="11"/>
        <v>1685</v>
      </c>
      <c r="F180" s="10">
        <f t="shared" si="11"/>
        <v>0</v>
      </c>
      <c r="G180" s="472">
        <f t="shared" si="11"/>
        <v>0</v>
      </c>
      <c r="H180" s="42">
        <f t="shared" si="11"/>
        <v>0</v>
      </c>
      <c r="I180" s="10">
        <f t="shared" si="11"/>
        <v>0</v>
      </c>
      <c r="J180" s="10">
        <f t="shared" si="9"/>
        <v>0</v>
      </c>
      <c r="K180" s="120">
        <f t="shared" si="10"/>
        <v>689056.08651911467</v>
      </c>
    </row>
    <row r="181" spans="1:11" x14ac:dyDescent="0.25">
      <c r="A181" s="50">
        <f>'A) Base RI'!A180</f>
        <v>5701</v>
      </c>
      <c r="B181" s="33" t="str">
        <f>'A) Base RI'!B180</f>
        <v>Arnex-sur-Nyon</v>
      </c>
      <c r="C181" s="472">
        <f>'A) Base RI'!AN180</f>
        <v>235</v>
      </c>
      <c r="D181" s="10">
        <f t="shared" si="12"/>
        <v>235</v>
      </c>
      <c r="E181" s="472">
        <f t="shared" si="11"/>
        <v>0</v>
      </c>
      <c r="F181" s="10">
        <f t="shared" si="11"/>
        <v>0</v>
      </c>
      <c r="G181" s="472">
        <f t="shared" si="11"/>
        <v>0</v>
      </c>
      <c r="H181" s="42">
        <f t="shared" si="11"/>
        <v>0</v>
      </c>
      <c r="I181" s="10">
        <f t="shared" si="11"/>
        <v>0</v>
      </c>
      <c r="J181" s="10">
        <f t="shared" si="9"/>
        <v>0</v>
      </c>
      <c r="K181" s="120">
        <f t="shared" si="10"/>
        <v>23476.35814889336</v>
      </c>
    </row>
    <row r="182" spans="1:11" x14ac:dyDescent="0.25">
      <c r="A182" s="50">
        <f>'A) Base RI'!A181</f>
        <v>5702</v>
      </c>
      <c r="B182" s="33" t="str">
        <f>'A) Base RI'!B181</f>
        <v>Arzier-Le Muids</v>
      </c>
      <c r="C182" s="472">
        <f>'A) Base RI'!AN181</f>
        <v>2697</v>
      </c>
      <c r="D182" s="10">
        <f t="shared" si="12"/>
        <v>1000</v>
      </c>
      <c r="E182" s="472">
        <f t="shared" si="11"/>
        <v>1697</v>
      </c>
      <c r="F182" s="10">
        <f t="shared" si="11"/>
        <v>0</v>
      </c>
      <c r="G182" s="472">
        <f t="shared" si="11"/>
        <v>0</v>
      </c>
      <c r="H182" s="42">
        <f t="shared" si="11"/>
        <v>0</v>
      </c>
      <c r="I182" s="10">
        <f t="shared" si="11"/>
        <v>0</v>
      </c>
      <c r="J182" s="10">
        <f t="shared" si="9"/>
        <v>0</v>
      </c>
      <c r="K182" s="120">
        <f t="shared" si="10"/>
        <v>693251.861167002</v>
      </c>
    </row>
    <row r="183" spans="1:11" x14ac:dyDescent="0.25">
      <c r="A183" s="50">
        <f>'A) Base RI'!A182</f>
        <v>5703</v>
      </c>
      <c r="B183" s="33" t="str">
        <f>'A) Base RI'!B182</f>
        <v>Bassins</v>
      </c>
      <c r="C183" s="472">
        <f>'A) Base RI'!AN182</f>
        <v>1347</v>
      </c>
      <c r="D183" s="10">
        <f t="shared" si="12"/>
        <v>1000</v>
      </c>
      <c r="E183" s="472">
        <f t="shared" si="11"/>
        <v>347</v>
      </c>
      <c r="F183" s="10">
        <f t="shared" si="11"/>
        <v>0</v>
      </c>
      <c r="G183" s="472">
        <f t="shared" si="11"/>
        <v>0</v>
      </c>
      <c r="H183" s="42">
        <f t="shared" si="11"/>
        <v>0</v>
      </c>
      <c r="I183" s="10">
        <f t="shared" si="11"/>
        <v>0</v>
      </c>
      <c r="J183" s="10">
        <f t="shared" si="9"/>
        <v>0</v>
      </c>
      <c r="K183" s="120">
        <f t="shared" si="10"/>
        <v>221227.21327967805</v>
      </c>
    </row>
    <row r="184" spans="1:11" x14ac:dyDescent="0.25">
      <c r="A184" s="50">
        <f>'A) Base RI'!A183</f>
        <v>5704</v>
      </c>
      <c r="B184" s="33" t="str">
        <f>'A) Base RI'!B183</f>
        <v>Begnins</v>
      </c>
      <c r="C184" s="472">
        <f>'A) Base RI'!AN183</f>
        <v>1952</v>
      </c>
      <c r="D184" s="10">
        <f t="shared" si="12"/>
        <v>1000</v>
      </c>
      <c r="E184" s="472">
        <f t="shared" si="11"/>
        <v>952</v>
      </c>
      <c r="F184" s="10">
        <f t="shared" si="11"/>
        <v>0</v>
      </c>
      <c r="G184" s="472">
        <f t="shared" si="11"/>
        <v>0</v>
      </c>
      <c r="H184" s="42">
        <f t="shared" si="11"/>
        <v>0</v>
      </c>
      <c r="I184" s="10">
        <f t="shared" si="11"/>
        <v>0</v>
      </c>
      <c r="J184" s="10">
        <f t="shared" si="9"/>
        <v>0</v>
      </c>
      <c r="K184" s="120">
        <f t="shared" si="10"/>
        <v>432764.18511066394</v>
      </c>
    </row>
    <row r="185" spans="1:11" x14ac:dyDescent="0.25">
      <c r="A185" s="50">
        <f>'A) Base RI'!A184</f>
        <v>5705</v>
      </c>
      <c r="B185" s="33" t="str">
        <f>'A) Base RI'!B184</f>
        <v>Bogis-Bossey</v>
      </c>
      <c r="C185" s="472">
        <f>'A) Base RI'!AN184</f>
        <v>867</v>
      </c>
      <c r="D185" s="10">
        <f t="shared" si="12"/>
        <v>867</v>
      </c>
      <c r="E185" s="472">
        <f t="shared" si="11"/>
        <v>0</v>
      </c>
      <c r="F185" s="10">
        <f t="shared" si="11"/>
        <v>0</v>
      </c>
      <c r="G185" s="472">
        <f t="shared" si="11"/>
        <v>0</v>
      </c>
      <c r="H185" s="42">
        <f t="shared" si="11"/>
        <v>0</v>
      </c>
      <c r="I185" s="10">
        <f t="shared" si="11"/>
        <v>0</v>
      </c>
      <c r="J185" s="10">
        <f t="shared" si="9"/>
        <v>0</v>
      </c>
      <c r="K185" s="120">
        <f t="shared" si="10"/>
        <v>86612.776659959753</v>
      </c>
    </row>
    <row r="186" spans="1:11" x14ac:dyDescent="0.25">
      <c r="A186" s="50">
        <f>'A) Base RI'!A185</f>
        <v>5706</v>
      </c>
      <c r="B186" s="33" t="str">
        <f>'A) Base RI'!B185</f>
        <v>Borex</v>
      </c>
      <c r="C186" s="472">
        <f>'A) Base RI'!AN185</f>
        <v>1140</v>
      </c>
      <c r="D186" s="10">
        <f t="shared" si="12"/>
        <v>1000</v>
      </c>
      <c r="E186" s="472">
        <f t="shared" si="11"/>
        <v>140</v>
      </c>
      <c r="F186" s="10">
        <f t="shared" si="11"/>
        <v>0</v>
      </c>
      <c r="G186" s="472">
        <f t="shared" si="11"/>
        <v>0</v>
      </c>
      <c r="H186" s="42">
        <f t="shared" si="11"/>
        <v>0</v>
      </c>
      <c r="I186" s="10">
        <f t="shared" si="11"/>
        <v>0</v>
      </c>
      <c r="J186" s="10">
        <f t="shared" si="9"/>
        <v>0</v>
      </c>
      <c r="K186" s="120">
        <f t="shared" si="10"/>
        <v>148850.10060362171</v>
      </c>
    </row>
    <row r="187" spans="1:11" x14ac:dyDescent="0.25">
      <c r="A187" s="50">
        <f>'A) Base RI'!A186</f>
        <v>5707</v>
      </c>
      <c r="B187" s="33" t="str">
        <f>'A) Base RI'!B186</f>
        <v>Chavannes-de-Bogis</v>
      </c>
      <c r="C187" s="472">
        <f>'A) Base RI'!AN186</f>
        <v>1281</v>
      </c>
      <c r="D187" s="10">
        <f t="shared" si="12"/>
        <v>1000</v>
      </c>
      <c r="E187" s="472">
        <f t="shared" si="11"/>
        <v>281</v>
      </c>
      <c r="F187" s="10">
        <f t="shared" si="11"/>
        <v>0</v>
      </c>
      <c r="G187" s="472">
        <f t="shared" si="11"/>
        <v>0</v>
      </c>
      <c r="H187" s="42">
        <f t="shared" si="11"/>
        <v>0</v>
      </c>
      <c r="I187" s="10">
        <f t="shared" si="11"/>
        <v>0</v>
      </c>
      <c r="J187" s="10">
        <f t="shared" si="9"/>
        <v>0</v>
      </c>
      <c r="K187" s="120">
        <f t="shared" si="10"/>
        <v>198150.45271629776</v>
      </c>
    </row>
    <row r="188" spans="1:11" x14ac:dyDescent="0.25">
      <c r="A188" s="50">
        <f>'A) Base RI'!A187</f>
        <v>5708</v>
      </c>
      <c r="B188" s="33" t="str">
        <f>'A) Base RI'!B187</f>
        <v>Chavannes-des-Bois</v>
      </c>
      <c r="C188" s="472">
        <f>'A) Base RI'!AN187</f>
        <v>964</v>
      </c>
      <c r="D188" s="10">
        <f t="shared" si="12"/>
        <v>964</v>
      </c>
      <c r="E188" s="472">
        <f t="shared" si="11"/>
        <v>0</v>
      </c>
      <c r="F188" s="10">
        <f t="shared" si="11"/>
        <v>0</v>
      </c>
      <c r="G188" s="472">
        <f t="shared" si="11"/>
        <v>0</v>
      </c>
      <c r="H188" s="42">
        <f t="shared" si="11"/>
        <v>0</v>
      </c>
      <c r="I188" s="10">
        <f t="shared" si="11"/>
        <v>0</v>
      </c>
      <c r="J188" s="10">
        <f t="shared" si="9"/>
        <v>0</v>
      </c>
      <c r="K188" s="120">
        <f t="shared" si="10"/>
        <v>96303.018108651915</v>
      </c>
    </row>
    <row r="189" spans="1:11" x14ac:dyDescent="0.25">
      <c r="A189" s="50">
        <f>'A) Base RI'!A188</f>
        <v>5709</v>
      </c>
      <c r="B189" s="33" t="str">
        <f>'A) Base RI'!B188</f>
        <v>Chéserex</v>
      </c>
      <c r="C189" s="472">
        <f>'A) Base RI'!AN188</f>
        <v>1227</v>
      </c>
      <c r="D189" s="10">
        <f t="shared" si="12"/>
        <v>1000</v>
      </c>
      <c r="E189" s="472">
        <f t="shared" si="11"/>
        <v>227</v>
      </c>
      <c r="F189" s="10">
        <f t="shared" si="11"/>
        <v>0</v>
      </c>
      <c r="G189" s="472">
        <f t="shared" si="11"/>
        <v>0</v>
      </c>
      <c r="H189" s="42">
        <f t="shared" si="11"/>
        <v>0</v>
      </c>
      <c r="I189" s="10">
        <f t="shared" si="11"/>
        <v>0</v>
      </c>
      <c r="J189" s="10">
        <f t="shared" si="9"/>
        <v>0</v>
      </c>
      <c r="K189" s="120">
        <f t="shared" si="10"/>
        <v>179269.46680080483</v>
      </c>
    </row>
    <row r="190" spans="1:11" x14ac:dyDescent="0.25">
      <c r="A190" s="50">
        <f>'A) Base RI'!A189</f>
        <v>5710</v>
      </c>
      <c r="B190" s="33" t="str">
        <f>'A) Base RI'!B189</f>
        <v>Coinsins</v>
      </c>
      <c r="C190" s="472">
        <f>'A) Base RI'!AN189</f>
        <v>499</v>
      </c>
      <c r="D190" s="10">
        <f t="shared" si="12"/>
        <v>499</v>
      </c>
      <c r="E190" s="472">
        <f t="shared" si="11"/>
        <v>0</v>
      </c>
      <c r="F190" s="10">
        <f t="shared" si="11"/>
        <v>0</v>
      </c>
      <c r="G190" s="472">
        <f t="shared" si="11"/>
        <v>0</v>
      </c>
      <c r="H190" s="42">
        <f t="shared" si="11"/>
        <v>0</v>
      </c>
      <c r="I190" s="10">
        <f t="shared" si="11"/>
        <v>0</v>
      </c>
      <c r="J190" s="10">
        <f t="shared" si="9"/>
        <v>0</v>
      </c>
      <c r="K190" s="120">
        <f t="shared" si="10"/>
        <v>49849.798792756541</v>
      </c>
    </row>
    <row r="191" spans="1:11" x14ac:dyDescent="0.25">
      <c r="A191" s="50">
        <f>'A) Base RI'!A190</f>
        <v>5711</v>
      </c>
      <c r="B191" s="33" t="str">
        <f>'A) Base RI'!B190</f>
        <v>Commugny</v>
      </c>
      <c r="C191" s="472">
        <f>'A) Base RI'!AN190</f>
        <v>2877</v>
      </c>
      <c r="D191" s="10">
        <f t="shared" si="12"/>
        <v>1000</v>
      </c>
      <c r="E191" s="472">
        <f t="shared" si="11"/>
        <v>1877</v>
      </c>
      <c r="F191" s="10">
        <f t="shared" si="11"/>
        <v>0</v>
      </c>
      <c r="G191" s="472">
        <f t="shared" si="11"/>
        <v>0</v>
      </c>
      <c r="H191" s="42">
        <f t="shared" si="11"/>
        <v>0</v>
      </c>
      <c r="I191" s="10">
        <f t="shared" si="11"/>
        <v>0</v>
      </c>
      <c r="J191" s="10">
        <f t="shared" si="9"/>
        <v>0</v>
      </c>
      <c r="K191" s="120">
        <f t="shared" si="10"/>
        <v>756188.48088531184</v>
      </c>
    </row>
    <row r="192" spans="1:11" x14ac:dyDescent="0.25">
      <c r="A192" s="50">
        <f>'A) Base RI'!A191</f>
        <v>5712</v>
      </c>
      <c r="B192" s="33" t="str">
        <f>'A) Base RI'!B191</f>
        <v>Coppet</v>
      </c>
      <c r="C192" s="472">
        <f>'A) Base RI'!AN191</f>
        <v>3126</v>
      </c>
      <c r="D192" s="10">
        <f t="shared" si="12"/>
        <v>1000</v>
      </c>
      <c r="E192" s="472">
        <f t="shared" si="11"/>
        <v>2000</v>
      </c>
      <c r="F192" s="10">
        <f t="shared" si="11"/>
        <v>126</v>
      </c>
      <c r="G192" s="472">
        <f t="shared" si="11"/>
        <v>0</v>
      </c>
      <c r="H192" s="42">
        <f t="shared" si="11"/>
        <v>0</v>
      </c>
      <c r="I192" s="10">
        <f t="shared" si="11"/>
        <v>0</v>
      </c>
      <c r="J192" s="10">
        <f t="shared" si="9"/>
        <v>0</v>
      </c>
      <c r="K192" s="120">
        <f t="shared" si="10"/>
        <v>862131.79074446671</v>
      </c>
    </row>
    <row r="193" spans="1:11" x14ac:dyDescent="0.25">
      <c r="A193" s="50">
        <f>'A) Base RI'!A192</f>
        <v>5713</v>
      </c>
      <c r="B193" s="33" t="str">
        <f>'A) Base RI'!B192</f>
        <v>Crans-près-Céligny</v>
      </c>
      <c r="C193" s="472">
        <f>'A) Base RI'!AN192</f>
        <v>2193</v>
      </c>
      <c r="D193" s="10">
        <f t="shared" si="12"/>
        <v>1000</v>
      </c>
      <c r="E193" s="472">
        <f t="shared" si="11"/>
        <v>1193</v>
      </c>
      <c r="F193" s="10">
        <f t="shared" si="11"/>
        <v>0</v>
      </c>
      <c r="G193" s="472">
        <f t="shared" si="11"/>
        <v>0</v>
      </c>
      <c r="H193" s="42">
        <f t="shared" si="11"/>
        <v>0</v>
      </c>
      <c r="I193" s="10">
        <f t="shared" si="11"/>
        <v>0</v>
      </c>
      <c r="J193" s="10">
        <f t="shared" si="9"/>
        <v>0</v>
      </c>
      <c r="K193" s="120">
        <f t="shared" si="10"/>
        <v>517029.32595573436</v>
      </c>
    </row>
    <row r="194" spans="1:11" x14ac:dyDescent="0.25">
      <c r="A194" s="50">
        <f>'A) Base RI'!A193</f>
        <v>5714</v>
      </c>
      <c r="B194" s="33" t="str">
        <f>'A) Base RI'!B193</f>
        <v>Crassier</v>
      </c>
      <c r="C194" s="472">
        <f>'A) Base RI'!AN193</f>
        <v>1175</v>
      </c>
      <c r="D194" s="10">
        <f t="shared" si="12"/>
        <v>1000</v>
      </c>
      <c r="E194" s="472">
        <f t="shared" si="11"/>
        <v>175</v>
      </c>
      <c r="F194" s="10">
        <f t="shared" si="11"/>
        <v>0</v>
      </c>
      <c r="G194" s="472">
        <f t="shared" si="11"/>
        <v>0</v>
      </c>
      <c r="H194" s="42">
        <f t="shared" si="11"/>
        <v>0</v>
      </c>
      <c r="I194" s="10">
        <f t="shared" si="11"/>
        <v>0</v>
      </c>
      <c r="J194" s="10">
        <f t="shared" si="9"/>
        <v>0</v>
      </c>
      <c r="K194" s="120">
        <f t="shared" si="10"/>
        <v>161087.77665995975</v>
      </c>
    </row>
    <row r="195" spans="1:11" x14ac:dyDescent="0.25">
      <c r="A195" s="50">
        <f>'A) Base RI'!A194</f>
        <v>5715</v>
      </c>
      <c r="B195" s="33" t="str">
        <f>'A) Base RI'!B194</f>
        <v>Duillier</v>
      </c>
      <c r="C195" s="472">
        <f>'A) Base RI'!AN194</f>
        <v>1085</v>
      </c>
      <c r="D195" s="10">
        <f t="shared" si="12"/>
        <v>1000</v>
      </c>
      <c r="E195" s="472">
        <f t="shared" si="11"/>
        <v>85</v>
      </c>
      <c r="F195" s="10">
        <f t="shared" si="11"/>
        <v>0</v>
      </c>
      <c r="G195" s="472">
        <f t="shared" si="11"/>
        <v>0</v>
      </c>
      <c r="H195" s="42">
        <f t="shared" si="11"/>
        <v>0</v>
      </c>
      <c r="I195" s="10">
        <f t="shared" si="11"/>
        <v>0</v>
      </c>
      <c r="J195" s="10">
        <f t="shared" si="9"/>
        <v>0</v>
      </c>
      <c r="K195" s="120">
        <f t="shared" si="10"/>
        <v>129619.46680080482</v>
      </c>
    </row>
    <row r="196" spans="1:11" x14ac:dyDescent="0.25">
      <c r="A196" s="50">
        <f>'A) Base RI'!A195</f>
        <v>5716</v>
      </c>
      <c r="B196" s="33" t="str">
        <f>'A) Base RI'!B195</f>
        <v>Eysins</v>
      </c>
      <c r="C196" s="472">
        <f>'A) Base RI'!AN195</f>
        <v>1618</v>
      </c>
      <c r="D196" s="10">
        <f t="shared" si="12"/>
        <v>1000</v>
      </c>
      <c r="E196" s="472">
        <f t="shared" si="11"/>
        <v>618</v>
      </c>
      <c r="F196" s="10">
        <f t="shared" si="11"/>
        <v>0</v>
      </c>
      <c r="G196" s="472">
        <f t="shared" si="11"/>
        <v>0</v>
      </c>
      <c r="H196" s="42">
        <f t="shared" si="11"/>
        <v>0</v>
      </c>
      <c r="I196" s="10">
        <f t="shared" si="11"/>
        <v>0</v>
      </c>
      <c r="J196" s="10">
        <f t="shared" si="9"/>
        <v>0</v>
      </c>
      <c r="K196" s="120">
        <f t="shared" si="10"/>
        <v>315981.79074446677</v>
      </c>
    </row>
    <row r="197" spans="1:11" x14ac:dyDescent="0.25">
      <c r="A197" s="50">
        <f>'A) Base RI'!A196</f>
        <v>5717</v>
      </c>
      <c r="B197" s="33" t="str">
        <f>'A) Base RI'!B196</f>
        <v>Founex</v>
      </c>
      <c r="C197" s="472">
        <f>'A) Base RI'!AN196</f>
        <v>3790</v>
      </c>
      <c r="D197" s="10">
        <f t="shared" si="12"/>
        <v>1000</v>
      </c>
      <c r="E197" s="472">
        <f t="shared" si="11"/>
        <v>2000</v>
      </c>
      <c r="F197" s="10">
        <f t="shared" si="11"/>
        <v>790</v>
      </c>
      <c r="G197" s="472">
        <f t="shared" si="11"/>
        <v>0</v>
      </c>
      <c r="H197" s="42">
        <f t="shared" si="11"/>
        <v>0</v>
      </c>
      <c r="I197" s="10">
        <f t="shared" si="11"/>
        <v>0</v>
      </c>
      <c r="J197" s="10">
        <f t="shared" si="9"/>
        <v>0</v>
      </c>
      <c r="K197" s="120">
        <f t="shared" si="10"/>
        <v>1193797.7867203217</v>
      </c>
    </row>
    <row r="198" spans="1:11" x14ac:dyDescent="0.25">
      <c r="A198" s="50">
        <f>'A) Base RI'!A197</f>
        <v>5718</v>
      </c>
      <c r="B198" s="33" t="str">
        <f>'A) Base RI'!B197</f>
        <v>Genolier</v>
      </c>
      <c r="C198" s="472">
        <f>'A) Base RI'!AN197</f>
        <v>1961</v>
      </c>
      <c r="D198" s="10">
        <f t="shared" si="12"/>
        <v>1000</v>
      </c>
      <c r="E198" s="472">
        <f t="shared" si="11"/>
        <v>961</v>
      </c>
      <c r="F198" s="10">
        <f t="shared" si="11"/>
        <v>0</v>
      </c>
      <c r="G198" s="472">
        <f t="shared" si="11"/>
        <v>0</v>
      </c>
      <c r="H198" s="42">
        <f t="shared" si="11"/>
        <v>0</v>
      </c>
      <c r="I198" s="10">
        <f t="shared" si="11"/>
        <v>0</v>
      </c>
      <c r="J198" s="10">
        <f t="shared" si="9"/>
        <v>0</v>
      </c>
      <c r="K198" s="120">
        <f t="shared" si="10"/>
        <v>435911.01609657943</v>
      </c>
    </row>
    <row r="199" spans="1:11" x14ac:dyDescent="0.25">
      <c r="A199" s="50">
        <f>'A) Base RI'!A198</f>
        <v>5719</v>
      </c>
      <c r="B199" s="33" t="str">
        <f>'A) Base RI'!B198</f>
        <v>Gingins</v>
      </c>
      <c r="C199" s="472">
        <f>'A) Base RI'!AN198</f>
        <v>1226</v>
      </c>
      <c r="D199" s="10">
        <f t="shared" si="12"/>
        <v>1000</v>
      </c>
      <c r="E199" s="472">
        <f t="shared" si="11"/>
        <v>226</v>
      </c>
      <c r="F199" s="10">
        <f t="shared" si="11"/>
        <v>0</v>
      </c>
      <c r="G199" s="472">
        <f t="shared" si="11"/>
        <v>0</v>
      </c>
      <c r="H199" s="42">
        <f t="shared" si="11"/>
        <v>0</v>
      </c>
      <c r="I199" s="10">
        <f t="shared" si="11"/>
        <v>0</v>
      </c>
      <c r="J199" s="10">
        <f t="shared" si="9"/>
        <v>0</v>
      </c>
      <c r="K199" s="120">
        <f t="shared" si="10"/>
        <v>178919.81891348085</v>
      </c>
    </row>
    <row r="200" spans="1:11" x14ac:dyDescent="0.25">
      <c r="A200" s="50">
        <f>'A) Base RI'!A199</f>
        <v>5720</v>
      </c>
      <c r="B200" s="33" t="str">
        <f>'A) Base RI'!B199</f>
        <v>Givrins</v>
      </c>
      <c r="C200" s="472">
        <f>'A) Base RI'!AN199</f>
        <v>1033</v>
      </c>
      <c r="D200" s="10">
        <f t="shared" si="12"/>
        <v>1000</v>
      </c>
      <c r="E200" s="472">
        <f t="shared" si="11"/>
        <v>33</v>
      </c>
      <c r="F200" s="10">
        <f t="shared" si="11"/>
        <v>0</v>
      </c>
      <c r="G200" s="472">
        <f t="shared" si="11"/>
        <v>0</v>
      </c>
      <c r="H200" s="42">
        <f t="shared" si="11"/>
        <v>0</v>
      </c>
      <c r="I200" s="10">
        <f t="shared" si="11"/>
        <v>0</v>
      </c>
      <c r="J200" s="10">
        <f t="shared" si="9"/>
        <v>0</v>
      </c>
      <c r="K200" s="120">
        <f t="shared" si="10"/>
        <v>111437.77665995975</v>
      </c>
    </row>
    <row r="201" spans="1:11" x14ac:dyDescent="0.25">
      <c r="A201" s="50">
        <f>'A) Base RI'!A200</f>
        <v>5721</v>
      </c>
      <c r="B201" s="33" t="str">
        <f>'A) Base RI'!B200</f>
        <v>Gland</v>
      </c>
      <c r="C201" s="472">
        <f>'A) Base RI'!AN200</f>
        <v>13101</v>
      </c>
      <c r="D201" s="10">
        <f t="shared" si="12"/>
        <v>1000</v>
      </c>
      <c r="E201" s="472">
        <f t="shared" si="11"/>
        <v>2000</v>
      </c>
      <c r="F201" s="10">
        <f t="shared" si="11"/>
        <v>2000</v>
      </c>
      <c r="G201" s="472">
        <f t="shared" si="11"/>
        <v>4000</v>
      </c>
      <c r="H201" s="42">
        <f t="shared" si="11"/>
        <v>3000</v>
      </c>
      <c r="I201" s="10">
        <f t="shared" si="11"/>
        <v>1101</v>
      </c>
      <c r="J201" s="10">
        <f t="shared" ref="J201:J264" si="13">IF(C201&gt;$J$4,C201-$J$4,0)</f>
        <v>0</v>
      </c>
      <c r="K201" s="120">
        <f t="shared" ref="K201:K264" si="14">(D201*D$7)+(E201*E$7)+(F201*F$7)+(G201*G$7)+(H201*H$7)+(I201*I$7)+(J201*J$7)</f>
        <v>7843101.609657946</v>
      </c>
    </row>
    <row r="202" spans="1:11" x14ac:dyDescent="0.25">
      <c r="A202" s="50">
        <f>'A) Base RI'!A201</f>
        <v>5722</v>
      </c>
      <c r="B202" s="33" t="str">
        <f>'A) Base RI'!B201</f>
        <v>Grens</v>
      </c>
      <c r="C202" s="472">
        <f>'A) Base RI'!AN201</f>
        <v>391</v>
      </c>
      <c r="D202" s="10">
        <f t="shared" si="12"/>
        <v>391</v>
      </c>
      <c r="E202" s="472">
        <f t="shared" si="11"/>
        <v>0</v>
      </c>
      <c r="F202" s="10">
        <f t="shared" si="11"/>
        <v>0</v>
      </c>
      <c r="G202" s="472">
        <f t="shared" si="11"/>
        <v>0</v>
      </c>
      <c r="H202" s="42">
        <f t="shared" si="11"/>
        <v>0</v>
      </c>
      <c r="I202" s="10">
        <f t="shared" si="11"/>
        <v>0</v>
      </c>
      <c r="J202" s="10">
        <f t="shared" si="13"/>
        <v>0</v>
      </c>
      <c r="K202" s="120">
        <f t="shared" si="14"/>
        <v>39060.663983903418</v>
      </c>
    </row>
    <row r="203" spans="1:11" x14ac:dyDescent="0.25">
      <c r="A203" s="50">
        <f>'A) Base RI'!A202</f>
        <v>5723</v>
      </c>
      <c r="B203" s="33" t="str">
        <f>'A) Base RI'!B202</f>
        <v>Mies</v>
      </c>
      <c r="C203" s="472">
        <f>'A) Base RI'!AN202</f>
        <v>2075</v>
      </c>
      <c r="D203" s="10">
        <f t="shared" si="12"/>
        <v>1000</v>
      </c>
      <c r="E203" s="472">
        <f t="shared" si="11"/>
        <v>1075</v>
      </c>
      <c r="F203" s="10">
        <f t="shared" si="11"/>
        <v>0</v>
      </c>
      <c r="G203" s="472">
        <f t="shared" si="11"/>
        <v>0</v>
      </c>
      <c r="H203" s="42">
        <f t="shared" si="11"/>
        <v>0</v>
      </c>
      <c r="I203" s="10">
        <f t="shared" si="11"/>
        <v>0</v>
      </c>
      <c r="J203" s="10">
        <f t="shared" si="13"/>
        <v>0</v>
      </c>
      <c r="K203" s="120">
        <f t="shared" si="14"/>
        <v>475770.87525150896</v>
      </c>
    </row>
    <row r="204" spans="1:11" x14ac:dyDescent="0.25">
      <c r="A204" s="50">
        <f>'A) Base RI'!A203</f>
        <v>5724</v>
      </c>
      <c r="B204" s="33" t="str">
        <f>'A) Base RI'!B203</f>
        <v>Nyon</v>
      </c>
      <c r="C204" s="472">
        <f>'A) Base RI'!AN203</f>
        <v>21239</v>
      </c>
      <c r="D204" s="10">
        <f t="shared" si="12"/>
        <v>1000</v>
      </c>
      <c r="E204" s="472">
        <f t="shared" si="11"/>
        <v>2000</v>
      </c>
      <c r="F204" s="10">
        <f t="shared" si="11"/>
        <v>2000</v>
      </c>
      <c r="G204" s="472">
        <f t="shared" si="11"/>
        <v>4000</v>
      </c>
      <c r="H204" s="42">
        <f t="shared" si="11"/>
        <v>3000</v>
      </c>
      <c r="I204" s="10">
        <f t="shared" si="11"/>
        <v>3000</v>
      </c>
      <c r="J204" s="10">
        <f t="shared" si="13"/>
        <v>6239</v>
      </c>
      <c r="K204" s="120">
        <f t="shared" si="14"/>
        <v>16284550.653923538</v>
      </c>
    </row>
    <row r="205" spans="1:11" x14ac:dyDescent="0.25">
      <c r="A205" s="50">
        <f>'A) Base RI'!A204</f>
        <v>5725</v>
      </c>
      <c r="B205" s="33" t="str">
        <f>'A) Base RI'!B204</f>
        <v>Prangins</v>
      </c>
      <c r="C205" s="472">
        <f>'A) Base RI'!AN204</f>
        <v>4040</v>
      </c>
      <c r="D205" s="10">
        <f t="shared" si="12"/>
        <v>1000</v>
      </c>
      <c r="E205" s="472">
        <f t="shared" si="11"/>
        <v>2000</v>
      </c>
      <c r="F205" s="10">
        <f t="shared" si="11"/>
        <v>1040</v>
      </c>
      <c r="G205" s="472">
        <f t="shared" si="11"/>
        <v>0</v>
      </c>
      <c r="H205" s="42">
        <f t="shared" si="11"/>
        <v>0</v>
      </c>
      <c r="I205" s="10">
        <f t="shared" si="11"/>
        <v>0</v>
      </c>
      <c r="J205" s="10">
        <f t="shared" si="13"/>
        <v>0</v>
      </c>
      <c r="K205" s="120">
        <f t="shared" si="14"/>
        <v>1318672.0321931588</v>
      </c>
    </row>
    <row r="206" spans="1:11" x14ac:dyDescent="0.25">
      <c r="A206" s="50">
        <f>'A) Base RI'!A205</f>
        <v>5726</v>
      </c>
      <c r="B206" s="33" t="str">
        <f>'A) Base RI'!B205</f>
        <v>La Rippe</v>
      </c>
      <c r="C206" s="472">
        <f>'A) Base RI'!AN205</f>
        <v>1161</v>
      </c>
      <c r="D206" s="10">
        <f t="shared" si="12"/>
        <v>1000</v>
      </c>
      <c r="E206" s="472">
        <f t="shared" si="11"/>
        <v>161</v>
      </c>
      <c r="F206" s="10">
        <f t="shared" si="11"/>
        <v>0</v>
      </c>
      <c r="G206" s="472">
        <f t="shared" si="11"/>
        <v>0</v>
      </c>
      <c r="H206" s="42">
        <f t="shared" si="11"/>
        <v>0</v>
      </c>
      <c r="I206" s="10">
        <f t="shared" si="11"/>
        <v>0</v>
      </c>
      <c r="J206" s="10">
        <f t="shared" si="13"/>
        <v>0</v>
      </c>
      <c r="K206" s="120">
        <f t="shared" si="14"/>
        <v>156192.70623742451</v>
      </c>
    </row>
    <row r="207" spans="1:11" x14ac:dyDescent="0.25">
      <c r="A207" s="50">
        <f>'A) Base RI'!A206</f>
        <v>5727</v>
      </c>
      <c r="B207" s="33" t="str">
        <f>'A) Base RI'!B206</f>
        <v>Saint-Cergue</v>
      </c>
      <c r="C207" s="472">
        <f>'A) Base RI'!AN206</f>
        <v>2583</v>
      </c>
      <c r="D207" s="10">
        <f t="shared" si="12"/>
        <v>1000</v>
      </c>
      <c r="E207" s="472">
        <f t="shared" si="11"/>
        <v>1583</v>
      </c>
      <c r="F207" s="10">
        <f t="shared" si="11"/>
        <v>0</v>
      </c>
      <c r="G207" s="472">
        <f t="shared" si="11"/>
        <v>0</v>
      </c>
      <c r="H207" s="42">
        <f t="shared" si="11"/>
        <v>0</v>
      </c>
      <c r="I207" s="10">
        <f t="shared" si="11"/>
        <v>0</v>
      </c>
      <c r="J207" s="10">
        <f t="shared" si="13"/>
        <v>0</v>
      </c>
      <c r="K207" s="120">
        <f t="shared" si="14"/>
        <v>653392.00201207236</v>
      </c>
    </row>
    <row r="208" spans="1:11" x14ac:dyDescent="0.25">
      <c r="A208" s="50">
        <f>'A) Base RI'!A207</f>
        <v>5728</v>
      </c>
      <c r="B208" s="33" t="str">
        <f>'A) Base RI'!B207</f>
        <v>Signy-Avenex</v>
      </c>
      <c r="C208" s="472">
        <f>'A) Base RI'!AN207</f>
        <v>592</v>
      </c>
      <c r="D208" s="10">
        <f t="shared" si="12"/>
        <v>592</v>
      </c>
      <c r="E208" s="472">
        <f t="shared" si="11"/>
        <v>0</v>
      </c>
      <c r="F208" s="10">
        <f t="shared" si="11"/>
        <v>0</v>
      </c>
      <c r="G208" s="472">
        <f t="shared" ref="E208:I259" si="15">IF($C208&gt;G$4,IF($C208&lt;G$5,$C208-G$4,G$5-G$4),0)</f>
        <v>0</v>
      </c>
      <c r="H208" s="42">
        <f t="shared" si="15"/>
        <v>0</v>
      </c>
      <c r="I208" s="10">
        <f t="shared" si="15"/>
        <v>0</v>
      </c>
      <c r="J208" s="10">
        <f t="shared" si="13"/>
        <v>0</v>
      </c>
      <c r="K208" s="120">
        <f t="shared" si="14"/>
        <v>59140.442655935614</v>
      </c>
    </row>
    <row r="209" spans="1:11" x14ac:dyDescent="0.25">
      <c r="A209" s="50">
        <f>'A) Base RI'!A208</f>
        <v>5729</v>
      </c>
      <c r="B209" s="33" t="str">
        <f>'A) Base RI'!B208</f>
        <v>Tannay</v>
      </c>
      <c r="C209" s="472">
        <f>'A) Base RI'!AN208</f>
        <v>1593</v>
      </c>
      <c r="D209" s="10">
        <f t="shared" si="12"/>
        <v>1000</v>
      </c>
      <c r="E209" s="472">
        <f t="shared" si="15"/>
        <v>593</v>
      </c>
      <c r="F209" s="10">
        <f t="shared" si="15"/>
        <v>0</v>
      </c>
      <c r="G209" s="472">
        <f t="shared" si="15"/>
        <v>0</v>
      </c>
      <c r="H209" s="42">
        <f t="shared" si="15"/>
        <v>0</v>
      </c>
      <c r="I209" s="10">
        <f t="shared" si="15"/>
        <v>0</v>
      </c>
      <c r="J209" s="10">
        <f t="shared" si="13"/>
        <v>0</v>
      </c>
      <c r="K209" s="120">
        <f t="shared" si="14"/>
        <v>307240.59356136818</v>
      </c>
    </row>
    <row r="210" spans="1:11" x14ac:dyDescent="0.25">
      <c r="A210" s="50">
        <f>'A) Base RI'!A209</f>
        <v>5730</v>
      </c>
      <c r="B210" s="33" t="str">
        <f>'A) Base RI'!B209</f>
        <v>Trélex</v>
      </c>
      <c r="C210" s="472">
        <f>'A) Base RI'!AN209</f>
        <v>1408</v>
      </c>
      <c r="D210" s="10">
        <f t="shared" si="12"/>
        <v>1000</v>
      </c>
      <c r="E210" s="472">
        <f t="shared" si="15"/>
        <v>408</v>
      </c>
      <c r="F210" s="10">
        <f t="shared" si="15"/>
        <v>0</v>
      </c>
      <c r="G210" s="472">
        <f t="shared" si="15"/>
        <v>0</v>
      </c>
      <c r="H210" s="42">
        <f t="shared" si="15"/>
        <v>0</v>
      </c>
      <c r="I210" s="10">
        <f t="shared" si="15"/>
        <v>0</v>
      </c>
      <c r="J210" s="10">
        <f t="shared" si="13"/>
        <v>0</v>
      </c>
      <c r="K210" s="120">
        <f t="shared" si="14"/>
        <v>242555.7344064386</v>
      </c>
    </row>
    <row r="211" spans="1:11" x14ac:dyDescent="0.25">
      <c r="A211" s="50">
        <f>'A) Base RI'!A210</f>
        <v>5731</v>
      </c>
      <c r="B211" s="33" t="str">
        <f>'A) Base RI'!B210</f>
        <v>Le Vaud</v>
      </c>
      <c r="C211" s="472">
        <f>'A) Base RI'!AN210</f>
        <v>1319</v>
      </c>
      <c r="D211" s="10">
        <f t="shared" si="12"/>
        <v>1000</v>
      </c>
      <c r="E211" s="472">
        <f t="shared" si="15"/>
        <v>319</v>
      </c>
      <c r="F211" s="10">
        <f t="shared" si="15"/>
        <v>0</v>
      </c>
      <c r="G211" s="472">
        <f t="shared" si="15"/>
        <v>0</v>
      </c>
      <c r="H211" s="42">
        <f t="shared" si="15"/>
        <v>0</v>
      </c>
      <c r="I211" s="10">
        <f t="shared" si="15"/>
        <v>0</v>
      </c>
      <c r="J211" s="10">
        <f t="shared" si="13"/>
        <v>0</v>
      </c>
      <c r="K211" s="120">
        <f t="shared" si="14"/>
        <v>211437.0724346076</v>
      </c>
    </row>
    <row r="212" spans="1:11" x14ac:dyDescent="0.25">
      <c r="A212" s="50">
        <f>'A) Base RI'!A211</f>
        <v>5732</v>
      </c>
      <c r="B212" s="33" t="str">
        <f>'A) Base RI'!B211</f>
        <v>Vich</v>
      </c>
      <c r="C212" s="472">
        <f>'A) Base RI'!AN211</f>
        <v>1039</v>
      </c>
      <c r="D212" s="10">
        <f t="shared" si="12"/>
        <v>1000</v>
      </c>
      <c r="E212" s="472">
        <f t="shared" si="15"/>
        <v>39</v>
      </c>
      <c r="F212" s="10">
        <f t="shared" si="15"/>
        <v>0</v>
      </c>
      <c r="G212" s="472">
        <f t="shared" si="15"/>
        <v>0</v>
      </c>
      <c r="H212" s="42">
        <f t="shared" si="15"/>
        <v>0</v>
      </c>
      <c r="I212" s="10">
        <f t="shared" si="15"/>
        <v>0</v>
      </c>
      <c r="J212" s="10">
        <f t="shared" si="13"/>
        <v>0</v>
      </c>
      <c r="K212" s="120">
        <f t="shared" si="14"/>
        <v>113535.6639839034</v>
      </c>
    </row>
    <row r="213" spans="1:11" x14ac:dyDescent="0.25">
      <c r="A213" s="50">
        <f>'A) Base RI'!A212</f>
        <v>5741</v>
      </c>
      <c r="B213" s="33" t="str">
        <f>'A) Base RI'!B212</f>
        <v>L'Abergement</v>
      </c>
      <c r="C213" s="472">
        <f>'A) Base RI'!AN212</f>
        <v>248</v>
      </c>
      <c r="D213" s="10">
        <f t="shared" si="12"/>
        <v>248</v>
      </c>
      <c r="E213" s="472">
        <f t="shared" si="15"/>
        <v>0</v>
      </c>
      <c r="F213" s="10">
        <f t="shared" si="15"/>
        <v>0</v>
      </c>
      <c r="G213" s="472">
        <f t="shared" si="15"/>
        <v>0</v>
      </c>
      <c r="H213" s="42">
        <f t="shared" si="15"/>
        <v>0</v>
      </c>
      <c r="I213" s="10">
        <f t="shared" si="15"/>
        <v>0</v>
      </c>
      <c r="J213" s="10">
        <f t="shared" si="13"/>
        <v>0</v>
      </c>
      <c r="K213" s="120">
        <f t="shared" si="14"/>
        <v>24775.050301810865</v>
      </c>
    </row>
    <row r="214" spans="1:11" x14ac:dyDescent="0.25">
      <c r="A214" s="50">
        <f>'A) Base RI'!A213</f>
        <v>5742</v>
      </c>
      <c r="B214" s="33" t="str">
        <f>'A) Base RI'!B213</f>
        <v>Agiez</v>
      </c>
      <c r="C214" s="472">
        <f>'A) Base RI'!AN213</f>
        <v>327</v>
      </c>
      <c r="D214" s="10">
        <f t="shared" si="12"/>
        <v>327</v>
      </c>
      <c r="E214" s="472">
        <f t="shared" si="15"/>
        <v>0</v>
      </c>
      <c r="F214" s="10">
        <f t="shared" si="15"/>
        <v>0</v>
      </c>
      <c r="G214" s="472">
        <f t="shared" si="15"/>
        <v>0</v>
      </c>
      <c r="H214" s="42">
        <f t="shared" si="15"/>
        <v>0</v>
      </c>
      <c r="I214" s="10">
        <f t="shared" si="15"/>
        <v>0</v>
      </c>
      <c r="J214" s="10">
        <f t="shared" si="13"/>
        <v>0</v>
      </c>
      <c r="K214" s="120">
        <f t="shared" si="14"/>
        <v>32667.102615694163</v>
      </c>
    </row>
    <row r="215" spans="1:11" x14ac:dyDescent="0.25">
      <c r="A215" s="50">
        <f>'A) Base RI'!A214</f>
        <v>5743</v>
      </c>
      <c r="B215" s="33" t="str">
        <f>'A) Base RI'!B214</f>
        <v>Arnex-sur-Orbe</v>
      </c>
      <c r="C215" s="472">
        <f>'A) Base RI'!AN214</f>
        <v>631</v>
      </c>
      <c r="D215" s="10">
        <f t="shared" si="12"/>
        <v>631</v>
      </c>
      <c r="E215" s="472">
        <f t="shared" si="15"/>
        <v>0</v>
      </c>
      <c r="F215" s="10">
        <f t="shared" si="15"/>
        <v>0</v>
      </c>
      <c r="G215" s="472">
        <f t="shared" si="15"/>
        <v>0</v>
      </c>
      <c r="H215" s="42">
        <f t="shared" si="15"/>
        <v>0</v>
      </c>
      <c r="I215" s="10">
        <f t="shared" si="15"/>
        <v>0</v>
      </c>
      <c r="J215" s="10">
        <f t="shared" si="13"/>
        <v>0</v>
      </c>
      <c r="K215" s="120">
        <f t="shared" si="14"/>
        <v>63036.519114688126</v>
      </c>
    </row>
    <row r="216" spans="1:11" x14ac:dyDescent="0.25">
      <c r="A216" s="50">
        <f>'A) Base RI'!A215</f>
        <v>5744</v>
      </c>
      <c r="B216" s="33" t="str">
        <f>'A) Base RI'!B215</f>
        <v>Ballaigues</v>
      </c>
      <c r="C216" s="472">
        <f>'A) Base RI'!AN215</f>
        <v>1075</v>
      </c>
      <c r="D216" s="10">
        <f t="shared" si="12"/>
        <v>1000</v>
      </c>
      <c r="E216" s="472">
        <f t="shared" si="15"/>
        <v>75</v>
      </c>
      <c r="F216" s="10">
        <f t="shared" si="15"/>
        <v>0</v>
      </c>
      <c r="G216" s="472">
        <f t="shared" si="15"/>
        <v>0</v>
      </c>
      <c r="H216" s="42">
        <f t="shared" si="15"/>
        <v>0</v>
      </c>
      <c r="I216" s="10">
        <f t="shared" si="15"/>
        <v>0</v>
      </c>
      <c r="J216" s="10">
        <f t="shared" si="13"/>
        <v>0</v>
      </c>
      <c r="K216" s="120">
        <f t="shared" si="14"/>
        <v>126122.98792756538</v>
      </c>
    </row>
    <row r="217" spans="1:11" x14ac:dyDescent="0.25">
      <c r="A217" s="50">
        <f>'A) Base RI'!A216</f>
        <v>5745</v>
      </c>
      <c r="B217" s="33" t="str">
        <f>'A) Base RI'!B216</f>
        <v>Baulmes</v>
      </c>
      <c r="C217" s="472">
        <f>'A) Base RI'!AN216</f>
        <v>1027</v>
      </c>
      <c r="D217" s="10">
        <f t="shared" si="12"/>
        <v>1000</v>
      </c>
      <c r="E217" s="472">
        <f t="shared" si="15"/>
        <v>27</v>
      </c>
      <c r="F217" s="10">
        <f t="shared" si="15"/>
        <v>0</v>
      </c>
      <c r="G217" s="472">
        <f t="shared" si="15"/>
        <v>0</v>
      </c>
      <c r="H217" s="42">
        <f t="shared" si="15"/>
        <v>0</v>
      </c>
      <c r="I217" s="10">
        <f t="shared" si="15"/>
        <v>0</v>
      </c>
      <c r="J217" s="10">
        <f t="shared" si="13"/>
        <v>0</v>
      </c>
      <c r="K217" s="120">
        <f t="shared" si="14"/>
        <v>109339.88933601609</v>
      </c>
    </row>
    <row r="218" spans="1:11" x14ac:dyDescent="0.25">
      <c r="A218" s="50">
        <f>'A) Base RI'!A217</f>
        <v>5746</v>
      </c>
      <c r="B218" s="33" t="str">
        <f>'A) Base RI'!B217</f>
        <v>Bavois</v>
      </c>
      <c r="C218" s="472">
        <f>'A) Base RI'!AN217</f>
        <v>942</v>
      </c>
      <c r="D218" s="10">
        <f t="shared" si="12"/>
        <v>942</v>
      </c>
      <c r="E218" s="472">
        <f t="shared" si="15"/>
        <v>0</v>
      </c>
      <c r="F218" s="10">
        <f t="shared" si="15"/>
        <v>0</v>
      </c>
      <c r="G218" s="472">
        <f t="shared" si="15"/>
        <v>0</v>
      </c>
      <c r="H218" s="42">
        <f t="shared" si="15"/>
        <v>0</v>
      </c>
      <c r="I218" s="10">
        <f t="shared" si="15"/>
        <v>0</v>
      </c>
      <c r="J218" s="10">
        <f t="shared" si="13"/>
        <v>0</v>
      </c>
      <c r="K218" s="120">
        <f t="shared" si="14"/>
        <v>94105.231388329979</v>
      </c>
    </row>
    <row r="219" spans="1:11" x14ac:dyDescent="0.25">
      <c r="A219" s="50">
        <f>'A) Base RI'!A218</f>
        <v>5747</v>
      </c>
      <c r="B219" s="33" t="str">
        <f>'A) Base RI'!B218</f>
        <v>Bofflens</v>
      </c>
      <c r="C219" s="472">
        <f>'A) Base RI'!AN218</f>
        <v>196</v>
      </c>
      <c r="D219" s="10">
        <f t="shared" si="12"/>
        <v>196</v>
      </c>
      <c r="E219" s="472">
        <f t="shared" si="15"/>
        <v>0</v>
      </c>
      <c r="F219" s="10">
        <f t="shared" si="15"/>
        <v>0</v>
      </c>
      <c r="G219" s="472">
        <f t="shared" si="15"/>
        <v>0</v>
      </c>
      <c r="H219" s="42">
        <f t="shared" si="15"/>
        <v>0</v>
      </c>
      <c r="I219" s="10">
        <f t="shared" si="15"/>
        <v>0</v>
      </c>
      <c r="J219" s="10">
        <f t="shared" si="13"/>
        <v>0</v>
      </c>
      <c r="K219" s="120">
        <f t="shared" si="14"/>
        <v>19580.281690140844</v>
      </c>
    </row>
    <row r="220" spans="1:11" x14ac:dyDescent="0.25">
      <c r="A220" s="50">
        <f>'A) Base RI'!A219</f>
        <v>5748</v>
      </c>
      <c r="B220" s="33" t="str">
        <f>'A) Base RI'!B219</f>
        <v>Bretonnières</v>
      </c>
      <c r="C220" s="472">
        <f>'A) Base RI'!AN219</f>
        <v>265</v>
      </c>
      <c r="D220" s="10">
        <f t="shared" si="12"/>
        <v>265</v>
      </c>
      <c r="E220" s="472">
        <f t="shared" si="15"/>
        <v>0</v>
      </c>
      <c r="F220" s="10">
        <f t="shared" si="15"/>
        <v>0</v>
      </c>
      <c r="G220" s="472">
        <f t="shared" si="15"/>
        <v>0</v>
      </c>
      <c r="H220" s="42">
        <f t="shared" si="15"/>
        <v>0</v>
      </c>
      <c r="I220" s="10">
        <f t="shared" si="15"/>
        <v>0</v>
      </c>
      <c r="J220" s="10">
        <f t="shared" si="13"/>
        <v>0</v>
      </c>
      <c r="K220" s="120">
        <f t="shared" si="14"/>
        <v>26473.340040241448</v>
      </c>
    </row>
    <row r="221" spans="1:11" x14ac:dyDescent="0.25">
      <c r="A221" s="50">
        <f>'A) Base RI'!A220</f>
        <v>5749</v>
      </c>
      <c r="B221" s="33" t="str">
        <f>'A) Base RI'!B220</f>
        <v>Chavornay</v>
      </c>
      <c r="C221" s="472">
        <f>'A) Base RI'!AN220</f>
        <v>4996</v>
      </c>
      <c r="D221" s="10">
        <f t="shared" si="12"/>
        <v>1000</v>
      </c>
      <c r="E221" s="472">
        <f t="shared" si="15"/>
        <v>2000</v>
      </c>
      <c r="F221" s="10">
        <f t="shared" si="15"/>
        <v>1996</v>
      </c>
      <c r="G221" s="472">
        <f t="shared" si="15"/>
        <v>0</v>
      </c>
      <c r="H221" s="42">
        <f t="shared" si="15"/>
        <v>0</v>
      </c>
      <c r="I221" s="10">
        <f t="shared" si="15"/>
        <v>0</v>
      </c>
      <c r="J221" s="10">
        <f t="shared" si="13"/>
        <v>0</v>
      </c>
      <c r="K221" s="120">
        <f t="shared" si="14"/>
        <v>1796191.1468812875</v>
      </c>
    </row>
    <row r="222" spans="1:11" x14ac:dyDescent="0.25">
      <c r="A222" s="50">
        <f>'A) Base RI'!A221</f>
        <v>5750</v>
      </c>
      <c r="B222" s="33" t="str">
        <f>'A) Base RI'!B221</f>
        <v>Les Clées</v>
      </c>
      <c r="C222" s="472">
        <f>'A) Base RI'!AN221</f>
        <v>185</v>
      </c>
      <c r="D222" s="10">
        <f t="shared" si="12"/>
        <v>185</v>
      </c>
      <c r="E222" s="472">
        <f t="shared" si="15"/>
        <v>0</v>
      </c>
      <c r="F222" s="10">
        <f t="shared" si="15"/>
        <v>0</v>
      </c>
      <c r="G222" s="472">
        <f t="shared" si="15"/>
        <v>0</v>
      </c>
      <c r="H222" s="42">
        <f t="shared" si="15"/>
        <v>0</v>
      </c>
      <c r="I222" s="10">
        <f t="shared" si="15"/>
        <v>0</v>
      </c>
      <c r="J222" s="10">
        <f t="shared" si="13"/>
        <v>0</v>
      </c>
      <c r="K222" s="120">
        <f t="shared" si="14"/>
        <v>18481.38832997988</v>
      </c>
    </row>
    <row r="223" spans="1:11" x14ac:dyDescent="0.25">
      <c r="A223" s="50">
        <f>'A) Base RI'!A222</f>
        <v>5752</v>
      </c>
      <c r="B223" s="33" t="str">
        <f>'A) Base RI'!B222</f>
        <v>Croy</v>
      </c>
      <c r="C223" s="472">
        <f>'A) Base RI'!AN222</f>
        <v>404</v>
      </c>
      <c r="D223" s="10">
        <f t="shared" si="12"/>
        <v>404</v>
      </c>
      <c r="E223" s="472">
        <f t="shared" si="15"/>
        <v>0</v>
      </c>
      <c r="F223" s="10">
        <f t="shared" si="15"/>
        <v>0</v>
      </c>
      <c r="G223" s="472">
        <f t="shared" si="15"/>
        <v>0</v>
      </c>
      <c r="H223" s="42">
        <f t="shared" si="15"/>
        <v>0</v>
      </c>
      <c r="I223" s="10">
        <f t="shared" si="15"/>
        <v>0</v>
      </c>
      <c r="J223" s="10">
        <f t="shared" si="13"/>
        <v>0</v>
      </c>
      <c r="K223" s="120">
        <f t="shared" si="14"/>
        <v>40359.356136820927</v>
      </c>
    </row>
    <row r="224" spans="1:11" x14ac:dyDescent="0.25">
      <c r="A224" s="50">
        <f>'A) Base RI'!A223</f>
        <v>5754</v>
      </c>
      <c r="B224" s="33" t="str">
        <f>'A) Base RI'!B223</f>
        <v>Juriens</v>
      </c>
      <c r="C224" s="472">
        <f>'A) Base RI'!AN223</f>
        <v>308</v>
      </c>
      <c r="D224" s="10">
        <f t="shared" si="12"/>
        <v>308</v>
      </c>
      <c r="E224" s="472">
        <f t="shared" si="15"/>
        <v>0</v>
      </c>
      <c r="F224" s="10">
        <f t="shared" si="15"/>
        <v>0</v>
      </c>
      <c r="G224" s="472">
        <f t="shared" si="15"/>
        <v>0</v>
      </c>
      <c r="H224" s="42">
        <f t="shared" si="15"/>
        <v>0</v>
      </c>
      <c r="I224" s="10">
        <f t="shared" si="15"/>
        <v>0</v>
      </c>
      <c r="J224" s="10">
        <f t="shared" si="13"/>
        <v>0</v>
      </c>
      <c r="K224" s="120">
        <f t="shared" si="14"/>
        <v>30769.014084507042</v>
      </c>
    </row>
    <row r="225" spans="1:11" x14ac:dyDescent="0.25">
      <c r="A225" s="50">
        <f>'A) Base RI'!A224</f>
        <v>5755</v>
      </c>
      <c r="B225" s="33" t="str">
        <f>'A) Base RI'!B224</f>
        <v>Lignerolle</v>
      </c>
      <c r="C225" s="472">
        <f>'A) Base RI'!AN224</f>
        <v>422</v>
      </c>
      <c r="D225" s="10">
        <f t="shared" si="12"/>
        <v>422</v>
      </c>
      <c r="E225" s="472">
        <f t="shared" si="15"/>
        <v>0</v>
      </c>
      <c r="F225" s="10">
        <f t="shared" si="15"/>
        <v>0</v>
      </c>
      <c r="G225" s="472">
        <f t="shared" si="15"/>
        <v>0</v>
      </c>
      <c r="H225" s="42">
        <f t="shared" si="15"/>
        <v>0</v>
      </c>
      <c r="I225" s="10">
        <f t="shared" si="15"/>
        <v>0</v>
      </c>
      <c r="J225" s="10">
        <f t="shared" si="13"/>
        <v>0</v>
      </c>
      <c r="K225" s="120">
        <f t="shared" si="14"/>
        <v>42157.54527162978</v>
      </c>
    </row>
    <row r="226" spans="1:11" x14ac:dyDescent="0.25">
      <c r="A226" s="50">
        <f>'A) Base RI'!A225</f>
        <v>5756</v>
      </c>
      <c r="B226" s="33" t="str">
        <f>'A) Base RI'!B225</f>
        <v>Montcherand</v>
      </c>
      <c r="C226" s="472">
        <f>'A) Base RI'!AN225</f>
        <v>489</v>
      </c>
      <c r="D226" s="10">
        <f t="shared" si="12"/>
        <v>489</v>
      </c>
      <c r="E226" s="472">
        <f t="shared" si="15"/>
        <v>0</v>
      </c>
      <c r="F226" s="10">
        <f t="shared" si="15"/>
        <v>0</v>
      </c>
      <c r="G226" s="472">
        <f t="shared" si="15"/>
        <v>0</v>
      </c>
      <c r="H226" s="42">
        <f t="shared" si="15"/>
        <v>0</v>
      </c>
      <c r="I226" s="10">
        <f t="shared" si="15"/>
        <v>0</v>
      </c>
      <c r="J226" s="10">
        <f t="shared" si="13"/>
        <v>0</v>
      </c>
      <c r="K226" s="120">
        <f t="shared" si="14"/>
        <v>48850.804828973844</v>
      </c>
    </row>
    <row r="227" spans="1:11" x14ac:dyDescent="0.25">
      <c r="A227" s="50">
        <f>'A) Base RI'!A226</f>
        <v>5757</v>
      </c>
      <c r="B227" s="33" t="str">
        <f>'A) Base RI'!B226</f>
        <v>Orbe</v>
      </c>
      <c r="C227" s="472">
        <f>'A) Base RI'!AN226</f>
        <v>6942</v>
      </c>
      <c r="D227" s="10">
        <f t="shared" si="12"/>
        <v>1000</v>
      </c>
      <c r="E227" s="472">
        <f t="shared" si="15"/>
        <v>2000</v>
      </c>
      <c r="F227" s="10">
        <f t="shared" si="15"/>
        <v>2000</v>
      </c>
      <c r="G227" s="472">
        <f t="shared" si="15"/>
        <v>1942</v>
      </c>
      <c r="H227" s="42">
        <f t="shared" si="15"/>
        <v>0</v>
      </c>
      <c r="I227" s="10">
        <f t="shared" si="15"/>
        <v>0</v>
      </c>
      <c r="J227" s="10">
        <f t="shared" si="13"/>
        <v>0</v>
      </c>
      <c r="K227" s="120">
        <f t="shared" si="14"/>
        <v>2962216.9014084507</v>
      </c>
    </row>
    <row r="228" spans="1:11" x14ac:dyDescent="0.25">
      <c r="A228" s="50">
        <f>'A) Base RI'!A227</f>
        <v>5758</v>
      </c>
      <c r="B228" s="33" t="str">
        <f>'A) Base RI'!B227</f>
        <v>La Praz</v>
      </c>
      <c r="C228" s="472">
        <f>'A) Base RI'!AN227</f>
        <v>165</v>
      </c>
      <c r="D228" s="10">
        <f t="shared" si="12"/>
        <v>165</v>
      </c>
      <c r="E228" s="472">
        <f t="shared" si="15"/>
        <v>0</v>
      </c>
      <c r="F228" s="10">
        <f t="shared" si="15"/>
        <v>0</v>
      </c>
      <c r="G228" s="472">
        <f t="shared" si="15"/>
        <v>0</v>
      </c>
      <c r="H228" s="42">
        <f t="shared" si="15"/>
        <v>0</v>
      </c>
      <c r="I228" s="10">
        <f t="shared" si="15"/>
        <v>0</v>
      </c>
      <c r="J228" s="10">
        <f t="shared" si="13"/>
        <v>0</v>
      </c>
      <c r="K228" s="120">
        <f t="shared" si="14"/>
        <v>16483.400402414485</v>
      </c>
    </row>
    <row r="229" spans="1:11" x14ac:dyDescent="0.25">
      <c r="A229" s="50">
        <f>'A) Base RI'!A228</f>
        <v>5759</v>
      </c>
      <c r="B229" s="33" t="str">
        <f>'A) Base RI'!B228</f>
        <v>Premier</v>
      </c>
      <c r="C229" s="472">
        <f>'A) Base RI'!AN228</f>
        <v>213</v>
      </c>
      <c r="D229" s="10">
        <f t="shared" si="12"/>
        <v>213</v>
      </c>
      <c r="E229" s="472">
        <f t="shared" si="15"/>
        <v>0</v>
      </c>
      <c r="F229" s="10">
        <f t="shared" si="15"/>
        <v>0</v>
      </c>
      <c r="G229" s="472">
        <f t="shared" si="15"/>
        <v>0</v>
      </c>
      <c r="H229" s="42">
        <f t="shared" si="15"/>
        <v>0</v>
      </c>
      <c r="I229" s="10">
        <f t="shared" si="15"/>
        <v>0</v>
      </c>
      <c r="J229" s="10">
        <f t="shared" si="13"/>
        <v>0</v>
      </c>
      <c r="K229" s="120">
        <f t="shared" si="14"/>
        <v>21278.571428571428</v>
      </c>
    </row>
    <row r="230" spans="1:11" x14ac:dyDescent="0.25">
      <c r="A230" s="50">
        <f>'A) Base RI'!A229</f>
        <v>5760</v>
      </c>
      <c r="B230" s="33" t="str">
        <f>'A) Base RI'!B229</f>
        <v>Rances</v>
      </c>
      <c r="C230" s="472">
        <f>'A) Base RI'!AN229</f>
        <v>482</v>
      </c>
      <c r="D230" s="10">
        <f t="shared" si="12"/>
        <v>482</v>
      </c>
      <c r="E230" s="472">
        <f t="shared" si="15"/>
        <v>0</v>
      </c>
      <c r="F230" s="10">
        <f t="shared" si="15"/>
        <v>0</v>
      </c>
      <c r="G230" s="472">
        <f t="shared" si="15"/>
        <v>0</v>
      </c>
      <c r="H230" s="42">
        <f t="shared" si="15"/>
        <v>0</v>
      </c>
      <c r="I230" s="10">
        <f t="shared" si="15"/>
        <v>0</v>
      </c>
      <c r="J230" s="10">
        <f t="shared" si="13"/>
        <v>0</v>
      </c>
      <c r="K230" s="120">
        <f t="shared" si="14"/>
        <v>48151.509054325958</v>
      </c>
    </row>
    <row r="231" spans="1:11" x14ac:dyDescent="0.25">
      <c r="A231" s="50">
        <f>'A) Base RI'!A230</f>
        <v>5761</v>
      </c>
      <c r="B231" s="33" t="str">
        <f>'A) Base RI'!B230</f>
        <v>Romainmôtier-Envy</v>
      </c>
      <c r="C231" s="472">
        <f>'A) Base RI'!AN230</f>
        <v>540</v>
      </c>
      <c r="D231" s="10">
        <f t="shared" si="12"/>
        <v>540</v>
      </c>
      <c r="E231" s="472">
        <f t="shared" si="15"/>
        <v>0</v>
      </c>
      <c r="F231" s="10">
        <f t="shared" si="15"/>
        <v>0</v>
      </c>
      <c r="G231" s="472">
        <f t="shared" si="15"/>
        <v>0</v>
      </c>
      <c r="H231" s="42">
        <f t="shared" si="15"/>
        <v>0</v>
      </c>
      <c r="I231" s="10">
        <f t="shared" si="15"/>
        <v>0</v>
      </c>
      <c r="J231" s="10">
        <f t="shared" si="13"/>
        <v>0</v>
      </c>
      <c r="K231" s="120">
        <f t="shared" si="14"/>
        <v>53945.674044265594</v>
      </c>
    </row>
    <row r="232" spans="1:11" x14ac:dyDescent="0.25">
      <c r="A232" s="50">
        <f>'A) Base RI'!A231</f>
        <v>5762</v>
      </c>
      <c r="B232" s="33" t="str">
        <f>'A) Base RI'!B231</f>
        <v>Sergey</v>
      </c>
      <c r="C232" s="472">
        <f>'A) Base RI'!AN231</f>
        <v>146</v>
      </c>
      <c r="D232" s="10">
        <f t="shared" si="12"/>
        <v>146</v>
      </c>
      <c r="E232" s="472">
        <f t="shared" si="15"/>
        <v>0</v>
      </c>
      <c r="F232" s="10">
        <f t="shared" si="15"/>
        <v>0</v>
      </c>
      <c r="G232" s="472">
        <f t="shared" si="15"/>
        <v>0</v>
      </c>
      <c r="H232" s="42">
        <f t="shared" si="15"/>
        <v>0</v>
      </c>
      <c r="I232" s="10">
        <f t="shared" si="15"/>
        <v>0</v>
      </c>
      <c r="J232" s="10">
        <f t="shared" si="13"/>
        <v>0</v>
      </c>
      <c r="K232" s="120">
        <f t="shared" si="14"/>
        <v>14585.311871227364</v>
      </c>
    </row>
    <row r="233" spans="1:11" x14ac:dyDescent="0.25">
      <c r="A233" s="50">
        <f>'A) Base RI'!A232</f>
        <v>5763</v>
      </c>
      <c r="B233" s="33" t="str">
        <f>'A) Base RI'!B232</f>
        <v>Valeyres-sous-Rances</v>
      </c>
      <c r="C233" s="472">
        <f>'A) Base RI'!AN232</f>
        <v>622</v>
      </c>
      <c r="D233" s="10">
        <f t="shared" si="12"/>
        <v>622</v>
      </c>
      <c r="E233" s="472">
        <f t="shared" si="15"/>
        <v>0</v>
      </c>
      <c r="F233" s="10">
        <f t="shared" si="15"/>
        <v>0</v>
      </c>
      <c r="G233" s="472">
        <f t="shared" si="15"/>
        <v>0</v>
      </c>
      <c r="H233" s="42">
        <f t="shared" si="15"/>
        <v>0</v>
      </c>
      <c r="I233" s="10">
        <f t="shared" si="15"/>
        <v>0</v>
      </c>
      <c r="J233" s="10">
        <f t="shared" si="13"/>
        <v>0</v>
      </c>
      <c r="K233" s="120">
        <f t="shared" si="14"/>
        <v>62137.424547283699</v>
      </c>
    </row>
    <row r="234" spans="1:11" x14ac:dyDescent="0.25">
      <c r="A234" s="50">
        <f>'A) Base RI'!A233</f>
        <v>5764</v>
      </c>
      <c r="B234" s="33" t="str">
        <f>'A) Base RI'!B233</f>
        <v>Vallorbe</v>
      </c>
      <c r="C234" s="472">
        <f>'A) Base RI'!AN233</f>
        <v>3852</v>
      </c>
      <c r="D234" s="10">
        <f t="shared" si="12"/>
        <v>1000</v>
      </c>
      <c r="E234" s="472">
        <f t="shared" si="15"/>
        <v>2000</v>
      </c>
      <c r="F234" s="10">
        <f t="shared" si="15"/>
        <v>852</v>
      </c>
      <c r="G234" s="472">
        <f t="shared" si="15"/>
        <v>0</v>
      </c>
      <c r="H234" s="42">
        <f t="shared" si="15"/>
        <v>0</v>
      </c>
      <c r="I234" s="10">
        <f t="shared" si="15"/>
        <v>0</v>
      </c>
      <c r="J234" s="10">
        <f t="shared" si="13"/>
        <v>0</v>
      </c>
      <c r="K234" s="120">
        <f t="shared" si="14"/>
        <v>1224766.5995975854</v>
      </c>
    </row>
    <row r="235" spans="1:11" x14ac:dyDescent="0.25">
      <c r="A235" s="50">
        <f>'A) Base RI'!A234</f>
        <v>5765</v>
      </c>
      <c r="B235" s="33" t="str">
        <f>'A) Base RI'!B234</f>
        <v>Vaulion</v>
      </c>
      <c r="C235" s="472">
        <f>'A) Base RI'!AN234</f>
        <v>469</v>
      </c>
      <c r="D235" s="10">
        <f t="shared" ref="D235:D298" si="16">IF($C235&gt;D$4,IF($C235&lt;D$5,$C235-D$4,D$5-D$4),0)</f>
        <v>469</v>
      </c>
      <c r="E235" s="472">
        <f t="shared" si="15"/>
        <v>0</v>
      </c>
      <c r="F235" s="10">
        <f t="shared" si="15"/>
        <v>0</v>
      </c>
      <c r="G235" s="472">
        <f t="shared" si="15"/>
        <v>0</v>
      </c>
      <c r="H235" s="42">
        <f t="shared" si="15"/>
        <v>0</v>
      </c>
      <c r="I235" s="10">
        <f t="shared" si="15"/>
        <v>0</v>
      </c>
      <c r="J235" s="10">
        <f t="shared" si="13"/>
        <v>0</v>
      </c>
      <c r="K235" s="120">
        <f t="shared" si="14"/>
        <v>46852.816901408449</v>
      </c>
    </row>
    <row r="236" spans="1:11" x14ac:dyDescent="0.25">
      <c r="A236" s="50">
        <f>'A) Base RI'!A235</f>
        <v>5766</v>
      </c>
      <c r="B236" s="33" t="str">
        <f>'A) Base RI'!B235</f>
        <v>Vuiteboeuf</v>
      </c>
      <c r="C236" s="472">
        <f>'A) Base RI'!AN235</f>
        <v>584</v>
      </c>
      <c r="D236" s="10">
        <f t="shared" si="16"/>
        <v>584</v>
      </c>
      <c r="E236" s="472">
        <f t="shared" si="15"/>
        <v>0</v>
      </c>
      <c r="F236" s="10">
        <f t="shared" si="15"/>
        <v>0</v>
      </c>
      <c r="G236" s="472">
        <f t="shared" si="15"/>
        <v>0</v>
      </c>
      <c r="H236" s="42">
        <f t="shared" si="15"/>
        <v>0</v>
      </c>
      <c r="I236" s="10">
        <f t="shared" si="15"/>
        <v>0</v>
      </c>
      <c r="J236" s="10">
        <f t="shared" si="13"/>
        <v>0</v>
      </c>
      <c r="K236" s="120">
        <f t="shared" si="14"/>
        <v>58341.247484909458</v>
      </c>
    </row>
    <row r="237" spans="1:11" x14ac:dyDescent="0.25">
      <c r="A237" s="50">
        <f>'A) Base RI'!A236</f>
        <v>5785</v>
      </c>
      <c r="B237" s="33" t="str">
        <f>'A) Base RI'!B236</f>
        <v>Corcelles-le-Jorat</v>
      </c>
      <c r="C237" s="472">
        <f>'A) Base RI'!AN236</f>
        <v>445</v>
      </c>
      <c r="D237" s="10">
        <f t="shared" si="16"/>
        <v>445</v>
      </c>
      <c r="E237" s="472">
        <f t="shared" si="15"/>
        <v>0</v>
      </c>
      <c r="F237" s="10">
        <f t="shared" si="15"/>
        <v>0</v>
      </c>
      <c r="G237" s="472">
        <f t="shared" si="15"/>
        <v>0</v>
      </c>
      <c r="H237" s="42">
        <f t="shared" si="15"/>
        <v>0</v>
      </c>
      <c r="I237" s="10">
        <f t="shared" si="15"/>
        <v>0</v>
      </c>
      <c r="J237" s="10">
        <f t="shared" si="13"/>
        <v>0</v>
      </c>
      <c r="K237" s="120">
        <f t="shared" si="14"/>
        <v>44455.231388329979</v>
      </c>
    </row>
    <row r="238" spans="1:11" x14ac:dyDescent="0.25">
      <c r="A238" s="50">
        <f>'A) Base RI'!A237</f>
        <v>5788</v>
      </c>
      <c r="B238" s="33" t="str">
        <f>'A) Base RI'!B237</f>
        <v>Essertes</v>
      </c>
      <c r="C238" s="472">
        <f>'A) Base RI'!AN237</f>
        <v>374</v>
      </c>
      <c r="D238" s="10">
        <f t="shared" si="16"/>
        <v>374</v>
      </c>
      <c r="E238" s="472">
        <f t="shared" si="15"/>
        <v>0</v>
      </c>
      <c r="F238" s="10">
        <f t="shared" si="15"/>
        <v>0</v>
      </c>
      <c r="G238" s="472">
        <f t="shared" si="15"/>
        <v>0</v>
      </c>
      <c r="H238" s="42">
        <f t="shared" si="15"/>
        <v>0</v>
      </c>
      <c r="I238" s="10">
        <f t="shared" si="15"/>
        <v>0</v>
      </c>
      <c r="J238" s="10">
        <f t="shared" si="13"/>
        <v>0</v>
      </c>
      <c r="K238" s="120">
        <f t="shared" si="14"/>
        <v>37362.374245472834</v>
      </c>
    </row>
    <row r="239" spans="1:11" x14ac:dyDescent="0.25">
      <c r="A239" s="50">
        <f>'A) Base RI'!A238</f>
        <v>5790</v>
      </c>
      <c r="B239" s="33" t="str">
        <f>'A) Base RI'!B238</f>
        <v>Maracon</v>
      </c>
      <c r="C239" s="472">
        <f>'A) Base RI'!AN238</f>
        <v>492</v>
      </c>
      <c r="D239" s="10">
        <f t="shared" si="16"/>
        <v>492</v>
      </c>
      <c r="E239" s="472">
        <f t="shared" si="15"/>
        <v>0</v>
      </c>
      <c r="F239" s="10">
        <f t="shared" si="15"/>
        <v>0</v>
      </c>
      <c r="G239" s="472">
        <f t="shared" si="15"/>
        <v>0</v>
      </c>
      <c r="H239" s="42">
        <f t="shared" si="15"/>
        <v>0</v>
      </c>
      <c r="I239" s="10">
        <f t="shared" si="15"/>
        <v>0</v>
      </c>
      <c r="J239" s="10">
        <f t="shared" si="13"/>
        <v>0</v>
      </c>
      <c r="K239" s="120">
        <f t="shared" si="14"/>
        <v>49150.503018108648</v>
      </c>
    </row>
    <row r="240" spans="1:11" x14ac:dyDescent="0.25">
      <c r="A240" s="50">
        <f>'A) Base RI'!A239</f>
        <v>5792</v>
      </c>
      <c r="B240" s="33" t="str">
        <f>'A) Base RI'!B239</f>
        <v>Montpreveyres</v>
      </c>
      <c r="C240" s="472">
        <f>'A) Base RI'!AN239</f>
        <v>643</v>
      </c>
      <c r="D240" s="10">
        <f t="shared" si="16"/>
        <v>643</v>
      </c>
      <c r="E240" s="472">
        <f t="shared" si="15"/>
        <v>0</v>
      </c>
      <c r="F240" s="10">
        <f t="shared" si="15"/>
        <v>0</v>
      </c>
      <c r="G240" s="472">
        <f t="shared" si="15"/>
        <v>0</v>
      </c>
      <c r="H240" s="42">
        <f t="shared" si="15"/>
        <v>0</v>
      </c>
      <c r="I240" s="10">
        <f t="shared" si="15"/>
        <v>0</v>
      </c>
      <c r="J240" s="10">
        <f t="shared" si="13"/>
        <v>0</v>
      </c>
      <c r="K240" s="120">
        <f t="shared" si="14"/>
        <v>64235.311871227364</v>
      </c>
    </row>
    <row r="241" spans="1:11" x14ac:dyDescent="0.25">
      <c r="A241" s="50">
        <f>'A) Base RI'!A240</f>
        <v>5798</v>
      </c>
      <c r="B241" s="33" t="str">
        <f>'A) Base RI'!B240</f>
        <v>Ropraz</v>
      </c>
      <c r="C241" s="472">
        <f>'A) Base RI'!AN240</f>
        <v>494</v>
      </c>
      <c r="D241" s="10">
        <f t="shared" si="16"/>
        <v>494</v>
      </c>
      <c r="E241" s="472">
        <f t="shared" si="15"/>
        <v>0</v>
      </c>
      <c r="F241" s="10">
        <f t="shared" si="15"/>
        <v>0</v>
      </c>
      <c r="G241" s="472">
        <f t="shared" si="15"/>
        <v>0</v>
      </c>
      <c r="H241" s="42">
        <f t="shared" si="15"/>
        <v>0</v>
      </c>
      <c r="I241" s="10">
        <f t="shared" si="15"/>
        <v>0</v>
      </c>
      <c r="J241" s="10">
        <f t="shared" si="13"/>
        <v>0</v>
      </c>
      <c r="K241" s="120">
        <f t="shared" si="14"/>
        <v>49350.301810865189</v>
      </c>
    </row>
    <row r="242" spans="1:11" x14ac:dyDescent="0.25">
      <c r="A242" s="50">
        <f>'A) Base RI'!A241</f>
        <v>5799</v>
      </c>
      <c r="B242" s="33" t="str">
        <f>'A) Base RI'!B241</f>
        <v>Servion</v>
      </c>
      <c r="C242" s="472">
        <f>'A) Base RI'!AN241</f>
        <v>1942</v>
      </c>
      <c r="D242" s="10">
        <f t="shared" si="16"/>
        <v>1000</v>
      </c>
      <c r="E242" s="472">
        <f t="shared" si="15"/>
        <v>942</v>
      </c>
      <c r="F242" s="10">
        <f t="shared" si="15"/>
        <v>0</v>
      </c>
      <c r="G242" s="472">
        <f t="shared" si="15"/>
        <v>0</v>
      </c>
      <c r="H242" s="42">
        <f t="shared" si="15"/>
        <v>0</v>
      </c>
      <c r="I242" s="10">
        <f t="shared" si="15"/>
        <v>0</v>
      </c>
      <c r="J242" s="10">
        <f t="shared" si="13"/>
        <v>0</v>
      </c>
      <c r="K242" s="120">
        <f t="shared" si="14"/>
        <v>429267.70623742446</v>
      </c>
    </row>
    <row r="243" spans="1:11" x14ac:dyDescent="0.25">
      <c r="A243" s="50">
        <f>'A) Base RI'!A242</f>
        <v>5803</v>
      </c>
      <c r="B243" s="33" t="str">
        <f>'A) Base RI'!B242</f>
        <v>Vulliens</v>
      </c>
      <c r="C243" s="472">
        <f>'A) Base RI'!AN242</f>
        <v>595</v>
      </c>
      <c r="D243" s="10">
        <f t="shared" si="16"/>
        <v>595</v>
      </c>
      <c r="E243" s="472">
        <f t="shared" si="15"/>
        <v>0</v>
      </c>
      <c r="F243" s="10">
        <f t="shared" si="15"/>
        <v>0</v>
      </c>
      <c r="G243" s="472">
        <f t="shared" si="15"/>
        <v>0</v>
      </c>
      <c r="H243" s="42">
        <f t="shared" si="15"/>
        <v>0</v>
      </c>
      <c r="I243" s="10">
        <f t="shared" si="15"/>
        <v>0</v>
      </c>
      <c r="J243" s="10">
        <f t="shared" si="13"/>
        <v>0</v>
      </c>
      <c r="K243" s="120">
        <f t="shared" si="14"/>
        <v>59440.140845070418</v>
      </c>
    </row>
    <row r="244" spans="1:11" x14ac:dyDescent="0.25">
      <c r="A244" s="50">
        <f>'A) Base RI'!A243</f>
        <v>5804</v>
      </c>
      <c r="B244" s="33" t="str">
        <f>'A) Base RI'!B243</f>
        <v>Jorat-Menthue</v>
      </c>
      <c r="C244" s="472">
        <f>'A) Base RI'!AN243</f>
        <v>1586</v>
      </c>
      <c r="D244" s="10">
        <f t="shared" si="16"/>
        <v>1000</v>
      </c>
      <c r="E244" s="472">
        <f t="shared" si="15"/>
        <v>586</v>
      </c>
      <c r="F244" s="10">
        <f t="shared" si="15"/>
        <v>0</v>
      </c>
      <c r="G244" s="472">
        <f t="shared" si="15"/>
        <v>0</v>
      </c>
      <c r="H244" s="42">
        <f t="shared" si="15"/>
        <v>0</v>
      </c>
      <c r="I244" s="10">
        <f t="shared" si="15"/>
        <v>0</v>
      </c>
      <c r="J244" s="10">
        <f t="shared" si="13"/>
        <v>0</v>
      </c>
      <c r="K244" s="120">
        <f t="shared" si="14"/>
        <v>304793.05835010059</v>
      </c>
    </row>
    <row r="245" spans="1:11" x14ac:dyDescent="0.25">
      <c r="A245" s="50">
        <f>'A) Base RI'!A244</f>
        <v>5805</v>
      </c>
      <c r="B245" s="33" t="str">
        <f>'A) Base RI'!B244</f>
        <v>Oron</v>
      </c>
      <c r="C245" s="472">
        <f>'A) Base RI'!AN244</f>
        <v>5501</v>
      </c>
      <c r="D245" s="10">
        <f t="shared" si="16"/>
        <v>1000</v>
      </c>
      <c r="E245" s="472">
        <f t="shared" si="15"/>
        <v>2000</v>
      </c>
      <c r="F245" s="10">
        <f t="shared" si="15"/>
        <v>2000</v>
      </c>
      <c r="G245" s="472">
        <f t="shared" si="15"/>
        <v>501</v>
      </c>
      <c r="H245" s="42">
        <f t="shared" si="15"/>
        <v>0</v>
      </c>
      <c r="I245" s="10">
        <f t="shared" si="15"/>
        <v>0</v>
      </c>
      <c r="J245" s="10">
        <f t="shared" si="13"/>
        <v>0</v>
      </c>
      <c r="K245" s="120">
        <f t="shared" si="14"/>
        <v>2098486.7203219314</v>
      </c>
    </row>
    <row r="246" spans="1:11" x14ac:dyDescent="0.25">
      <c r="A246" s="50">
        <f>'A) Base RI'!A245</f>
        <v>5806</v>
      </c>
      <c r="B246" s="33" t="str">
        <f>'A) Base RI'!B245</f>
        <v>Jorat-Mézières</v>
      </c>
      <c r="C246" s="472">
        <f>'A) Base RI'!AN245</f>
        <v>2869</v>
      </c>
      <c r="D246" s="10">
        <f t="shared" si="16"/>
        <v>1000</v>
      </c>
      <c r="E246" s="472">
        <f t="shared" si="15"/>
        <v>1869</v>
      </c>
      <c r="F246" s="10">
        <f t="shared" si="15"/>
        <v>0</v>
      </c>
      <c r="G246" s="472">
        <f t="shared" si="15"/>
        <v>0</v>
      </c>
      <c r="H246" s="42">
        <f t="shared" si="15"/>
        <v>0</v>
      </c>
      <c r="I246" s="10">
        <f t="shared" si="15"/>
        <v>0</v>
      </c>
      <c r="J246" s="10">
        <f t="shared" si="13"/>
        <v>0</v>
      </c>
      <c r="K246" s="120">
        <f t="shared" si="14"/>
        <v>753391.29778672033</v>
      </c>
    </row>
    <row r="247" spans="1:11" x14ac:dyDescent="0.25">
      <c r="A247" s="50">
        <f>'A) Base RI'!A246</f>
        <v>5812</v>
      </c>
      <c r="B247" s="33" t="str">
        <f>'A) Base RI'!B246</f>
        <v>Champtauroz</v>
      </c>
      <c r="C247" s="472">
        <f>'A) Base RI'!AN246</f>
        <v>122</v>
      </c>
      <c r="D247" s="10">
        <f t="shared" si="16"/>
        <v>122</v>
      </c>
      <c r="E247" s="472">
        <f t="shared" si="15"/>
        <v>0</v>
      </c>
      <c r="F247" s="10">
        <f t="shared" si="15"/>
        <v>0</v>
      </c>
      <c r="G247" s="472">
        <f t="shared" si="15"/>
        <v>0</v>
      </c>
      <c r="H247" s="42">
        <f t="shared" si="15"/>
        <v>0</v>
      </c>
      <c r="I247" s="10">
        <f t="shared" si="15"/>
        <v>0</v>
      </c>
      <c r="J247" s="10">
        <f t="shared" si="13"/>
        <v>0</v>
      </c>
      <c r="K247" s="120">
        <f t="shared" si="14"/>
        <v>12187.726358148893</v>
      </c>
    </row>
    <row r="248" spans="1:11" x14ac:dyDescent="0.25">
      <c r="A248" s="50">
        <f>'A) Base RI'!A247</f>
        <v>5813</v>
      </c>
      <c r="B248" s="33" t="str">
        <f>'A) Base RI'!B247</f>
        <v>Chevroux</v>
      </c>
      <c r="C248" s="472">
        <f>'A) Base RI'!AN247</f>
        <v>480</v>
      </c>
      <c r="D248" s="10">
        <f t="shared" si="16"/>
        <v>480</v>
      </c>
      <c r="E248" s="472">
        <f t="shared" si="15"/>
        <v>0</v>
      </c>
      <c r="F248" s="10">
        <f t="shared" si="15"/>
        <v>0</v>
      </c>
      <c r="G248" s="472">
        <f t="shared" si="15"/>
        <v>0</v>
      </c>
      <c r="H248" s="42">
        <f t="shared" si="15"/>
        <v>0</v>
      </c>
      <c r="I248" s="10">
        <f t="shared" si="15"/>
        <v>0</v>
      </c>
      <c r="J248" s="10">
        <f t="shared" si="13"/>
        <v>0</v>
      </c>
      <c r="K248" s="120">
        <f t="shared" si="14"/>
        <v>47951.710261569417</v>
      </c>
    </row>
    <row r="249" spans="1:11" x14ac:dyDescent="0.25">
      <c r="A249" s="50">
        <f>'A) Base RI'!A248</f>
        <v>5816</v>
      </c>
      <c r="B249" s="33" t="str">
        <f>'A) Base RI'!B248</f>
        <v>Corcelles-près-Payerne</v>
      </c>
      <c r="C249" s="472">
        <f>'A) Base RI'!AN248</f>
        <v>2479</v>
      </c>
      <c r="D249" s="10">
        <f t="shared" si="16"/>
        <v>1000</v>
      </c>
      <c r="E249" s="472">
        <f t="shared" si="15"/>
        <v>1479</v>
      </c>
      <c r="F249" s="10">
        <f t="shared" si="15"/>
        <v>0</v>
      </c>
      <c r="G249" s="472">
        <f t="shared" si="15"/>
        <v>0</v>
      </c>
      <c r="H249" s="42">
        <f t="shared" si="15"/>
        <v>0</v>
      </c>
      <c r="I249" s="10">
        <f t="shared" si="15"/>
        <v>0</v>
      </c>
      <c r="J249" s="10">
        <f t="shared" si="13"/>
        <v>0</v>
      </c>
      <c r="K249" s="120">
        <f t="shared" si="14"/>
        <v>617028.6217303822</v>
      </c>
    </row>
    <row r="250" spans="1:11" x14ac:dyDescent="0.25">
      <c r="A250" s="50">
        <f>'A) Base RI'!A249</f>
        <v>5817</v>
      </c>
      <c r="B250" s="33" t="str">
        <f>'A) Base RI'!B249</f>
        <v>Grandcour</v>
      </c>
      <c r="C250" s="472">
        <f>'A) Base RI'!AN249</f>
        <v>929</v>
      </c>
      <c r="D250" s="10">
        <f t="shared" si="16"/>
        <v>929</v>
      </c>
      <c r="E250" s="472">
        <f t="shared" si="15"/>
        <v>0</v>
      </c>
      <c r="F250" s="10">
        <f t="shared" si="15"/>
        <v>0</v>
      </c>
      <c r="G250" s="472">
        <f t="shared" si="15"/>
        <v>0</v>
      </c>
      <c r="H250" s="42">
        <f t="shared" si="15"/>
        <v>0</v>
      </c>
      <c r="I250" s="10">
        <f t="shared" si="15"/>
        <v>0</v>
      </c>
      <c r="J250" s="10">
        <f t="shared" si="13"/>
        <v>0</v>
      </c>
      <c r="K250" s="120">
        <f t="shared" si="14"/>
        <v>92806.539235412478</v>
      </c>
    </row>
    <row r="251" spans="1:11" x14ac:dyDescent="0.25">
      <c r="A251" s="50">
        <f>'A) Base RI'!A250</f>
        <v>5819</v>
      </c>
      <c r="B251" s="33" t="str">
        <f>'A) Base RI'!B250</f>
        <v>Henniez</v>
      </c>
      <c r="C251" s="472">
        <f>'A) Base RI'!AN250</f>
        <v>341</v>
      </c>
      <c r="D251" s="10">
        <f t="shared" si="16"/>
        <v>341</v>
      </c>
      <c r="E251" s="472">
        <f t="shared" si="15"/>
        <v>0</v>
      </c>
      <c r="F251" s="10">
        <f t="shared" si="15"/>
        <v>0</v>
      </c>
      <c r="G251" s="472">
        <f t="shared" si="15"/>
        <v>0</v>
      </c>
      <c r="H251" s="42">
        <f t="shared" si="15"/>
        <v>0</v>
      </c>
      <c r="I251" s="10">
        <f t="shared" si="15"/>
        <v>0</v>
      </c>
      <c r="J251" s="10">
        <f t="shared" si="13"/>
        <v>0</v>
      </c>
      <c r="K251" s="120">
        <f t="shared" si="14"/>
        <v>34065.694164989938</v>
      </c>
    </row>
    <row r="252" spans="1:11" x14ac:dyDescent="0.25">
      <c r="A252" s="50">
        <f>'A) Base RI'!A251</f>
        <v>5821</v>
      </c>
      <c r="B252" s="33" t="str">
        <f>'A) Base RI'!B251</f>
        <v>Missy</v>
      </c>
      <c r="C252" s="472">
        <f>'A) Base RI'!AN251</f>
        <v>368</v>
      </c>
      <c r="D252" s="10">
        <f t="shared" si="16"/>
        <v>368</v>
      </c>
      <c r="E252" s="472">
        <f t="shared" si="15"/>
        <v>0</v>
      </c>
      <c r="F252" s="10">
        <f t="shared" si="15"/>
        <v>0</v>
      </c>
      <c r="G252" s="472">
        <f t="shared" si="15"/>
        <v>0</v>
      </c>
      <c r="H252" s="42">
        <f t="shared" si="15"/>
        <v>0</v>
      </c>
      <c r="I252" s="10">
        <f t="shared" si="15"/>
        <v>0</v>
      </c>
      <c r="J252" s="10">
        <f t="shared" si="13"/>
        <v>0</v>
      </c>
      <c r="K252" s="120">
        <f t="shared" si="14"/>
        <v>36762.977867203219</v>
      </c>
    </row>
    <row r="253" spans="1:11" x14ac:dyDescent="0.25">
      <c r="A253" s="50">
        <f>'A) Base RI'!A252</f>
        <v>5822</v>
      </c>
      <c r="B253" s="33" t="str">
        <f>'A) Base RI'!B252</f>
        <v>Payerne</v>
      </c>
      <c r="C253" s="472">
        <f>'A) Base RI'!AN252</f>
        <v>9971</v>
      </c>
      <c r="D253" s="10">
        <f t="shared" si="16"/>
        <v>1000</v>
      </c>
      <c r="E253" s="472">
        <f t="shared" si="15"/>
        <v>2000</v>
      </c>
      <c r="F253" s="10">
        <f t="shared" si="15"/>
        <v>2000</v>
      </c>
      <c r="G253" s="472">
        <f t="shared" si="15"/>
        <v>4000</v>
      </c>
      <c r="H253" s="42">
        <f t="shared" si="15"/>
        <v>971</v>
      </c>
      <c r="I253" s="10">
        <f t="shared" si="15"/>
        <v>0</v>
      </c>
      <c r="J253" s="10">
        <f t="shared" si="13"/>
        <v>0</v>
      </c>
      <c r="K253" s="120">
        <f t="shared" si="14"/>
        <v>5020294.3158953711</v>
      </c>
    </row>
    <row r="254" spans="1:11" x14ac:dyDescent="0.25">
      <c r="A254" s="50">
        <f>'A) Base RI'!A253</f>
        <v>5827</v>
      </c>
      <c r="B254" s="33" t="str">
        <f>'A) Base RI'!B253</f>
        <v>Trey</v>
      </c>
      <c r="C254" s="472">
        <f>'A) Base RI'!AN253</f>
        <v>267</v>
      </c>
      <c r="D254" s="10">
        <f t="shared" si="16"/>
        <v>267</v>
      </c>
      <c r="E254" s="472">
        <f t="shared" si="15"/>
        <v>0</v>
      </c>
      <c r="F254" s="10">
        <f t="shared" si="15"/>
        <v>0</v>
      </c>
      <c r="G254" s="472">
        <f t="shared" si="15"/>
        <v>0</v>
      </c>
      <c r="H254" s="42">
        <f t="shared" si="15"/>
        <v>0</v>
      </c>
      <c r="I254" s="10">
        <f t="shared" si="15"/>
        <v>0</v>
      </c>
      <c r="J254" s="10">
        <f t="shared" si="13"/>
        <v>0</v>
      </c>
      <c r="K254" s="120">
        <f t="shared" si="14"/>
        <v>26673.138832997985</v>
      </c>
    </row>
    <row r="255" spans="1:11" x14ac:dyDescent="0.25">
      <c r="A255" s="50">
        <f>'A) Base RI'!A254</f>
        <v>5828</v>
      </c>
      <c r="B255" s="33" t="str">
        <f>'A) Base RI'!B254</f>
        <v>Treytorrens (Payerne)</v>
      </c>
      <c r="C255" s="472">
        <f>'A) Base RI'!AN254</f>
        <v>119</v>
      </c>
      <c r="D255" s="10">
        <f t="shared" si="16"/>
        <v>119</v>
      </c>
      <c r="E255" s="472">
        <f t="shared" si="15"/>
        <v>0</v>
      </c>
      <c r="F255" s="10">
        <f t="shared" si="15"/>
        <v>0</v>
      </c>
      <c r="G255" s="472">
        <f t="shared" si="15"/>
        <v>0</v>
      </c>
      <c r="H255" s="42">
        <f t="shared" si="15"/>
        <v>0</v>
      </c>
      <c r="I255" s="10">
        <f t="shared" si="15"/>
        <v>0</v>
      </c>
      <c r="J255" s="10">
        <f t="shared" si="13"/>
        <v>0</v>
      </c>
      <c r="K255" s="120">
        <f t="shared" si="14"/>
        <v>11888.028169014084</v>
      </c>
    </row>
    <row r="256" spans="1:11" x14ac:dyDescent="0.25">
      <c r="A256" s="50">
        <f>'A) Base RI'!A255</f>
        <v>5830</v>
      </c>
      <c r="B256" s="33" t="str">
        <f>'A) Base RI'!B255</f>
        <v>Villarzel</v>
      </c>
      <c r="C256" s="472">
        <f>'A) Base RI'!AN255</f>
        <v>446</v>
      </c>
      <c r="D256" s="10">
        <f t="shared" si="16"/>
        <v>446</v>
      </c>
      <c r="E256" s="472">
        <f t="shared" si="15"/>
        <v>0</v>
      </c>
      <c r="F256" s="10">
        <f t="shared" si="15"/>
        <v>0</v>
      </c>
      <c r="G256" s="472">
        <f t="shared" si="15"/>
        <v>0</v>
      </c>
      <c r="H256" s="42">
        <f t="shared" si="15"/>
        <v>0</v>
      </c>
      <c r="I256" s="10">
        <f t="shared" si="15"/>
        <v>0</v>
      </c>
      <c r="J256" s="10">
        <f t="shared" si="13"/>
        <v>0</v>
      </c>
      <c r="K256" s="120">
        <f t="shared" si="14"/>
        <v>44555.13078470825</v>
      </c>
    </row>
    <row r="257" spans="1:11" x14ac:dyDescent="0.25">
      <c r="A257" s="50">
        <f>'A) Base RI'!A256</f>
        <v>5831</v>
      </c>
      <c r="B257" s="33" t="str">
        <f>'A) Base RI'!B256</f>
        <v>Valbroye</v>
      </c>
      <c r="C257" s="472">
        <f>'A) Base RI'!AN256</f>
        <v>3174</v>
      </c>
      <c r="D257" s="10">
        <f t="shared" si="16"/>
        <v>1000</v>
      </c>
      <c r="E257" s="472">
        <f t="shared" si="15"/>
        <v>2000</v>
      </c>
      <c r="F257" s="10">
        <f t="shared" si="15"/>
        <v>174</v>
      </c>
      <c r="G257" s="472">
        <f t="shared" si="15"/>
        <v>0</v>
      </c>
      <c r="H257" s="42">
        <f t="shared" si="15"/>
        <v>0</v>
      </c>
      <c r="I257" s="10">
        <f t="shared" si="15"/>
        <v>0</v>
      </c>
      <c r="J257" s="10">
        <f t="shared" si="13"/>
        <v>0</v>
      </c>
      <c r="K257" s="120">
        <f t="shared" si="14"/>
        <v>886107.64587525139</v>
      </c>
    </row>
    <row r="258" spans="1:11" x14ac:dyDescent="0.25">
      <c r="A258" s="50">
        <f>'A) Base RI'!A257</f>
        <v>5841</v>
      </c>
      <c r="B258" s="33" t="str">
        <f>'A) Base RI'!B257</f>
        <v>Château-d'Oex</v>
      </c>
      <c r="C258" s="472">
        <f>'A) Base RI'!AN257</f>
        <v>3460</v>
      </c>
      <c r="D258" s="10">
        <f t="shared" si="16"/>
        <v>1000</v>
      </c>
      <c r="E258" s="472">
        <f t="shared" si="15"/>
        <v>2000</v>
      </c>
      <c r="F258" s="10">
        <f t="shared" si="15"/>
        <v>460</v>
      </c>
      <c r="G258" s="472">
        <f t="shared" si="15"/>
        <v>0</v>
      </c>
      <c r="H258" s="42">
        <f t="shared" si="15"/>
        <v>0</v>
      </c>
      <c r="I258" s="10">
        <f t="shared" si="15"/>
        <v>0</v>
      </c>
      <c r="J258" s="10">
        <f t="shared" si="13"/>
        <v>0</v>
      </c>
      <c r="K258" s="120">
        <f t="shared" si="14"/>
        <v>1028963.782696177</v>
      </c>
    </row>
    <row r="259" spans="1:11" x14ac:dyDescent="0.25">
      <c r="A259" s="50">
        <f>'A) Base RI'!A258</f>
        <v>5842</v>
      </c>
      <c r="B259" s="33" t="str">
        <f>'A) Base RI'!B258</f>
        <v>Rossinière</v>
      </c>
      <c r="C259" s="472">
        <f>'A) Base RI'!AN258</f>
        <v>548</v>
      </c>
      <c r="D259" s="10">
        <f t="shared" si="16"/>
        <v>548</v>
      </c>
      <c r="E259" s="472">
        <f t="shared" si="15"/>
        <v>0</v>
      </c>
      <c r="F259" s="10">
        <f t="shared" si="15"/>
        <v>0</v>
      </c>
      <c r="G259" s="472">
        <f t="shared" ref="E259:I310" si="17">IF($C259&gt;G$4,IF($C259&lt;G$5,$C259-G$4,G$5-G$4),0)</f>
        <v>0</v>
      </c>
      <c r="H259" s="42">
        <f t="shared" si="17"/>
        <v>0</v>
      </c>
      <c r="I259" s="10">
        <f t="shared" si="17"/>
        <v>0</v>
      </c>
      <c r="J259" s="10">
        <f t="shared" si="13"/>
        <v>0</v>
      </c>
      <c r="K259" s="120">
        <f t="shared" si="14"/>
        <v>54744.86921529175</v>
      </c>
    </row>
    <row r="260" spans="1:11" x14ac:dyDescent="0.25">
      <c r="A260" s="50">
        <f>'A) Base RI'!A259</f>
        <v>5843</v>
      </c>
      <c r="B260" s="33" t="str">
        <f>'A) Base RI'!B259</f>
        <v>Rougemont</v>
      </c>
      <c r="C260" s="472">
        <f>'A) Base RI'!AN259</f>
        <v>882</v>
      </c>
      <c r="D260" s="10">
        <f t="shared" si="16"/>
        <v>882</v>
      </c>
      <c r="E260" s="472">
        <f t="shared" si="17"/>
        <v>0</v>
      </c>
      <c r="F260" s="10">
        <f t="shared" si="17"/>
        <v>0</v>
      </c>
      <c r="G260" s="472">
        <f t="shared" si="17"/>
        <v>0</v>
      </c>
      <c r="H260" s="42">
        <f t="shared" si="17"/>
        <v>0</v>
      </c>
      <c r="I260" s="10">
        <f t="shared" si="17"/>
        <v>0</v>
      </c>
      <c r="J260" s="10">
        <f t="shared" si="13"/>
        <v>0</v>
      </c>
      <c r="K260" s="120">
        <f t="shared" si="14"/>
        <v>88111.267605633795</v>
      </c>
    </row>
    <row r="261" spans="1:11" x14ac:dyDescent="0.25">
      <c r="A261" s="50">
        <f>'A) Base RI'!A260</f>
        <v>5851</v>
      </c>
      <c r="B261" s="33" t="str">
        <f>'A) Base RI'!B260</f>
        <v>Allaman</v>
      </c>
      <c r="C261" s="472">
        <f>'A) Base RI'!AN260</f>
        <v>434</v>
      </c>
      <c r="D261" s="10">
        <f t="shared" si="16"/>
        <v>434</v>
      </c>
      <c r="E261" s="472">
        <f t="shared" si="17"/>
        <v>0</v>
      </c>
      <c r="F261" s="10">
        <f t="shared" si="17"/>
        <v>0</v>
      </c>
      <c r="G261" s="472">
        <f t="shared" si="17"/>
        <v>0</v>
      </c>
      <c r="H261" s="42">
        <f t="shared" si="17"/>
        <v>0</v>
      </c>
      <c r="I261" s="10">
        <f t="shared" si="17"/>
        <v>0</v>
      </c>
      <c r="J261" s="10">
        <f t="shared" si="13"/>
        <v>0</v>
      </c>
      <c r="K261" s="120">
        <f t="shared" si="14"/>
        <v>43356.338028169012</v>
      </c>
    </row>
    <row r="262" spans="1:11" x14ac:dyDescent="0.25">
      <c r="A262" s="50">
        <f>'A) Base RI'!A261</f>
        <v>5852</v>
      </c>
      <c r="B262" s="33" t="str">
        <f>'A) Base RI'!B261</f>
        <v>Bursinel</v>
      </c>
      <c r="C262" s="472">
        <f>'A) Base RI'!AN261</f>
        <v>471</v>
      </c>
      <c r="D262" s="10">
        <f t="shared" si="16"/>
        <v>471</v>
      </c>
      <c r="E262" s="472">
        <f t="shared" si="17"/>
        <v>0</v>
      </c>
      <c r="F262" s="10">
        <f t="shared" si="17"/>
        <v>0</v>
      </c>
      <c r="G262" s="472">
        <f t="shared" si="17"/>
        <v>0</v>
      </c>
      <c r="H262" s="42">
        <f t="shared" si="17"/>
        <v>0</v>
      </c>
      <c r="I262" s="10">
        <f t="shared" si="17"/>
        <v>0</v>
      </c>
      <c r="J262" s="10">
        <f t="shared" si="13"/>
        <v>0</v>
      </c>
      <c r="K262" s="120">
        <f t="shared" si="14"/>
        <v>47052.61569416499</v>
      </c>
    </row>
    <row r="263" spans="1:11" x14ac:dyDescent="0.25">
      <c r="A263" s="50">
        <f>'A) Base RI'!A262</f>
        <v>5853</v>
      </c>
      <c r="B263" s="33" t="str">
        <f>'A) Base RI'!B262</f>
        <v>Bursins</v>
      </c>
      <c r="C263" s="472">
        <f>'A) Base RI'!AN262</f>
        <v>752</v>
      </c>
      <c r="D263" s="10">
        <f t="shared" si="16"/>
        <v>752</v>
      </c>
      <c r="E263" s="472">
        <f t="shared" si="17"/>
        <v>0</v>
      </c>
      <c r="F263" s="10">
        <f t="shared" si="17"/>
        <v>0</v>
      </c>
      <c r="G263" s="472">
        <f t="shared" si="17"/>
        <v>0</v>
      </c>
      <c r="H263" s="42">
        <f t="shared" si="17"/>
        <v>0</v>
      </c>
      <c r="I263" s="10">
        <f t="shared" si="17"/>
        <v>0</v>
      </c>
      <c r="J263" s="10">
        <f t="shared" si="13"/>
        <v>0</v>
      </c>
      <c r="K263" s="120">
        <f t="shared" si="14"/>
        <v>75124.346076458751</v>
      </c>
    </row>
    <row r="264" spans="1:11" x14ac:dyDescent="0.25">
      <c r="A264" s="50">
        <f>'A) Base RI'!A263</f>
        <v>5854</v>
      </c>
      <c r="B264" s="33" t="str">
        <f>'A) Base RI'!B263</f>
        <v>Burtigny</v>
      </c>
      <c r="C264" s="472">
        <f>'A) Base RI'!AN263</f>
        <v>391</v>
      </c>
      <c r="D264" s="10">
        <f t="shared" si="16"/>
        <v>391</v>
      </c>
      <c r="E264" s="472">
        <f t="shared" si="17"/>
        <v>0</v>
      </c>
      <c r="F264" s="10">
        <f t="shared" si="17"/>
        <v>0</v>
      </c>
      <c r="G264" s="472">
        <f t="shared" si="17"/>
        <v>0</v>
      </c>
      <c r="H264" s="42">
        <f t="shared" si="17"/>
        <v>0</v>
      </c>
      <c r="I264" s="10">
        <f t="shared" si="17"/>
        <v>0</v>
      </c>
      <c r="J264" s="10">
        <f t="shared" si="13"/>
        <v>0</v>
      </c>
      <c r="K264" s="120">
        <f t="shared" si="14"/>
        <v>39060.663983903418</v>
      </c>
    </row>
    <row r="265" spans="1:11" x14ac:dyDescent="0.25">
      <c r="A265" s="50">
        <f>'A) Base RI'!A264</f>
        <v>5855</v>
      </c>
      <c r="B265" s="33" t="str">
        <f>'A) Base RI'!B264</f>
        <v>Dully</v>
      </c>
      <c r="C265" s="472">
        <f>'A) Base RI'!AN264</f>
        <v>635</v>
      </c>
      <c r="D265" s="10">
        <f t="shared" si="16"/>
        <v>635</v>
      </c>
      <c r="E265" s="472">
        <f t="shared" si="17"/>
        <v>0</v>
      </c>
      <c r="F265" s="10">
        <f t="shared" si="17"/>
        <v>0</v>
      </c>
      <c r="G265" s="472">
        <f t="shared" si="17"/>
        <v>0</v>
      </c>
      <c r="H265" s="42">
        <f t="shared" si="17"/>
        <v>0</v>
      </c>
      <c r="I265" s="10">
        <f t="shared" si="17"/>
        <v>0</v>
      </c>
      <c r="J265" s="10">
        <f t="shared" ref="J265:J316" si="18">IF(C265&gt;$J$4,C265-$J$4,0)</f>
        <v>0</v>
      </c>
      <c r="K265" s="120">
        <f t="shared" ref="K265:K316" si="19">(D265*D$7)+(E265*E$7)+(F265*F$7)+(G265*G$7)+(H265*H$7)+(I265*I$7)+(J265*J$7)</f>
        <v>63436.116700201208</v>
      </c>
    </row>
    <row r="266" spans="1:11" x14ac:dyDescent="0.25">
      <c r="A266" s="50">
        <f>'A) Base RI'!A265</f>
        <v>5856</v>
      </c>
      <c r="B266" s="33" t="str">
        <f>'A) Base RI'!B265</f>
        <v>Essertines-sur-Rolle</v>
      </c>
      <c r="C266" s="472">
        <f>'A) Base RI'!AN265</f>
        <v>726</v>
      </c>
      <c r="D266" s="10">
        <f t="shared" si="16"/>
        <v>726</v>
      </c>
      <c r="E266" s="472">
        <f t="shared" si="17"/>
        <v>0</v>
      </c>
      <c r="F266" s="10">
        <f t="shared" si="17"/>
        <v>0</v>
      </c>
      <c r="G266" s="472">
        <f t="shared" si="17"/>
        <v>0</v>
      </c>
      <c r="H266" s="42">
        <f t="shared" si="17"/>
        <v>0</v>
      </c>
      <c r="I266" s="10">
        <f t="shared" si="17"/>
        <v>0</v>
      </c>
      <c r="J266" s="10">
        <f t="shared" si="18"/>
        <v>0</v>
      </c>
      <c r="K266" s="120">
        <f t="shared" si="19"/>
        <v>72526.961770623733</v>
      </c>
    </row>
    <row r="267" spans="1:11" x14ac:dyDescent="0.25">
      <c r="A267" s="50">
        <f>'A) Base RI'!A266</f>
        <v>5857</v>
      </c>
      <c r="B267" s="33" t="str">
        <f>'A) Base RI'!B266</f>
        <v>Gilly</v>
      </c>
      <c r="C267" s="472">
        <f>'A) Base RI'!AN266</f>
        <v>1324</v>
      </c>
      <c r="D267" s="10">
        <f t="shared" si="16"/>
        <v>1000</v>
      </c>
      <c r="E267" s="472">
        <f t="shared" si="17"/>
        <v>324</v>
      </c>
      <c r="F267" s="10">
        <f t="shared" si="17"/>
        <v>0</v>
      </c>
      <c r="G267" s="472">
        <f t="shared" si="17"/>
        <v>0</v>
      </c>
      <c r="H267" s="42">
        <f t="shared" si="17"/>
        <v>0</v>
      </c>
      <c r="I267" s="10">
        <f t="shared" si="17"/>
        <v>0</v>
      </c>
      <c r="J267" s="10">
        <f t="shared" si="18"/>
        <v>0</v>
      </c>
      <c r="K267" s="120">
        <f t="shared" si="19"/>
        <v>213185.31187122734</v>
      </c>
    </row>
    <row r="268" spans="1:11" x14ac:dyDescent="0.25">
      <c r="A268" s="50">
        <f>'A) Base RI'!A267</f>
        <v>5858</v>
      </c>
      <c r="B268" s="33" t="str">
        <f>'A) Base RI'!B267</f>
        <v>Luins</v>
      </c>
      <c r="C268" s="472">
        <f>'A) Base RI'!AN267</f>
        <v>613</v>
      </c>
      <c r="D268" s="10">
        <f t="shared" si="16"/>
        <v>613</v>
      </c>
      <c r="E268" s="472">
        <f t="shared" si="17"/>
        <v>0</v>
      </c>
      <c r="F268" s="10">
        <f t="shared" si="17"/>
        <v>0</v>
      </c>
      <c r="G268" s="472">
        <f t="shared" si="17"/>
        <v>0</v>
      </c>
      <c r="H268" s="42">
        <f t="shared" si="17"/>
        <v>0</v>
      </c>
      <c r="I268" s="10">
        <f t="shared" si="17"/>
        <v>0</v>
      </c>
      <c r="J268" s="10">
        <f t="shared" si="18"/>
        <v>0</v>
      </c>
      <c r="K268" s="120">
        <f t="shared" si="19"/>
        <v>61238.329979879272</v>
      </c>
    </row>
    <row r="269" spans="1:11" x14ac:dyDescent="0.25">
      <c r="A269" s="50">
        <f>'A) Base RI'!A268</f>
        <v>5859</v>
      </c>
      <c r="B269" s="33" t="str">
        <f>'A) Base RI'!B268</f>
        <v>Mont-sur-Rolle</v>
      </c>
      <c r="C269" s="472">
        <f>'A) Base RI'!AN268</f>
        <v>2651</v>
      </c>
      <c r="D269" s="10">
        <f t="shared" si="16"/>
        <v>1000</v>
      </c>
      <c r="E269" s="472">
        <f t="shared" si="17"/>
        <v>1651</v>
      </c>
      <c r="F269" s="10">
        <f t="shared" si="17"/>
        <v>0</v>
      </c>
      <c r="G269" s="472">
        <f t="shared" si="17"/>
        <v>0</v>
      </c>
      <c r="H269" s="42">
        <f t="shared" si="17"/>
        <v>0</v>
      </c>
      <c r="I269" s="10">
        <f t="shared" si="17"/>
        <v>0</v>
      </c>
      <c r="J269" s="10">
        <f t="shared" si="18"/>
        <v>0</v>
      </c>
      <c r="K269" s="120">
        <f t="shared" si="19"/>
        <v>677168.05835010053</v>
      </c>
    </row>
    <row r="270" spans="1:11" x14ac:dyDescent="0.25">
      <c r="A270" s="50">
        <f>'A) Base RI'!A269</f>
        <v>5860</v>
      </c>
      <c r="B270" s="33" t="str">
        <f>'A) Base RI'!B269</f>
        <v>Perroy</v>
      </c>
      <c r="C270" s="472">
        <f>'A) Base RI'!AN269</f>
        <v>1542</v>
      </c>
      <c r="D270" s="10">
        <f t="shared" si="16"/>
        <v>1000</v>
      </c>
      <c r="E270" s="472">
        <f t="shared" si="17"/>
        <v>542</v>
      </c>
      <c r="F270" s="10">
        <f t="shared" si="17"/>
        <v>0</v>
      </c>
      <c r="G270" s="472">
        <f t="shared" si="17"/>
        <v>0</v>
      </c>
      <c r="H270" s="42">
        <f t="shared" si="17"/>
        <v>0</v>
      </c>
      <c r="I270" s="10">
        <f t="shared" si="17"/>
        <v>0</v>
      </c>
      <c r="J270" s="10">
        <f t="shared" si="18"/>
        <v>0</v>
      </c>
      <c r="K270" s="120">
        <f t="shared" si="19"/>
        <v>289408.55130784702</v>
      </c>
    </row>
    <row r="271" spans="1:11" x14ac:dyDescent="0.25">
      <c r="A271" s="50">
        <f>'A) Base RI'!A270</f>
        <v>5861</v>
      </c>
      <c r="B271" s="33" t="str">
        <f>'A) Base RI'!B270</f>
        <v>Rolle</v>
      </c>
      <c r="C271" s="472">
        <f>'A) Base RI'!AN270</f>
        <v>6246</v>
      </c>
      <c r="D271" s="10">
        <f t="shared" si="16"/>
        <v>1000</v>
      </c>
      <c r="E271" s="472">
        <f t="shared" si="17"/>
        <v>2000</v>
      </c>
      <c r="F271" s="10">
        <f t="shared" si="17"/>
        <v>2000</v>
      </c>
      <c r="G271" s="472">
        <f t="shared" si="17"/>
        <v>1246</v>
      </c>
      <c r="H271" s="42">
        <f t="shared" si="17"/>
        <v>0</v>
      </c>
      <c r="I271" s="10">
        <f t="shared" si="17"/>
        <v>0</v>
      </c>
      <c r="J271" s="10">
        <f t="shared" si="18"/>
        <v>0</v>
      </c>
      <c r="K271" s="120">
        <f t="shared" si="19"/>
        <v>2545037.0221327962</v>
      </c>
    </row>
    <row r="272" spans="1:11" x14ac:dyDescent="0.25">
      <c r="A272" s="50">
        <f>'A) Base RI'!A271</f>
        <v>5862</v>
      </c>
      <c r="B272" s="33" t="str">
        <f>'A) Base RI'!B271</f>
        <v>Tartegnin</v>
      </c>
      <c r="C272" s="472">
        <f>'A) Base RI'!AN271</f>
        <v>246</v>
      </c>
      <c r="D272" s="10">
        <f t="shared" si="16"/>
        <v>246</v>
      </c>
      <c r="E272" s="472">
        <f t="shared" si="17"/>
        <v>0</v>
      </c>
      <c r="F272" s="10">
        <f t="shared" si="17"/>
        <v>0</v>
      </c>
      <c r="G272" s="472">
        <f t="shared" si="17"/>
        <v>0</v>
      </c>
      <c r="H272" s="42">
        <f t="shared" si="17"/>
        <v>0</v>
      </c>
      <c r="I272" s="10">
        <f t="shared" si="17"/>
        <v>0</v>
      </c>
      <c r="J272" s="10">
        <f t="shared" si="18"/>
        <v>0</v>
      </c>
      <c r="K272" s="120">
        <f t="shared" si="19"/>
        <v>24575.251509054324</v>
      </c>
    </row>
    <row r="273" spans="1:11" x14ac:dyDescent="0.25">
      <c r="A273" s="50">
        <f>'A) Base RI'!A272</f>
        <v>5863</v>
      </c>
      <c r="B273" s="33" t="str">
        <f>'A) Base RI'!B272</f>
        <v>Vinzel</v>
      </c>
      <c r="C273" s="472">
        <f>'A) Base RI'!AN272</f>
        <v>358</v>
      </c>
      <c r="D273" s="10">
        <f t="shared" si="16"/>
        <v>358</v>
      </c>
      <c r="E273" s="472">
        <f t="shared" si="17"/>
        <v>0</v>
      </c>
      <c r="F273" s="10">
        <f t="shared" si="17"/>
        <v>0</v>
      </c>
      <c r="G273" s="472">
        <f t="shared" si="17"/>
        <v>0</v>
      </c>
      <c r="H273" s="42">
        <f t="shared" si="17"/>
        <v>0</v>
      </c>
      <c r="I273" s="10">
        <f t="shared" si="17"/>
        <v>0</v>
      </c>
      <c r="J273" s="10">
        <f t="shared" si="18"/>
        <v>0</v>
      </c>
      <c r="K273" s="120">
        <f t="shared" si="19"/>
        <v>35763.983903420522</v>
      </c>
    </row>
    <row r="274" spans="1:11" x14ac:dyDescent="0.25">
      <c r="A274" s="50">
        <f>'A) Base RI'!A273</f>
        <v>5871</v>
      </c>
      <c r="B274" s="33" t="str">
        <f>'A) Base RI'!B273</f>
        <v>L'Abbaye</v>
      </c>
      <c r="C274" s="472">
        <f>'A) Base RI'!AN273</f>
        <v>1481</v>
      </c>
      <c r="D274" s="10">
        <f t="shared" si="16"/>
        <v>1000</v>
      </c>
      <c r="E274" s="472">
        <f t="shared" si="17"/>
        <v>481</v>
      </c>
      <c r="F274" s="10">
        <f t="shared" si="17"/>
        <v>0</v>
      </c>
      <c r="G274" s="472">
        <f t="shared" si="17"/>
        <v>0</v>
      </c>
      <c r="H274" s="42">
        <f t="shared" si="17"/>
        <v>0</v>
      </c>
      <c r="I274" s="10">
        <f t="shared" si="17"/>
        <v>0</v>
      </c>
      <c r="J274" s="10">
        <f t="shared" si="18"/>
        <v>0</v>
      </c>
      <c r="K274" s="120">
        <f t="shared" si="19"/>
        <v>268080.03018108651</v>
      </c>
    </row>
    <row r="275" spans="1:11" x14ac:dyDescent="0.25">
      <c r="A275" s="50">
        <f>'A) Base RI'!A274</f>
        <v>5872</v>
      </c>
      <c r="B275" s="33" t="str">
        <f>'A) Base RI'!B274</f>
        <v>Le Chenit</v>
      </c>
      <c r="C275" s="472">
        <f>'A) Base RI'!AN274</f>
        <v>4605</v>
      </c>
      <c r="D275" s="10">
        <f t="shared" si="16"/>
        <v>1000</v>
      </c>
      <c r="E275" s="472">
        <f t="shared" si="17"/>
        <v>2000</v>
      </c>
      <c r="F275" s="10">
        <f t="shared" si="17"/>
        <v>1605</v>
      </c>
      <c r="G275" s="472">
        <f t="shared" si="17"/>
        <v>0</v>
      </c>
      <c r="H275" s="42">
        <f t="shared" si="17"/>
        <v>0</v>
      </c>
      <c r="I275" s="10">
        <f t="shared" si="17"/>
        <v>0</v>
      </c>
      <c r="J275" s="10">
        <f t="shared" si="18"/>
        <v>0</v>
      </c>
      <c r="K275" s="120">
        <f t="shared" si="19"/>
        <v>1600887.8269617704</v>
      </c>
    </row>
    <row r="276" spans="1:11" x14ac:dyDescent="0.25">
      <c r="A276" s="50">
        <f>'A) Base RI'!A275</f>
        <v>5873</v>
      </c>
      <c r="B276" s="33" t="str">
        <f>'A) Base RI'!B275</f>
        <v>Le Lieu</v>
      </c>
      <c r="C276" s="472">
        <f>'A) Base RI'!AN275</f>
        <v>875</v>
      </c>
      <c r="D276" s="10">
        <f t="shared" si="16"/>
        <v>875</v>
      </c>
      <c r="E276" s="472">
        <f t="shared" si="17"/>
        <v>0</v>
      </c>
      <c r="F276" s="10">
        <f t="shared" si="17"/>
        <v>0</v>
      </c>
      <c r="G276" s="472">
        <f t="shared" si="17"/>
        <v>0</v>
      </c>
      <c r="H276" s="42">
        <f t="shared" si="17"/>
        <v>0</v>
      </c>
      <c r="I276" s="10">
        <f t="shared" si="17"/>
        <v>0</v>
      </c>
      <c r="J276" s="10">
        <f t="shared" si="18"/>
        <v>0</v>
      </c>
      <c r="K276" s="120">
        <f t="shared" si="19"/>
        <v>87411.971830985916</v>
      </c>
    </row>
    <row r="277" spans="1:11" x14ac:dyDescent="0.25">
      <c r="A277" s="50">
        <f>'A) Base RI'!A276</f>
        <v>5881</v>
      </c>
      <c r="B277" s="33" t="str">
        <f>'A) Base RI'!B276</f>
        <v>Blonay</v>
      </c>
      <c r="C277" s="472">
        <f>'A) Base RI'!AN276</f>
        <v>6175</v>
      </c>
      <c r="D277" s="10">
        <f t="shared" si="16"/>
        <v>1000</v>
      </c>
      <c r="E277" s="472">
        <f t="shared" si="17"/>
        <v>2000</v>
      </c>
      <c r="F277" s="10">
        <f t="shared" si="17"/>
        <v>2000</v>
      </c>
      <c r="G277" s="472">
        <f t="shared" si="17"/>
        <v>1175</v>
      </c>
      <c r="H277" s="42">
        <f t="shared" si="17"/>
        <v>0</v>
      </c>
      <c r="I277" s="10">
        <f t="shared" si="17"/>
        <v>0</v>
      </c>
      <c r="J277" s="10">
        <f t="shared" si="18"/>
        <v>0</v>
      </c>
      <c r="K277" s="120">
        <f t="shared" si="19"/>
        <v>2502479.8792756535</v>
      </c>
    </row>
    <row r="278" spans="1:11" x14ac:dyDescent="0.25">
      <c r="A278" s="50">
        <f>'A) Base RI'!A277</f>
        <v>5882</v>
      </c>
      <c r="B278" s="33" t="str">
        <f>'A) Base RI'!B277</f>
        <v>Chardonne</v>
      </c>
      <c r="C278" s="472">
        <f>'A) Base RI'!AN277</f>
        <v>2941</v>
      </c>
      <c r="D278" s="10">
        <f t="shared" si="16"/>
        <v>1000</v>
      </c>
      <c r="E278" s="472">
        <f t="shared" si="17"/>
        <v>1941</v>
      </c>
      <c r="F278" s="10">
        <f t="shared" si="17"/>
        <v>0</v>
      </c>
      <c r="G278" s="472">
        <f t="shared" si="17"/>
        <v>0</v>
      </c>
      <c r="H278" s="42">
        <f t="shared" si="17"/>
        <v>0</v>
      </c>
      <c r="I278" s="10">
        <f t="shared" si="17"/>
        <v>0</v>
      </c>
      <c r="J278" s="10">
        <f t="shared" si="18"/>
        <v>0</v>
      </c>
      <c r="K278" s="120">
        <f t="shared" si="19"/>
        <v>778565.9456740442</v>
      </c>
    </row>
    <row r="279" spans="1:11" x14ac:dyDescent="0.25">
      <c r="A279" s="50">
        <f>'A) Base RI'!A278</f>
        <v>5883</v>
      </c>
      <c r="B279" s="33" t="str">
        <f>'A) Base RI'!B278</f>
        <v>Corseaux</v>
      </c>
      <c r="C279" s="472">
        <f>'A) Base RI'!AN278</f>
        <v>2282</v>
      </c>
      <c r="D279" s="10">
        <f t="shared" si="16"/>
        <v>1000</v>
      </c>
      <c r="E279" s="472">
        <f t="shared" si="17"/>
        <v>1282</v>
      </c>
      <c r="F279" s="10">
        <f t="shared" si="17"/>
        <v>0</v>
      </c>
      <c r="G279" s="472">
        <f t="shared" si="17"/>
        <v>0</v>
      </c>
      <c r="H279" s="42">
        <f t="shared" si="17"/>
        <v>0</v>
      </c>
      <c r="I279" s="10">
        <f t="shared" si="17"/>
        <v>0</v>
      </c>
      <c r="J279" s="10">
        <f t="shared" si="18"/>
        <v>0</v>
      </c>
      <c r="K279" s="120">
        <f t="shared" si="19"/>
        <v>548147.98792756535</v>
      </c>
    </row>
    <row r="280" spans="1:11" x14ac:dyDescent="0.25">
      <c r="A280" s="50">
        <f>'A) Base RI'!A279</f>
        <v>5884</v>
      </c>
      <c r="B280" s="33" t="str">
        <f>'A) Base RI'!B279</f>
        <v>Corsier-sur-Vevey</v>
      </c>
      <c r="C280" s="472">
        <f>'A) Base RI'!AN279</f>
        <v>3386</v>
      </c>
      <c r="D280" s="10">
        <f t="shared" si="16"/>
        <v>1000</v>
      </c>
      <c r="E280" s="472">
        <f t="shared" si="17"/>
        <v>2000</v>
      </c>
      <c r="F280" s="10">
        <f t="shared" si="17"/>
        <v>386</v>
      </c>
      <c r="G280" s="472">
        <f t="shared" si="17"/>
        <v>0</v>
      </c>
      <c r="H280" s="42">
        <f t="shared" si="17"/>
        <v>0</v>
      </c>
      <c r="I280" s="10">
        <f t="shared" si="17"/>
        <v>0</v>
      </c>
      <c r="J280" s="10">
        <f t="shared" si="18"/>
        <v>0</v>
      </c>
      <c r="K280" s="120">
        <f t="shared" si="19"/>
        <v>992001.00603621721</v>
      </c>
    </row>
    <row r="281" spans="1:11" x14ac:dyDescent="0.25">
      <c r="A281" s="50">
        <f>'A) Base RI'!A280</f>
        <v>5885</v>
      </c>
      <c r="B281" s="33" t="str">
        <f>'A) Base RI'!B280</f>
        <v>Jongny</v>
      </c>
      <c r="C281" s="472">
        <f>'A) Base RI'!AN280</f>
        <v>1536</v>
      </c>
      <c r="D281" s="10">
        <f t="shared" si="16"/>
        <v>1000</v>
      </c>
      <c r="E281" s="472">
        <f t="shared" si="17"/>
        <v>536</v>
      </c>
      <c r="F281" s="10">
        <f t="shared" si="17"/>
        <v>0</v>
      </c>
      <c r="G281" s="472">
        <f t="shared" si="17"/>
        <v>0</v>
      </c>
      <c r="H281" s="42">
        <f t="shared" si="17"/>
        <v>0</v>
      </c>
      <c r="I281" s="10">
        <f t="shared" si="17"/>
        <v>0</v>
      </c>
      <c r="J281" s="10">
        <f t="shared" si="18"/>
        <v>0</v>
      </c>
      <c r="K281" s="120">
        <f t="shared" si="19"/>
        <v>287310.66398390342</v>
      </c>
    </row>
    <row r="282" spans="1:11" x14ac:dyDescent="0.25">
      <c r="A282" s="50">
        <f>'A) Base RI'!A281</f>
        <v>5886</v>
      </c>
      <c r="B282" s="33" t="str">
        <f>'A) Base RI'!B281</f>
        <v>Montreux</v>
      </c>
      <c r="C282" s="472">
        <f>'A) Base RI'!AN281</f>
        <v>26006</v>
      </c>
      <c r="D282" s="10">
        <f t="shared" si="16"/>
        <v>1000</v>
      </c>
      <c r="E282" s="472">
        <f t="shared" si="17"/>
        <v>2000</v>
      </c>
      <c r="F282" s="10">
        <f t="shared" si="17"/>
        <v>2000</v>
      </c>
      <c r="G282" s="472">
        <f t="shared" si="17"/>
        <v>4000</v>
      </c>
      <c r="H282" s="42">
        <f t="shared" si="17"/>
        <v>3000</v>
      </c>
      <c r="I282" s="10">
        <f t="shared" si="17"/>
        <v>3000</v>
      </c>
      <c r="J282" s="10">
        <f t="shared" si="18"/>
        <v>11006</v>
      </c>
      <c r="K282" s="120">
        <f t="shared" si="19"/>
        <v>21284865.090543255</v>
      </c>
    </row>
    <row r="283" spans="1:11" x14ac:dyDescent="0.25">
      <c r="A283" s="50">
        <f>'A) Base RI'!A282</f>
        <v>5888</v>
      </c>
      <c r="B283" s="33" t="str">
        <f>'A) Base RI'!B282</f>
        <v>Saint-Légier-La Chiésaz</v>
      </c>
      <c r="C283" s="472">
        <f>'A) Base RI'!AN282</f>
        <v>5185</v>
      </c>
      <c r="D283" s="10">
        <f t="shared" si="16"/>
        <v>1000</v>
      </c>
      <c r="E283" s="472">
        <f t="shared" si="17"/>
        <v>2000</v>
      </c>
      <c r="F283" s="10">
        <f t="shared" si="17"/>
        <v>2000</v>
      </c>
      <c r="G283" s="472">
        <f t="shared" si="17"/>
        <v>185</v>
      </c>
      <c r="H283" s="42">
        <f t="shared" si="17"/>
        <v>0</v>
      </c>
      <c r="I283" s="10">
        <f t="shared" si="17"/>
        <v>0</v>
      </c>
      <c r="J283" s="10">
        <f t="shared" si="18"/>
        <v>0</v>
      </c>
      <c r="K283" s="120">
        <f t="shared" si="19"/>
        <v>1909077.4647887321</v>
      </c>
    </row>
    <row r="284" spans="1:11" x14ac:dyDescent="0.25">
      <c r="A284" s="50">
        <f>'A) Base RI'!A283</f>
        <v>5889</v>
      </c>
      <c r="B284" s="33" t="str">
        <f>'A) Base RI'!B283</f>
        <v>La Tour-de-Peilz</v>
      </c>
      <c r="C284" s="472">
        <f>'A) Base RI'!AN283</f>
        <v>11871</v>
      </c>
      <c r="D284" s="10">
        <f t="shared" si="16"/>
        <v>1000</v>
      </c>
      <c r="E284" s="472">
        <f t="shared" si="17"/>
        <v>2000</v>
      </c>
      <c r="F284" s="10">
        <f t="shared" si="17"/>
        <v>2000</v>
      </c>
      <c r="G284" s="472">
        <f t="shared" si="17"/>
        <v>4000</v>
      </c>
      <c r="H284" s="42">
        <f t="shared" si="17"/>
        <v>2871</v>
      </c>
      <c r="I284" s="10">
        <f t="shared" si="17"/>
        <v>0</v>
      </c>
      <c r="J284" s="10">
        <f t="shared" si="18"/>
        <v>0</v>
      </c>
      <c r="K284" s="120">
        <f t="shared" si="19"/>
        <v>6633669.5674044257</v>
      </c>
    </row>
    <row r="285" spans="1:11" x14ac:dyDescent="0.25">
      <c r="A285" s="50">
        <f>'A) Base RI'!A284</f>
        <v>5890</v>
      </c>
      <c r="B285" s="33" t="str">
        <f>'A) Base RI'!B284</f>
        <v>Vevey</v>
      </c>
      <c r="C285" s="472">
        <f>'A) Base RI'!AN284</f>
        <v>19904</v>
      </c>
      <c r="D285" s="10">
        <f t="shared" si="16"/>
        <v>1000</v>
      </c>
      <c r="E285" s="472">
        <f t="shared" si="17"/>
        <v>2000</v>
      </c>
      <c r="F285" s="10">
        <f t="shared" si="17"/>
        <v>2000</v>
      </c>
      <c r="G285" s="472">
        <f t="shared" si="17"/>
        <v>4000</v>
      </c>
      <c r="H285" s="42">
        <f t="shared" si="17"/>
        <v>3000</v>
      </c>
      <c r="I285" s="10">
        <f t="shared" si="17"/>
        <v>3000</v>
      </c>
      <c r="J285" s="10">
        <f t="shared" si="18"/>
        <v>4904</v>
      </c>
      <c r="K285" s="120">
        <f t="shared" si="19"/>
        <v>14884210.865191143</v>
      </c>
    </row>
    <row r="286" spans="1:11" x14ac:dyDescent="0.25">
      <c r="A286" s="50">
        <f>'A) Base RI'!A285</f>
        <v>5891</v>
      </c>
      <c r="B286" s="33" t="str">
        <f>'A) Base RI'!B285</f>
        <v>Veytaux</v>
      </c>
      <c r="C286" s="472">
        <f>'A) Base RI'!AN285</f>
        <v>884</v>
      </c>
      <c r="D286" s="10">
        <f t="shared" si="16"/>
        <v>884</v>
      </c>
      <c r="E286" s="472">
        <f t="shared" si="17"/>
        <v>0</v>
      </c>
      <c r="F286" s="10">
        <f t="shared" si="17"/>
        <v>0</v>
      </c>
      <c r="G286" s="472">
        <f t="shared" si="17"/>
        <v>0</v>
      </c>
      <c r="H286" s="42">
        <f t="shared" si="17"/>
        <v>0</v>
      </c>
      <c r="I286" s="10">
        <f t="shared" si="17"/>
        <v>0</v>
      </c>
      <c r="J286" s="10">
        <f t="shared" si="18"/>
        <v>0</v>
      </c>
      <c r="K286" s="120">
        <f t="shared" si="19"/>
        <v>88311.066398390336</v>
      </c>
    </row>
    <row r="287" spans="1:11" x14ac:dyDescent="0.25">
      <c r="A287" s="50">
        <f>'A) Base RI'!A286</f>
        <v>5902</v>
      </c>
      <c r="B287" s="33" t="str">
        <f>'A) Base RI'!B286</f>
        <v>Belmont-sur-Yverdon</v>
      </c>
      <c r="C287" s="472">
        <f>'A) Base RI'!AN286</f>
        <v>384</v>
      </c>
      <c r="D287" s="10">
        <f t="shared" si="16"/>
        <v>384</v>
      </c>
      <c r="E287" s="472">
        <f t="shared" si="17"/>
        <v>0</v>
      </c>
      <c r="F287" s="10">
        <f t="shared" si="17"/>
        <v>0</v>
      </c>
      <c r="G287" s="472">
        <f t="shared" si="17"/>
        <v>0</v>
      </c>
      <c r="H287" s="42">
        <f t="shared" si="17"/>
        <v>0</v>
      </c>
      <c r="I287" s="10">
        <f t="shared" si="17"/>
        <v>0</v>
      </c>
      <c r="J287" s="10">
        <f t="shared" si="18"/>
        <v>0</v>
      </c>
      <c r="K287" s="120">
        <f t="shared" si="19"/>
        <v>38361.368209255532</v>
      </c>
    </row>
    <row r="288" spans="1:11" x14ac:dyDescent="0.25">
      <c r="A288" s="50">
        <f>'A) Base RI'!A287</f>
        <v>5903</v>
      </c>
      <c r="B288" s="33" t="str">
        <f>'A) Base RI'!B287</f>
        <v>Bioley-Magnoux</v>
      </c>
      <c r="C288" s="472">
        <f>'A) Base RI'!AN287</f>
        <v>225</v>
      </c>
      <c r="D288" s="10">
        <f t="shared" si="16"/>
        <v>225</v>
      </c>
      <c r="E288" s="472">
        <f t="shared" si="17"/>
        <v>0</v>
      </c>
      <c r="F288" s="10">
        <f t="shared" si="17"/>
        <v>0</v>
      </c>
      <c r="G288" s="472">
        <f t="shared" si="17"/>
        <v>0</v>
      </c>
      <c r="H288" s="42">
        <f t="shared" si="17"/>
        <v>0</v>
      </c>
      <c r="I288" s="10">
        <f t="shared" si="17"/>
        <v>0</v>
      </c>
      <c r="J288" s="10">
        <f t="shared" si="18"/>
        <v>0</v>
      </c>
      <c r="K288" s="120">
        <f t="shared" si="19"/>
        <v>22477.364185110662</v>
      </c>
    </row>
    <row r="289" spans="1:11" x14ac:dyDescent="0.25">
      <c r="A289" s="50">
        <f>'A) Base RI'!A288</f>
        <v>5904</v>
      </c>
      <c r="B289" s="33" t="str">
        <f>'A) Base RI'!B288</f>
        <v>Chamblon</v>
      </c>
      <c r="C289" s="472">
        <f>'A) Base RI'!AN288</f>
        <v>542</v>
      </c>
      <c r="D289" s="10">
        <f t="shared" si="16"/>
        <v>542</v>
      </c>
      <c r="E289" s="472">
        <f t="shared" si="17"/>
        <v>0</v>
      </c>
      <c r="F289" s="10">
        <f t="shared" si="17"/>
        <v>0</v>
      </c>
      <c r="G289" s="472">
        <f t="shared" si="17"/>
        <v>0</v>
      </c>
      <c r="H289" s="42">
        <f t="shared" si="17"/>
        <v>0</v>
      </c>
      <c r="I289" s="10">
        <f t="shared" si="17"/>
        <v>0</v>
      </c>
      <c r="J289" s="10">
        <f t="shared" si="18"/>
        <v>0</v>
      </c>
      <c r="K289" s="120">
        <f t="shared" si="19"/>
        <v>54145.472837022127</v>
      </c>
    </row>
    <row r="290" spans="1:11" x14ac:dyDescent="0.25">
      <c r="A290" s="50">
        <f>'A) Base RI'!A289</f>
        <v>5905</v>
      </c>
      <c r="B290" s="33" t="str">
        <f>'A) Base RI'!B289</f>
        <v>Champvent</v>
      </c>
      <c r="C290" s="472">
        <f>'A) Base RI'!AN289</f>
        <v>685</v>
      </c>
      <c r="D290" s="10">
        <f t="shared" si="16"/>
        <v>685</v>
      </c>
      <c r="E290" s="472">
        <f t="shared" si="17"/>
        <v>0</v>
      </c>
      <c r="F290" s="10">
        <f t="shared" si="17"/>
        <v>0</v>
      </c>
      <c r="G290" s="472">
        <f t="shared" si="17"/>
        <v>0</v>
      </c>
      <c r="H290" s="42">
        <f t="shared" si="17"/>
        <v>0</v>
      </c>
      <c r="I290" s="10">
        <f t="shared" si="17"/>
        <v>0</v>
      </c>
      <c r="J290" s="10">
        <f t="shared" si="18"/>
        <v>0</v>
      </c>
      <c r="K290" s="120">
        <f t="shared" si="19"/>
        <v>68431.086519114688</v>
      </c>
    </row>
    <row r="291" spans="1:11" x14ac:dyDescent="0.25">
      <c r="A291" s="50">
        <f>'A) Base RI'!A290</f>
        <v>5907</v>
      </c>
      <c r="B291" s="33" t="str">
        <f>'A) Base RI'!B290</f>
        <v>Chavannes-le-Chêne</v>
      </c>
      <c r="C291" s="472">
        <f>'A) Base RI'!AN290</f>
        <v>308</v>
      </c>
      <c r="D291" s="10">
        <f t="shared" si="16"/>
        <v>308</v>
      </c>
      <c r="E291" s="472">
        <f t="shared" si="17"/>
        <v>0</v>
      </c>
      <c r="F291" s="10">
        <f t="shared" si="17"/>
        <v>0</v>
      </c>
      <c r="G291" s="472">
        <f t="shared" si="17"/>
        <v>0</v>
      </c>
      <c r="H291" s="42">
        <f t="shared" si="17"/>
        <v>0</v>
      </c>
      <c r="I291" s="10">
        <f t="shared" si="17"/>
        <v>0</v>
      </c>
      <c r="J291" s="10">
        <f t="shared" si="18"/>
        <v>0</v>
      </c>
      <c r="K291" s="120">
        <f t="shared" si="19"/>
        <v>30769.014084507042</v>
      </c>
    </row>
    <row r="292" spans="1:11" x14ac:dyDescent="0.25">
      <c r="A292" s="50">
        <f>'A) Base RI'!A291</f>
        <v>5908</v>
      </c>
      <c r="B292" s="33" t="str">
        <f>'A) Base RI'!B291</f>
        <v>Chêne-Pâquier</v>
      </c>
      <c r="C292" s="472">
        <f>'A) Base RI'!AN291</f>
        <v>141</v>
      </c>
      <c r="D292" s="10">
        <f t="shared" si="16"/>
        <v>141</v>
      </c>
      <c r="E292" s="472">
        <f t="shared" si="17"/>
        <v>0</v>
      </c>
      <c r="F292" s="10">
        <f t="shared" si="17"/>
        <v>0</v>
      </c>
      <c r="G292" s="472">
        <f t="shared" si="17"/>
        <v>0</v>
      </c>
      <c r="H292" s="42">
        <f t="shared" si="17"/>
        <v>0</v>
      </c>
      <c r="I292" s="10">
        <f t="shared" si="17"/>
        <v>0</v>
      </c>
      <c r="J292" s="10">
        <f t="shared" si="18"/>
        <v>0</v>
      </c>
      <c r="K292" s="120">
        <f t="shared" si="19"/>
        <v>14085.814889336016</v>
      </c>
    </row>
    <row r="293" spans="1:11" x14ac:dyDescent="0.25">
      <c r="A293" s="50">
        <f>'A) Base RI'!A292</f>
        <v>5909</v>
      </c>
      <c r="B293" s="33" t="str">
        <f>'A) Base RI'!B292</f>
        <v>Cheseaux-Noréaz</v>
      </c>
      <c r="C293" s="472">
        <f>'A) Base RI'!AN292</f>
        <v>721</v>
      </c>
      <c r="D293" s="10">
        <f t="shared" si="16"/>
        <v>721</v>
      </c>
      <c r="E293" s="472">
        <f t="shared" si="17"/>
        <v>0</v>
      </c>
      <c r="F293" s="10">
        <f t="shared" si="17"/>
        <v>0</v>
      </c>
      <c r="G293" s="472">
        <f t="shared" si="17"/>
        <v>0</v>
      </c>
      <c r="H293" s="42">
        <f t="shared" si="17"/>
        <v>0</v>
      </c>
      <c r="I293" s="10">
        <f t="shared" si="17"/>
        <v>0</v>
      </c>
      <c r="J293" s="10">
        <f t="shared" si="18"/>
        <v>0</v>
      </c>
      <c r="K293" s="120">
        <f t="shared" si="19"/>
        <v>72027.464788732395</v>
      </c>
    </row>
    <row r="294" spans="1:11" x14ac:dyDescent="0.25">
      <c r="A294" s="50">
        <f>'A) Base RI'!A293</f>
        <v>5910</v>
      </c>
      <c r="B294" s="33" t="str">
        <f>'A) Base RI'!B293</f>
        <v>Cronay</v>
      </c>
      <c r="C294" s="472">
        <f>'A) Base RI'!AN293</f>
        <v>385</v>
      </c>
      <c r="D294" s="10">
        <f t="shared" si="16"/>
        <v>385</v>
      </c>
      <c r="E294" s="472">
        <f t="shared" si="17"/>
        <v>0</v>
      </c>
      <c r="F294" s="10">
        <f t="shared" si="17"/>
        <v>0</v>
      </c>
      <c r="G294" s="472">
        <f t="shared" si="17"/>
        <v>0</v>
      </c>
      <c r="H294" s="42">
        <f t="shared" si="17"/>
        <v>0</v>
      </c>
      <c r="I294" s="10">
        <f t="shared" si="17"/>
        <v>0</v>
      </c>
      <c r="J294" s="10">
        <f t="shared" si="18"/>
        <v>0</v>
      </c>
      <c r="K294" s="120">
        <f t="shared" si="19"/>
        <v>38461.267605633802</v>
      </c>
    </row>
    <row r="295" spans="1:11" x14ac:dyDescent="0.25">
      <c r="A295" s="50">
        <f>'A) Base RI'!A294</f>
        <v>5911</v>
      </c>
      <c r="B295" s="33" t="str">
        <f>'A) Base RI'!B294</f>
        <v>Cuarny</v>
      </c>
      <c r="C295" s="472">
        <f>'A) Base RI'!AN294</f>
        <v>243</v>
      </c>
      <c r="D295" s="10">
        <f t="shared" si="16"/>
        <v>243</v>
      </c>
      <c r="E295" s="472">
        <f t="shared" si="17"/>
        <v>0</v>
      </c>
      <c r="F295" s="10">
        <f t="shared" si="17"/>
        <v>0</v>
      </c>
      <c r="G295" s="472">
        <f t="shared" si="17"/>
        <v>0</v>
      </c>
      <c r="H295" s="42">
        <f t="shared" si="17"/>
        <v>0</v>
      </c>
      <c r="I295" s="10">
        <f t="shared" si="17"/>
        <v>0</v>
      </c>
      <c r="J295" s="10">
        <f t="shared" si="18"/>
        <v>0</v>
      </c>
      <c r="K295" s="120">
        <f t="shared" si="19"/>
        <v>24275.553319919516</v>
      </c>
    </row>
    <row r="296" spans="1:11" x14ac:dyDescent="0.25">
      <c r="A296" s="50">
        <f>'A) Base RI'!A295</f>
        <v>5912</v>
      </c>
      <c r="B296" s="33" t="str">
        <f>'A) Base RI'!B295</f>
        <v>Démoret</v>
      </c>
      <c r="C296" s="472">
        <f>'A) Base RI'!AN295</f>
        <v>141</v>
      </c>
      <c r="D296" s="10">
        <f t="shared" si="16"/>
        <v>141</v>
      </c>
      <c r="E296" s="472">
        <f t="shared" si="17"/>
        <v>0</v>
      </c>
      <c r="F296" s="10">
        <f t="shared" si="17"/>
        <v>0</v>
      </c>
      <c r="G296" s="472">
        <f t="shared" si="17"/>
        <v>0</v>
      </c>
      <c r="H296" s="42">
        <f t="shared" si="17"/>
        <v>0</v>
      </c>
      <c r="I296" s="10">
        <f t="shared" si="17"/>
        <v>0</v>
      </c>
      <c r="J296" s="10">
        <f t="shared" si="18"/>
        <v>0</v>
      </c>
      <c r="K296" s="120">
        <f t="shared" si="19"/>
        <v>14085.814889336016</v>
      </c>
    </row>
    <row r="297" spans="1:11" x14ac:dyDescent="0.25">
      <c r="A297" s="50">
        <f>'A) Base RI'!A296</f>
        <v>5913</v>
      </c>
      <c r="B297" s="33" t="str">
        <f>'A) Base RI'!B296</f>
        <v>Donneloye</v>
      </c>
      <c r="C297" s="472">
        <f>'A) Base RI'!AN296</f>
        <v>809</v>
      </c>
      <c r="D297" s="10">
        <f t="shared" si="16"/>
        <v>809</v>
      </c>
      <c r="E297" s="472">
        <f t="shared" si="17"/>
        <v>0</v>
      </c>
      <c r="F297" s="10">
        <f t="shared" si="17"/>
        <v>0</v>
      </c>
      <c r="G297" s="472">
        <f t="shared" si="17"/>
        <v>0</v>
      </c>
      <c r="H297" s="42">
        <f t="shared" si="17"/>
        <v>0</v>
      </c>
      <c r="I297" s="10">
        <f t="shared" si="17"/>
        <v>0</v>
      </c>
      <c r="J297" s="10">
        <f t="shared" si="18"/>
        <v>0</v>
      </c>
      <c r="K297" s="120">
        <f t="shared" si="19"/>
        <v>80818.611670020124</v>
      </c>
    </row>
    <row r="298" spans="1:11" x14ac:dyDescent="0.25">
      <c r="A298" s="50">
        <f>'A) Base RI'!A297</f>
        <v>5914</v>
      </c>
      <c r="B298" s="33" t="str">
        <f>'A) Base RI'!B297</f>
        <v>Ependes</v>
      </c>
      <c r="C298" s="472">
        <f>'A) Base RI'!AN297</f>
        <v>360</v>
      </c>
      <c r="D298" s="10">
        <f t="shared" si="16"/>
        <v>360</v>
      </c>
      <c r="E298" s="472">
        <f t="shared" si="17"/>
        <v>0</v>
      </c>
      <c r="F298" s="10">
        <f t="shared" si="17"/>
        <v>0</v>
      </c>
      <c r="G298" s="472">
        <f t="shared" si="17"/>
        <v>0</v>
      </c>
      <c r="H298" s="42">
        <f t="shared" si="17"/>
        <v>0</v>
      </c>
      <c r="I298" s="10">
        <f t="shared" si="17"/>
        <v>0</v>
      </c>
      <c r="J298" s="10">
        <f t="shared" si="18"/>
        <v>0</v>
      </c>
      <c r="K298" s="120">
        <f t="shared" si="19"/>
        <v>35963.782696177062</v>
      </c>
    </row>
    <row r="299" spans="1:11" x14ac:dyDescent="0.25">
      <c r="A299" s="50">
        <f>'A) Base RI'!A298</f>
        <v>5919</v>
      </c>
      <c r="B299" s="33" t="str">
        <f>'A) Base RI'!B298</f>
        <v>Mathod</v>
      </c>
      <c r="C299" s="472">
        <f>'A) Base RI'!AN298</f>
        <v>611</v>
      </c>
      <c r="D299" s="10">
        <f t="shared" ref="D299:D316" si="20">IF($C299&gt;D$4,IF($C299&lt;D$5,$C299-D$4,D$5-D$4),0)</f>
        <v>611</v>
      </c>
      <c r="E299" s="472">
        <f t="shared" si="17"/>
        <v>0</v>
      </c>
      <c r="F299" s="10">
        <f t="shared" si="17"/>
        <v>0</v>
      </c>
      <c r="G299" s="472">
        <f t="shared" si="17"/>
        <v>0</v>
      </c>
      <c r="H299" s="42">
        <f t="shared" si="17"/>
        <v>0</v>
      </c>
      <c r="I299" s="10">
        <f t="shared" si="17"/>
        <v>0</v>
      </c>
      <c r="J299" s="10">
        <f t="shared" si="18"/>
        <v>0</v>
      </c>
      <c r="K299" s="120">
        <f t="shared" si="19"/>
        <v>61038.531187122731</v>
      </c>
    </row>
    <row r="300" spans="1:11" x14ac:dyDescent="0.25">
      <c r="A300" s="50">
        <f>'A) Base RI'!A299</f>
        <v>5921</v>
      </c>
      <c r="B300" s="33" t="str">
        <f>'A) Base RI'!B299</f>
        <v>Molondin</v>
      </c>
      <c r="C300" s="472">
        <f>'A) Base RI'!AN299</f>
        <v>235</v>
      </c>
      <c r="D300" s="10">
        <f t="shared" si="20"/>
        <v>235</v>
      </c>
      <c r="E300" s="472">
        <f t="shared" si="17"/>
        <v>0</v>
      </c>
      <c r="F300" s="10">
        <f t="shared" si="17"/>
        <v>0</v>
      </c>
      <c r="G300" s="472">
        <f t="shared" si="17"/>
        <v>0</v>
      </c>
      <c r="H300" s="42">
        <f t="shared" si="17"/>
        <v>0</v>
      </c>
      <c r="I300" s="10">
        <f t="shared" si="17"/>
        <v>0</v>
      </c>
      <c r="J300" s="10">
        <f t="shared" si="18"/>
        <v>0</v>
      </c>
      <c r="K300" s="120">
        <f t="shared" si="19"/>
        <v>23476.35814889336</v>
      </c>
    </row>
    <row r="301" spans="1:11" x14ac:dyDescent="0.25">
      <c r="A301" s="50">
        <f>'A) Base RI'!A300</f>
        <v>5922</v>
      </c>
      <c r="B301" s="33" t="str">
        <f>'A) Base RI'!B300</f>
        <v>Montagny-près-Yverdon</v>
      </c>
      <c r="C301" s="472">
        <f>'A) Base RI'!AN300</f>
        <v>738</v>
      </c>
      <c r="D301" s="10">
        <f t="shared" si="20"/>
        <v>738</v>
      </c>
      <c r="E301" s="472">
        <f t="shared" si="17"/>
        <v>0</v>
      </c>
      <c r="F301" s="10">
        <f t="shared" si="17"/>
        <v>0</v>
      </c>
      <c r="G301" s="472">
        <f t="shared" si="17"/>
        <v>0</v>
      </c>
      <c r="H301" s="42">
        <f t="shared" si="17"/>
        <v>0</v>
      </c>
      <c r="I301" s="10">
        <f t="shared" si="17"/>
        <v>0</v>
      </c>
      <c r="J301" s="10">
        <f t="shared" si="18"/>
        <v>0</v>
      </c>
      <c r="K301" s="120">
        <f t="shared" si="19"/>
        <v>73725.754527162979</v>
      </c>
    </row>
    <row r="302" spans="1:11" x14ac:dyDescent="0.25">
      <c r="A302" s="50">
        <f>'A) Base RI'!A301</f>
        <v>5923</v>
      </c>
      <c r="B302" s="33" t="str">
        <f>'A) Base RI'!B301</f>
        <v>Oppens</v>
      </c>
      <c r="C302" s="472">
        <f>'A) Base RI'!AN301</f>
        <v>196</v>
      </c>
      <c r="D302" s="10">
        <f t="shared" si="20"/>
        <v>196</v>
      </c>
      <c r="E302" s="472">
        <f t="shared" si="17"/>
        <v>0</v>
      </c>
      <c r="F302" s="10">
        <f t="shared" si="17"/>
        <v>0</v>
      </c>
      <c r="G302" s="472">
        <f t="shared" si="17"/>
        <v>0</v>
      </c>
      <c r="H302" s="42">
        <f t="shared" si="17"/>
        <v>0</v>
      </c>
      <c r="I302" s="10">
        <f t="shared" si="17"/>
        <v>0</v>
      </c>
      <c r="J302" s="10">
        <f t="shared" si="18"/>
        <v>0</v>
      </c>
      <c r="K302" s="120">
        <f t="shared" si="19"/>
        <v>19580.281690140844</v>
      </c>
    </row>
    <row r="303" spans="1:11" x14ac:dyDescent="0.25">
      <c r="A303" s="50">
        <f>'A) Base RI'!A302</f>
        <v>5924</v>
      </c>
      <c r="B303" s="33" t="str">
        <f>'A) Base RI'!B302</f>
        <v>Orges</v>
      </c>
      <c r="C303" s="472">
        <f>'A) Base RI'!AN302</f>
        <v>332</v>
      </c>
      <c r="D303" s="10">
        <f t="shared" si="20"/>
        <v>332</v>
      </c>
      <c r="E303" s="472">
        <f t="shared" si="17"/>
        <v>0</v>
      </c>
      <c r="F303" s="10">
        <f t="shared" si="17"/>
        <v>0</v>
      </c>
      <c r="G303" s="472">
        <f t="shared" si="17"/>
        <v>0</v>
      </c>
      <c r="H303" s="42">
        <f t="shared" si="17"/>
        <v>0</v>
      </c>
      <c r="I303" s="10">
        <f t="shared" si="17"/>
        <v>0</v>
      </c>
      <c r="J303" s="10">
        <f t="shared" si="18"/>
        <v>0</v>
      </c>
      <c r="K303" s="120">
        <f t="shared" si="19"/>
        <v>33166.599597585511</v>
      </c>
    </row>
    <row r="304" spans="1:11" x14ac:dyDescent="0.25">
      <c r="A304" s="50">
        <f>'A) Base RI'!A303</f>
        <v>5925</v>
      </c>
      <c r="B304" s="33" t="str">
        <f>'A) Base RI'!B303</f>
        <v>Orzens</v>
      </c>
      <c r="C304" s="472">
        <f>'A) Base RI'!AN303</f>
        <v>196</v>
      </c>
      <c r="D304" s="10">
        <f t="shared" si="20"/>
        <v>196</v>
      </c>
      <c r="E304" s="472">
        <f t="shared" si="17"/>
        <v>0</v>
      </c>
      <c r="F304" s="10">
        <f t="shared" si="17"/>
        <v>0</v>
      </c>
      <c r="G304" s="472">
        <f t="shared" si="17"/>
        <v>0</v>
      </c>
      <c r="H304" s="42">
        <f t="shared" si="17"/>
        <v>0</v>
      </c>
      <c r="I304" s="10">
        <f t="shared" si="17"/>
        <v>0</v>
      </c>
      <c r="J304" s="10">
        <f t="shared" si="18"/>
        <v>0</v>
      </c>
      <c r="K304" s="120">
        <f t="shared" si="19"/>
        <v>19580.281690140844</v>
      </c>
    </row>
    <row r="305" spans="1:11" x14ac:dyDescent="0.25">
      <c r="A305" s="50">
        <f>'A) Base RI'!A304</f>
        <v>5926</v>
      </c>
      <c r="B305" s="33" t="str">
        <f>'A) Base RI'!B304</f>
        <v>Pomy</v>
      </c>
      <c r="C305" s="472">
        <f>'A) Base RI'!AN304</f>
        <v>780</v>
      </c>
      <c r="D305" s="10">
        <f t="shared" si="20"/>
        <v>780</v>
      </c>
      <c r="E305" s="472">
        <f t="shared" si="17"/>
        <v>0</v>
      </c>
      <c r="F305" s="10">
        <f t="shared" si="17"/>
        <v>0</v>
      </c>
      <c r="G305" s="472">
        <f t="shared" si="17"/>
        <v>0</v>
      </c>
      <c r="H305" s="42">
        <f t="shared" si="17"/>
        <v>0</v>
      </c>
      <c r="I305" s="10">
        <f t="shared" si="17"/>
        <v>0</v>
      </c>
      <c r="J305" s="10">
        <f t="shared" si="18"/>
        <v>0</v>
      </c>
      <c r="K305" s="120">
        <f t="shared" si="19"/>
        <v>77921.529175050295</v>
      </c>
    </row>
    <row r="306" spans="1:11" x14ac:dyDescent="0.25">
      <c r="A306" s="50">
        <f>'A) Base RI'!A305</f>
        <v>5928</v>
      </c>
      <c r="B306" s="33" t="str">
        <f>'A) Base RI'!B305</f>
        <v>Rovray</v>
      </c>
      <c r="C306" s="472">
        <f>'A) Base RI'!AN305</f>
        <v>180</v>
      </c>
      <c r="D306" s="10">
        <f t="shared" si="20"/>
        <v>180</v>
      </c>
      <c r="E306" s="472">
        <f t="shared" si="17"/>
        <v>0</v>
      </c>
      <c r="F306" s="10">
        <f t="shared" si="17"/>
        <v>0</v>
      </c>
      <c r="G306" s="472">
        <f t="shared" si="17"/>
        <v>0</v>
      </c>
      <c r="H306" s="42">
        <f t="shared" si="17"/>
        <v>0</v>
      </c>
      <c r="I306" s="10">
        <f t="shared" si="17"/>
        <v>0</v>
      </c>
      <c r="J306" s="10">
        <f t="shared" si="18"/>
        <v>0</v>
      </c>
      <c r="K306" s="120">
        <f t="shared" si="19"/>
        <v>17981.891348088531</v>
      </c>
    </row>
    <row r="307" spans="1:11" x14ac:dyDescent="0.25">
      <c r="A307" s="50">
        <f>'A) Base RI'!A306</f>
        <v>5929</v>
      </c>
      <c r="B307" s="33" t="str">
        <f>'A) Base RI'!B306</f>
        <v>Suchy</v>
      </c>
      <c r="C307" s="472">
        <f>'A) Base RI'!AN306</f>
        <v>599</v>
      </c>
      <c r="D307" s="10">
        <f t="shared" si="20"/>
        <v>599</v>
      </c>
      <c r="E307" s="472">
        <f t="shared" si="17"/>
        <v>0</v>
      </c>
      <c r="F307" s="10">
        <f t="shared" si="17"/>
        <v>0</v>
      </c>
      <c r="G307" s="472">
        <f t="shared" si="17"/>
        <v>0</v>
      </c>
      <c r="H307" s="42">
        <f t="shared" si="17"/>
        <v>0</v>
      </c>
      <c r="I307" s="10">
        <f t="shared" si="17"/>
        <v>0</v>
      </c>
      <c r="J307" s="10">
        <f t="shared" si="18"/>
        <v>0</v>
      </c>
      <c r="K307" s="120">
        <f t="shared" si="19"/>
        <v>59839.7384305835</v>
      </c>
    </row>
    <row r="308" spans="1:11" x14ac:dyDescent="0.25">
      <c r="A308" s="50">
        <f>'A) Base RI'!A307</f>
        <v>5930</v>
      </c>
      <c r="B308" s="33" t="str">
        <f>'A) Base RI'!B307</f>
        <v>Suscévaz</v>
      </c>
      <c r="C308" s="472">
        <f>'A) Base RI'!AN307</f>
        <v>213</v>
      </c>
      <c r="D308" s="10">
        <f t="shared" si="20"/>
        <v>213</v>
      </c>
      <c r="E308" s="472">
        <f t="shared" si="17"/>
        <v>0</v>
      </c>
      <c r="F308" s="10">
        <f t="shared" si="17"/>
        <v>0</v>
      </c>
      <c r="G308" s="472">
        <f t="shared" si="17"/>
        <v>0</v>
      </c>
      <c r="H308" s="42">
        <f t="shared" si="17"/>
        <v>0</v>
      </c>
      <c r="I308" s="10">
        <f t="shared" si="17"/>
        <v>0</v>
      </c>
      <c r="J308" s="10">
        <f t="shared" si="18"/>
        <v>0</v>
      </c>
      <c r="K308" s="120">
        <f t="shared" si="19"/>
        <v>21278.571428571428</v>
      </c>
    </row>
    <row r="309" spans="1:11" x14ac:dyDescent="0.25">
      <c r="A309" s="50">
        <f>'A) Base RI'!A308</f>
        <v>5931</v>
      </c>
      <c r="B309" s="33" t="str">
        <f>'A) Base RI'!B308</f>
        <v>Treycovagnes</v>
      </c>
      <c r="C309" s="472">
        <f>'A) Base RI'!AN308</f>
        <v>480</v>
      </c>
      <c r="D309" s="10">
        <f t="shared" si="20"/>
        <v>480</v>
      </c>
      <c r="E309" s="472">
        <f t="shared" si="17"/>
        <v>0</v>
      </c>
      <c r="F309" s="10">
        <f t="shared" si="17"/>
        <v>0</v>
      </c>
      <c r="G309" s="472">
        <f t="shared" si="17"/>
        <v>0</v>
      </c>
      <c r="H309" s="42">
        <f t="shared" si="17"/>
        <v>0</v>
      </c>
      <c r="I309" s="10">
        <f t="shared" si="17"/>
        <v>0</v>
      </c>
      <c r="J309" s="10">
        <f t="shared" si="18"/>
        <v>0</v>
      </c>
      <c r="K309" s="120">
        <f t="shared" si="19"/>
        <v>47951.710261569417</v>
      </c>
    </row>
    <row r="310" spans="1:11" x14ac:dyDescent="0.25">
      <c r="A310" s="50">
        <f>'A) Base RI'!A309</f>
        <v>5932</v>
      </c>
      <c r="B310" s="33" t="str">
        <f>'A) Base RI'!B309</f>
        <v>Ursins</v>
      </c>
      <c r="C310" s="472">
        <f>'A) Base RI'!AN309</f>
        <v>230</v>
      </c>
      <c r="D310" s="10">
        <f t="shared" si="20"/>
        <v>230</v>
      </c>
      <c r="E310" s="472">
        <f t="shared" si="17"/>
        <v>0</v>
      </c>
      <c r="F310" s="10">
        <f t="shared" si="17"/>
        <v>0</v>
      </c>
      <c r="G310" s="472">
        <f t="shared" ref="E310:I316" si="21">IF($C310&gt;G$4,IF($C310&lt;G$5,$C310-G$4,G$5-G$4),0)</f>
        <v>0</v>
      </c>
      <c r="H310" s="42">
        <f t="shared" si="21"/>
        <v>0</v>
      </c>
      <c r="I310" s="10">
        <f t="shared" si="21"/>
        <v>0</v>
      </c>
      <c r="J310" s="10">
        <f t="shared" si="18"/>
        <v>0</v>
      </c>
      <c r="K310" s="120">
        <f t="shared" si="19"/>
        <v>22976.861167002011</v>
      </c>
    </row>
    <row r="311" spans="1:11" x14ac:dyDescent="0.25">
      <c r="A311" s="50">
        <f>'A) Base RI'!A310</f>
        <v>5933</v>
      </c>
      <c r="B311" s="33" t="str">
        <f>'A) Base RI'!B310</f>
        <v>Valeyres-sous-Montagny</v>
      </c>
      <c r="C311" s="472">
        <f>'A) Base RI'!AN310</f>
        <v>708</v>
      </c>
      <c r="D311" s="10">
        <f t="shared" si="20"/>
        <v>708</v>
      </c>
      <c r="E311" s="472">
        <f t="shared" si="21"/>
        <v>0</v>
      </c>
      <c r="F311" s="10">
        <f t="shared" si="21"/>
        <v>0</v>
      </c>
      <c r="G311" s="472">
        <f t="shared" si="21"/>
        <v>0</v>
      </c>
      <c r="H311" s="42">
        <f t="shared" si="21"/>
        <v>0</v>
      </c>
      <c r="I311" s="10">
        <f t="shared" si="21"/>
        <v>0</v>
      </c>
      <c r="J311" s="10">
        <f t="shared" si="18"/>
        <v>0</v>
      </c>
      <c r="K311" s="120">
        <f t="shared" si="19"/>
        <v>70728.772635814894</v>
      </c>
    </row>
    <row r="312" spans="1:11" x14ac:dyDescent="0.25">
      <c r="A312" s="50">
        <f>'A) Base RI'!A311</f>
        <v>5934</v>
      </c>
      <c r="B312" s="33" t="str">
        <f>'A) Base RI'!B311</f>
        <v>Valeyres-sous-Ursins</v>
      </c>
      <c r="C312" s="472">
        <f>'A) Base RI'!AN311</f>
        <v>232</v>
      </c>
      <c r="D312" s="10">
        <f t="shared" si="20"/>
        <v>232</v>
      </c>
      <c r="E312" s="472">
        <f t="shared" si="21"/>
        <v>0</v>
      </c>
      <c r="F312" s="10">
        <f t="shared" si="21"/>
        <v>0</v>
      </c>
      <c r="G312" s="472">
        <f t="shared" si="21"/>
        <v>0</v>
      </c>
      <c r="H312" s="42">
        <f t="shared" si="21"/>
        <v>0</v>
      </c>
      <c r="I312" s="10">
        <f t="shared" si="21"/>
        <v>0</v>
      </c>
      <c r="J312" s="10">
        <f t="shared" si="18"/>
        <v>0</v>
      </c>
      <c r="K312" s="120">
        <f t="shared" si="19"/>
        <v>23176.659959758552</v>
      </c>
    </row>
    <row r="313" spans="1:11" x14ac:dyDescent="0.25">
      <c r="A313" s="50">
        <f>'A) Base RI'!A312</f>
        <v>5935</v>
      </c>
      <c r="B313" s="33" t="str">
        <f>'A) Base RI'!B312</f>
        <v>Villars-Epeney</v>
      </c>
      <c r="C313" s="472">
        <f>'A) Base RI'!AN312</f>
        <v>100</v>
      </c>
      <c r="D313" s="10">
        <f t="shared" si="20"/>
        <v>100</v>
      </c>
      <c r="E313" s="472">
        <f t="shared" si="21"/>
        <v>0</v>
      </c>
      <c r="F313" s="10">
        <f t="shared" si="21"/>
        <v>0</v>
      </c>
      <c r="G313" s="472">
        <f t="shared" si="21"/>
        <v>0</v>
      </c>
      <c r="H313" s="42">
        <f t="shared" si="21"/>
        <v>0</v>
      </c>
      <c r="I313" s="10">
        <f t="shared" si="21"/>
        <v>0</v>
      </c>
      <c r="J313" s="10">
        <f t="shared" si="18"/>
        <v>0</v>
      </c>
      <c r="K313" s="120">
        <f t="shared" si="19"/>
        <v>9989.9396378269612</v>
      </c>
    </row>
    <row r="314" spans="1:11" x14ac:dyDescent="0.25">
      <c r="A314" s="50">
        <f>'A) Base RI'!A313</f>
        <v>5937</v>
      </c>
      <c r="B314" s="33" t="str">
        <f>'A) Base RI'!B313</f>
        <v>Vugelles-La Mothe</v>
      </c>
      <c r="C314" s="472">
        <f>'A) Base RI'!AN313</f>
        <v>132</v>
      </c>
      <c r="D314" s="10">
        <f t="shared" si="20"/>
        <v>132</v>
      </c>
      <c r="E314" s="472">
        <f t="shared" si="21"/>
        <v>0</v>
      </c>
      <c r="F314" s="10">
        <f t="shared" si="21"/>
        <v>0</v>
      </c>
      <c r="G314" s="472">
        <f t="shared" si="21"/>
        <v>0</v>
      </c>
      <c r="H314" s="42">
        <f t="shared" si="21"/>
        <v>0</v>
      </c>
      <c r="I314" s="10">
        <f t="shared" si="21"/>
        <v>0</v>
      </c>
      <c r="J314" s="10">
        <f t="shared" si="18"/>
        <v>0</v>
      </c>
      <c r="K314" s="120">
        <f t="shared" si="19"/>
        <v>13186.720321931589</v>
      </c>
    </row>
    <row r="315" spans="1:11" x14ac:dyDescent="0.25">
      <c r="A315" s="50">
        <f>'A) Base RI'!A314</f>
        <v>5938</v>
      </c>
      <c r="B315" s="33" t="str">
        <f>'A) Base RI'!B314</f>
        <v>Yverdon-les-Bains</v>
      </c>
      <c r="C315" s="472">
        <f>'A) Base RI'!AN314</f>
        <v>30211</v>
      </c>
      <c r="D315" s="10">
        <f t="shared" si="20"/>
        <v>1000</v>
      </c>
      <c r="E315" s="472">
        <f t="shared" si="21"/>
        <v>2000</v>
      </c>
      <c r="F315" s="10">
        <f t="shared" si="21"/>
        <v>2000</v>
      </c>
      <c r="G315" s="472">
        <f t="shared" si="21"/>
        <v>4000</v>
      </c>
      <c r="H315" s="42">
        <f t="shared" si="21"/>
        <v>3000</v>
      </c>
      <c r="I315" s="10">
        <f t="shared" si="21"/>
        <v>3000</v>
      </c>
      <c r="J315" s="10">
        <f t="shared" si="18"/>
        <v>15211</v>
      </c>
      <c r="K315" s="120">
        <f t="shared" si="19"/>
        <v>25695673.189134806</v>
      </c>
    </row>
    <row r="316" spans="1:11" x14ac:dyDescent="0.25">
      <c r="A316" s="51">
        <f>'A) Base RI'!A315</f>
        <v>5939</v>
      </c>
      <c r="B316" s="311" t="str">
        <f>'A) Base RI'!B315</f>
        <v>Yvonand</v>
      </c>
      <c r="C316" s="472">
        <f>'A) Base RI'!AN315</f>
        <v>3426</v>
      </c>
      <c r="D316" s="10">
        <f t="shared" si="20"/>
        <v>1000</v>
      </c>
      <c r="E316" s="472">
        <f t="shared" si="21"/>
        <v>2000</v>
      </c>
      <c r="F316" s="10">
        <f t="shared" si="21"/>
        <v>426</v>
      </c>
      <c r="G316" s="472">
        <f t="shared" si="21"/>
        <v>0</v>
      </c>
      <c r="H316" s="42">
        <f t="shared" si="21"/>
        <v>0</v>
      </c>
      <c r="I316" s="10">
        <f t="shared" si="21"/>
        <v>0</v>
      </c>
      <c r="J316" s="10">
        <f t="shared" si="18"/>
        <v>0</v>
      </c>
      <c r="K316" s="120">
        <f t="shared" si="19"/>
        <v>1011980.8853118711</v>
      </c>
    </row>
    <row r="317" spans="1:11" x14ac:dyDescent="0.25">
      <c r="B317" s="59">
        <f>COUNTA(B8:B316)</f>
        <v>309</v>
      </c>
      <c r="C317" s="11">
        <f>SUM(C8:C316)</f>
        <v>800162</v>
      </c>
      <c r="D317" s="11">
        <f t="shared" ref="D317:J317" si="22">SUM(D8:D316)</f>
        <v>217113</v>
      </c>
      <c r="E317" s="11">
        <f t="shared" si="22"/>
        <v>167946</v>
      </c>
      <c r="F317" s="11">
        <f t="shared" si="22"/>
        <v>85492</v>
      </c>
      <c r="G317" s="11">
        <f t="shared" si="22"/>
        <v>91185</v>
      </c>
      <c r="H317" s="11">
        <f t="shared" si="22"/>
        <v>39885</v>
      </c>
      <c r="I317" s="11">
        <f t="shared" si="22"/>
        <v>26432</v>
      </c>
      <c r="J317" s="11">
        <f t="shared" si="22"/>
        <v>172109</v>
      </c>
      <c r="K317" s="38">
        <f>SUM(K8:K316)</f>
        <v>418576572.7364186</v>
      </c>
    </row>
    <row r="318" spans="1:11" x14ac:dyDescent="0.25">
      <c r="C318" s="76"/>
    </row>
    <row r="328" spans="3:3" x14ac:dyDescent="0.25">
      <c r="C328" s="62"/>
    </row>
  </sheetData>
  <mergeCells count="6">
    <mergeCell ref="K6:K7"/>
    <mergeCell ref="C3:J3"/>
    <mergeCell ref="A6:A7"/>
    <mergeCell ref="B6:B7"/>
    <mergeCell ref="C6:C7"/>
    <mergeCell ref="D6:J6"/>
  </mergeCells>
  <phoneticPr fontId="10" type="noConversion"/>
  <pageMargins left="0.78740157499999996" right="0.78740157499999996" top="0.984251969" bottom="0.984251969" header="0.4921259845" footer="0.4921259845"/>
  <pageSetup paperSize="9" orientation="portrait" horizontalDpi="4294967292" verticalDpi="4294967292"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20</vt:i4>
      </vt:variant>
      <vt:variant>
        <vt:lpstr>Plages nommées</vt:lpstr>
      </vt:variant>
      <vt:variant>
        <vt:i4>13</vt:i4>
      </vt:variant>
    </vt:vector>
  </HeadingPairs>
  <TitlesOfParts>
    <vt:vector size="33" baseType="lpstr">
      <vt:lpstr>Paramètres</vt:lpstr>
      <vt:lpstr>Recherche</vt:lpstr>
      <vt:lpstr>Validation Rend. Imp.</vt:lpstr>
      <vt:lpstr>A) Base RI</vt:lpstr>
      <vt:lpstr>B) D RI</vt:lpstr>
      <vt:lpstr>C) Prél. conj.</vt:lpstr>
      <vt:lpstr>D) Ecrêtage</vt:lpstr>
      <vt:lpstr>E) Fact soc</vt:lpstr>
      <vt:lpstr>F) Population</vt:lpstr>
      <vt:lpstr>G) Solidarité</vt:lpstr>
      <vt:lpstr>H) Péréquation directe</vt:lpstr>
      <vt:lpstr>I) Dépenses thématiques</vt:lpstr>
      <vt:lpstr>J) Plafonnement effort</vt:lpstr>
      <vt:lpstr>K) Plafonnement aide</vt:lpstr>
      <vt:lpstr>L) Plafonnement taux</vt:lpstr>
      <vt:lpstr>M) Police</vt:lpstr>
      <vt:lpstr>Synthèse</vt:lpstr>
      <vt:lpstr>Acomptes vs Décompte</vt:lpstr>
      <vt:lpstr>Feuil1</vt:lpstr>
      <vt:lpstr>Feuil2</vt:lpstr>
      <vt:lpstr>'C) Prél. conj.'!Impression_des_titres</vt:lpstr>
      <vt:lpstr>'E) Fact soc'!Impression_des_titres</vt:lpstr>
      <vt:lpstr>'I) Dépenses thématiques'!Impression_des_titres</vt:lpstr>
      <vt:lpstr>'J) Plafonnement effort'!Impression_des_titres</vt:lpstr>
      <vt:lpstr>'L) Plafonnement taux'!Impression_des_titres</vt:lpstr>
      <vt:lpstr>'M) Police'!Impression_des_titres</vt:lpstr>
      <vt:lpstr>Synthèse!Impression_des_titres</vt:lpstr>
      <vt:lpstr>'H) Péréquation directe'!Zone_d_impression</vt:lpstr>
      <vt:lpstr>'L) Plafonnement taux'!Zone_d_impression</vt:lpstr>
      <vt:lpstr>'M) Police'!Zone_d_impression</vt:lpstr>
      <vt:lpstr>Recherche!Zone_d_impression</vt:lpstr>
      <vt:lpstr>Synthèse!Zone_d_impression</vt:lpstr>
      <vt:lpstr>'Validation Rend. Imp.'!Zone_d_impression</vt:lpstr>
    </vt:vector>
  </TitlesOfParts>
  <Company>Etat de Vaud / ASFiCo</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CLERC,Charles Henri</dc:creator>
  <cp:lastModifiedBy>Delija Sofia</cp:lastModifiedBy>
  <cp:lastPrinted>2019-09-09T11:56:16Z</cp:lastPrinted>
  <dcterms:created xsi:type="dcterms:W3CDTF">2005-06-06T00:37:42Z</dcterms:created>
  <dcterms:modified xsi:type="dcterms:W3CDTF">2020-10-09T08:36:26Z</dcterms:modified>
</cp:coreProperties>
</file>